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hisWorkbook"/>
  <mc:AlternateContent xmlns:mc="http://schemas.openxmlformats.org/markup-compatibility/2006">
    <mc:Choice Requires="x15">
      <x15ac:absPath xmlns:x15ac="http://schemas.microsoft.com/office/spreadsheetml/2010/11/ac" url="U:\Corp\Rates\Akr\Rates\FERC Transmission\JCP&amp;L Transmission\Rate Updates\2022 ATRR\"/>
    </mc:Choice>
  </mc:AlternateContent>
  <xr:revisionPtr revIDLastSave="0" documentId="13_ncr:1_{E123E247-5A5B-4738-80E4-586284B34BE8}" xr6:coauthVersionLast="47" xr6:coauthVersionMax="47" xr10:uidLastSave="{00000000-0000-0000-0000-000000000000}"/>
  <bookViews>
    <workbookView xWindow="28680" yWindow="-120" windowWidth="29040" windowHeight="15840" tabRatio="1000" xr2:uid="{00000000-000D-0000-FFFF-FFFF00000000}"/>
  </bookViews>
  <sheets>
    <sheet name="Attachment H-4A JCP&amp;L " sheetId="1" r:id="rId1"/>
    <sheet name="Attachment 1 - Sched 1A" sheetId="2" r:id="rId2"/>
    <sheet name="Attachment 2 - Incentive ROE" sheetId="31" r:id="rId3"/>
    <sheet name="Attachment 3 - Gross Plant" sheetId="13" r:id="rId4"/>
    <sheet name="Attachment 4 - Accum Depr" sheetId="14" r:id="rId5"/>
    <sheet name="Attachment 5 - ADIT" sheetId="70" r:id="rId6"/>
    <sheet name="Attachment 5a - ADIT Norm PTRR" sheetId="47" r:id="rId7"/>
    <sheet name="Attachment 5b - ADIT Norm ATRR" sheetId="51" r:id="rId8"/>
    <sheet name="Attachment 6 - PBOP" sheetId="33" r:id="rId9"/>
    <sheet name="Attachment 7 - TOTI" sheetId="56" r:id="rId10"/>
    <sheet name="Attachment 8 - Cap Structure" sheetId="22" r:id="rId11"/>
    <sheet name="Attach 9 - Stated-value Inputs" sheetId="26" r:id="rId12"/>
    <sheet name="Attachment 10 - Debt Cost" sheetId="42" r:id="rId13"/>
    <sheet name="Attachment 11 - TEC" sheetId="5" r:id="rId14"/>
    <sheet name="Attach 11a - TEC Cost Support" sheetId="39" r:id="rId15"/>
    <sheet name="Attachment 12 - TEC True-up" sheetId="6" r:id="rId16"/>
    <sheet name="Attachment 13 - NITS True-Up" sheetId="64" r:id="rId17"/>
    <sheet name="Attachment 13a - TEC True-Up" sheetId="71" r:id="rId18"/>
    <sheet name="Attachment 13b - PJM Billings" sheetId="60" r:id="rId19"/>
    <sheet name="Attachment 14a - Working Cap." sheetId="54" r:id="rId20"/>
    <sheet name="Attachment 14b - Unfunded Res" sheetId="55" r:id="rId21"/>
    <sheet name="Attachment 15 - Income Taxes" sheetId="67" r:id="rId22"/>
    <sheet name="Att. 15a - TCJA DDIT and EDIT" sheetId="68" r:id="rId23"/>
    <sheet name="Attachment 16 - Abandoned Plant" sheetId="72" r:id="rId24"/>
    <sheet name="Attachment 17 - CWIP in RB" sheetId="65" r:id="rId25"/>
    <sheet name="Attachment 18 - Rev Creds" sheetId="61" r:id="rId26"/>
    <sheet name="Attachment 19 - Reg Asset-Liab" sheetId="57" r:id="rId27"/>
    <sheet name="Attachment 20 - OpEx" sheetId="59"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_________________H1">{"'Metretek HTML'!$A$7:$W$42"}</definedName>
    <definedName name="__________dat1111">[1]Sheet1!$G$2:$G$29</definedName>
    <definedName name="_________dat1111">[1]Sheet1!$G$2:$G$29</definedName>
    <definedName name="________dat1111">[1]Sheet1!$G$2:$G$29</definedName>
    <definedName name="_______agr8690">[2]Model!$I$58</definedName>
    <definedName name="_______agr8790">[2]Model!$I$59</definedName>
    <definedName name="_______agr8791">[2]Model!$J$59</definedName>
    <definedName name="_______agr8890">[2]Model!$I$60</definedName>
    <definedName name="_______agr8891">[2]Model!$J$60</definedName>
    <definedName name="_______agr8892">[2]Model!$K$60</definedName>
    <definedName name="_______agr8990">[2]Model!$I$61</definedName>
    <definedName name="_______agr8991">[2]Model!$J$61</definedName>
    <definedName name="_______agr8992">[2]Model!$K$61</definedName>
    <definedName name="_______agr8993">[2]Model!$L$61</definedName>
    <definedName name="_______agr9091">[2]Model!$J$62</definedName>
    <definedName name="_______agr9092">[2]Model!$K$62</definedName>
    <definedName name="_______agr9093">[2]Model!$L$62</definedName>
    <definedName name="_______agr9094">[2]Model!$M$62</definedName>
    <definedName name="_______agr9192">[2]Model!$K$63</definedName>
    <definedName name="_______agr9193">[2]Model!$L$63</definedName>
    <definedName name="_______agr9194">[2]Model!$M$63</definedName>
    <definedName name="_______agr9195">[2]Model!$N$63</definedName>
    <definedName name="_______agr9293">[2]Model!$L$64</definedName>
    <definedName name="_______agr9294">[2]Model!$M$64</definedName>
    <definedName name="_______agr9295">[2]Model!$N$64</definedName>
    <definedName name="_______agr9296">[2]Model!$O$64</definedName>
    <definedName name="_______agr9394">[2]Model!$M$65</definedName>
    <definedName name="_______agr9395">[2]Model!$N$65</definedName>
    <definedName name="_______agr9396">[2]Model!$O$65</definedName>
    <definedName name="_______agr9397">[2]Model!$P$65</definedName>
    <definedName name="_______agr9495">[2]Model!$N$66</definedName>
    <definedName name="_______agr9496">[2]Model!$O$66</definedName>
    <definedName name="_______agr9497">[2]Model!$P$66</definedName>
    <definedName name="_______agr9498">[2]Model!$Q$66</definedName>
    <definedName name="_______agr9596">[2]Model!$O$67</definedName>
    <definedName name="_______agr9597">[2]Model!$P$67</definedName>
    <definedName name="_______agr9598">[2]Model!$Q$67</definedName>
    <definedName name="_______agr9697">[2]Model!$P$68</definedName>
    <definedName name="_______agr9698">[2]Model!$Q$68</definedName>
    <definedName name="_______agr9798">[2]Model!$Q$69</definedName>
    <definedName name="_______dat1111">[1]Sheet1!$G$2:$G$29</definedName>
    <definedName name="_______qre84">'[2]QRE''s'!$D$1:$D$65536</definedName>
    <definedName name="_______qre8490">[2]Model!$I$126</definedName>
    <definedName name="_______qre8491">[2]Model!$J$126</definedName>
    <definedName name="_______qre8492">[2]Model!$K$126</definedName>
    <definedName name="_______qre8493">[2]Model!$L$126</definedName>
    <definedName name="_______qre8494">[2]Model!$M$126</definedName>
    <definedName name="_______qre8495">[2]Model!$N$126</definedName>
    <definedName name="_______qre8496">[2]Model!$O$126</definedName>
    <definedName name="_______qre8497">[2]Model!$P$126</definedName>
    <definedName name="_______qre8498">[2]Model!$Q$126</definedName>
    <definedName name="_______qre85">'[2]QRE''s'!$E$1:$E$65536</definedName>
    <definedName name="_______qre8590">[2]Model!$I$127</definedName>
    <definedName name="_______qre8591">[2]Model!$J$127</definedName>
    <definedName name="_______qre8592">[2]Model!$K$127</definedName>
    <definedName name="_______qre8593">[2]Model!$L$127</definedName>
    <definedName name="_______qre8594">[2]Model!$M$127</definedName>
    <definedName name="_______qre8595">[2]Model!$N$127</definedName>
    <definedName name="_______qre8596">[2]Model!$O$127</definedName>
    <definedName name="_______qre8597">[2]Model!$P$127</definedName>
    <definedName name="_______qre8598">[2]Model!$Q$127</definedName>
    <definedName name="_______qre86">'[2]QRE''s'!$F$1:$F$65536</definedName>
    <definedName name="_______qre8690">[2]Model!$I$128</definedName>
    <definedName name="_______qre8691">[2]Model!$J$128</definedName>
    <definedName name="_______qre8692">[2]Model!$K$128</definedName>
    <definedName name="_______qre8693">[2]Model!$L$128</definedName>
    <definedName name="_______qre8694">[2]Model!$M$128</definedName>
    <definedName name="_______qre8695">[2]Model!$N$128</definedName>
    <definedName name="_______qre8696">[2]Model!$O$128</definedName>
    <definedName name="_______qre8697">[2]Model!$P$128</definedName>
    <definedName name="_______qre8698">[2]Model!$Q$128</definedName>
    <definedName name="_______qre87">'[2]QRE''s'!$G$1:$G$65536</definedName>
    <definedName name="_______qre8790">[2]Model!$I$129</definedName>
    <definedName name="_______qre8791">[2]Model!$J$129</definedName>
    <definedName name="_______qre8792">[2]Model!$K$129</definedName>
    <definedName name="_______qre8793">[2]Model!$L$129</definedName>
    <definedName name="_______qre8794">[2]Model!$M$129</definedName>
    <definedName name="_______qre8795">[2]Model!$N$129</definedName>
    <definedName name="_______qre8796">[2]Model!$O$129</definedName>
    <definedName name="_______qre8797">[2]Model!$P$129</definedName>
    <definedName name="_______qre8798">[2]Model!$Q$129</definedName>
    <definedName name="_______qre88">'[2]QRE''s'!$H$1:$H$65536</definedName>
    <definedName name="_______qre8890">[2]Model!$I$130</definedName>
    <definedName name="_______qre8891">[2]Model!$J$130</definedName>
    <definedName name="_______qre8892">[2]Model!$K$130</definedName>
    <definedName name="_______qre8893">[2]Model!$L$130</definedName>
    <definedName name="_______qre8894">[2]Model!$M$130</definedName>
    <definedName name="_______qre8895">[2]Model!$N$130</definedName>
    <definedName name="_______qre8896">[2]Model!$O$130</definedName>
    <definedName name="_______qre8897">[2]Model!$P$130</definedName>
    <definedName name="_______qre8898">[2]Model!$Q$130</definedName>
    <definedName name="_______qre89">'[2]QRE''s'!$I$1:$I$65536</definedName>
    <definedName name="_______qre90">'[2]QRE''s'!$J$1:$J$65536</definedName>
    <definedName name="_______qre91">'[2]QRE''s'!$K$1:$K$65536</definedName>
    <definedName name="_______qre92">'[2]QRE''s'!$L$1:$L$65536</definedName>
    <definedName name="_______qre93">'[2]QRE''s'!$M$1:$M$65536</definedName>
    <definedName name="_______qre94">'[2]QRE''s'!$N$1:$N$65536</definedName>
    <definedName name="_______qre95">'[2]QRE''s'!$O$1:$O$65536</definedName>
    <definedName name="_______qre96">'[2]QRE''s'!$P$1:$P$65536</definedName>
    <definedName name="_______qre97">'[2]QRE''s'!$Q$1:$Q$65536</definedName>
    <definedName name="_______qre98">'[2]QRE''s'!$R$1:$R$65536</definedName>
    <definedName name="_______tqc90">'[2]QRE''s'!$J$101</definedName>
    <definedName name="_______tqc91">'[2]QRE''s'!$K$101</definedName>
    <definedName name="_______tqc92">'[2]QRE''s'!$L$101</definedName>
    <definedName name="_______tqc93">'[2]QRE''s'!$M$101</definedName>
    <definedName name="_______tqc94">'[2]QRE''s'!$N$101</definedName>
    <definedName name="_______tqc95">'[2]QRE''s'!$O$101</definedName>
    <definedName name="_______tqc96">'[2]QRE''s'!$P$101</definedName>
    <definedName name="_______tqc97">'[2]QRE''s'!$Q$101</definedName>
    <definedName name="_______tqc98">'[2]QRE''s'!$R$101</definedName>
    <definedName name="_______tql90">'[2]QRE''s'!$J$99</definedName>
    <definedName name="_______tql91">'[2]QRE''s'!$K$99</definedName>
    <definedName name="_______tql92">'[2]QRE''s'!$L$99</definedName>
    <definedName name="_______tql93">'[2]QRE''s'!$M$99</definedName>
    <definedName name="_______tql94">'[2]QRE''s'!$N$99</definedName>
    <definedName name="_______tql95">'[2]QRE''s'!$O$99</definedName>
    <definedName name="_______tql96">'[2]QRE''s'!$P$99</definedName>
    <definedName name="_______tql97">'[2]QRE''s'!$Q$99</definedName>
    <definedName name="_______tql98">'[2]QRE''s'!$R$99</definedName>
    <definedName name="_______tqs90">'[2]QRE''s'!$J$100</definedName>
    <definedName name="_______tqs91">'[2]QRE''s'!$K$100</definedName>
    <definedName name="_______tqs92">'[2]QRE''s'!$L$100</definedName>
    <definedName name="_______tqs93">'[2]QRE''s'!$M$100</definedName>
    <definedName name="_______tqs94">'[2]QRE''s'!$N$100</definedName>
    <definedName name="_______tqs95">'[2]QRE''s'!$O$100</definedName>
    <definedName name="_______tqs96">'[2]QRE''s'!$P$100</definedName>
    <definedName name="_______tqs97">'[2]QRE''s'!$Q$100</definedName>
    <definedName name="_______tqs98">'[2]QRE''s'!$R$100</definedName>
    <definedName name="______agr8690">[2]Model!$I$58</definedName>
    <definedName name="______agr8790">[2]Model!$I$59</definedName>
    <definedName name="______agr8791">[2]Model!$J$59</definedName>
    <definedName name="______agr8890">[2]Model!$I$60</definedName>
    <definedName name="______agr8891">[2]Model!$J$60</definedName>
    <definedName name="______agr8892">[2]Model!$K$60</definedName>
    <definedName name="______agr8990">[2]Model!$I$61</definedName>
    <definedName name="______agr8991">[2]Model!$J$61</definedName>
    <definedName name="______agr8992">[2]Model!$K$61</definedName>
    <definedName name="______agr8993">[2]Model!$L$61</definedName>
    <definedName name="______agr9091">[2]Model!$J$62</definedName>
    <definedName name="______agr9092">[2]Model!$K$62</definedName>
    <definedName name="______agr9093">[2]Model!$L$62</definedName>
    <definedName name="______agr9094">[2]Model!$M$62</definedName>
    <definedName name="______agr9192">[2]Model!$K$63</definedName>
    <definedName name="______agr9193">[2]Model!$L$63</definedName>
    <definedName name="______agr9194">[2]Model!$M$63</definedName>
    <definedName name="______agr9195">[2]Model!$N$63</definedName>
    <definedName name="______agr9293">[2]Model!$L$64</definedName>
    <definedName name="______agr9294">[2]Model!$M$64</definedName>
    <definedName name="______agr9295">[2]Model!$N$64</definedName>
    <definedName name="______agr9296">[2]Model!$O$64</definedName>
    <definedName name="______agr9394">[2]Model!$M$65</definedName>
    <definedName name="______agr9395">[2]Model!$N$65</definedName>
    <definedName name="______agr9396">[2]Model!$O$65</definedName>
    <definedName name="______agr9397">[2]Model!$P$65</definedName>
    <definedName name="______agr9495">[2]Model!$N$66</definedName>
    <definedName name="______agr9496">[2]Model!$O$66</definedName>
    <definedName name="______agr9497">[2]Model!$P$66</definedName>
    <definedName name="______agr9498">[2]Model!$Q$66</definedName>
    <definedName name="______agr9596">[2]Model!$O$67</definedName>
    <definedName name="______agr9597">[2]Model!$P$67</definedName>
    <definedName name="______agr9598">[2]Model!$Q$67</definedName>
    <definedName name="______agr9697">[2]Model!$P$68</definedName>
    <definedName name="______agr9698">[2]Model!$Q$68</definedName>
    <definedName name="______agr9798">[2]Model!$Q$69</definedName>
    <definedName name="______dat1111">[1]Sheet1!$G$2:$G$29</definedName>
    <definedName name="______H1">{"'Metretek HTML'!$A$7:$W$42"}</definedName>
    <definedName name="______qre84">'[2]QRE''s'!$D$1:$D$65536</definedName>
    <definedName name="______qre8490">[2]Model!$I$126</definedName>
    <definedName name="______qre8491">[2]Model!$J$126</definedName>
    <definedName name="______qre8492">[2]Model!$K$126</definedName>
    <definedName name="______qre8493">[2]Model!$L$126</definedName>
    <definedName name="______qre8494">[2]Model!$M$126</definedName>
    <definedName name="______qre8495">[2]Model!$N$126</definedName>
    <definedName name="______qre8496">[2]Model!$O$126</definedName>
    <definedName name="______qre8497">[2]Model!$P$126</definedName>
    <definedName name="______qre8498">[2]Model!$Q$126</definedName>
    <definedName name="______qre85">'[2]QRE''s'!$E$1:$E$65536</definedName>
    <definedName name="______qre8590">[2]Model!$I$127</definedName>
    <definedName name="______qre8591">[2]Model!$J$127</definedName>
    <definedName name="______qre8592">[2]Model!$K$127</definedName>
    <definedName name="______qre8593">[2]Model!$L$127</definedName>
    <definedName name="______qre8594">[2]Model!$M$127</definedName>
    <definedName name="______qre8595">[2]Model!$N$127</definedName>
    <definedName name="______qre8596">[2]Model!$O$127</definedName>
    <definedName name="______qre8597">[2]Model!$P$127</definedName>
    <definedName name="______qre8598">[2]Model!$Q$127</definedName>
    <definedName name="______qre86">'[2]QRE''s'!$F$1:$F$65536</definedName>
    <definedName name="______qre8690">[2]Model!$I$128</definedName>
    <definedName name="______qre8691">[2]Model!$J$128</definedName>
    <definedName name="______qre8692">[2]Model!$K$128</definedName>
    <definedName name="______qre8693">[2]Model!$L$128</definedName>
    <definedName name="______qre8694">[2]Model!$M$128</definedName>
    <definedName name="______qre8695">[2]Model!$N$128</definedName>
    <definedName name="______qre8696">[2]Model!$O$128</definedName>
    <definedName name="______qre8697">[2]Model!$P$128</definedName>
    <definedName name="______qre8698">[2]Model!$Q$128</definedName>
    <definedName name="______qre87">'[2]QRE''s'!$G$1:$G$65536</definedName>
    <definedName name="______qre8790">[2]Model!$I$129</definedName>
    <definedName name="______qre8791">[2]Model!$J$129</definedName>
    <definedName name="______qre8792">[2]Model!$K$129</definedName>
    <definedName name="______qre8793">[2]Model!$L$129</definedName>
    <definedName name="______qre8794">[2]Model!$M$129</definedName>
    <definedName name="______qre8795">[2]Model!$N$129</definedName>
    <definedName name="______qre8796">[2]Model!$O$129</definedName>
    <definedName name="______qre8797">[2]Model!$P$129</definedName>
    <definedName name="______qre8798">[2]Model!$Q$129</definedName>
    <definedName name="______qre88">'[2]QRE''s'!$H$1:$H$65536</definedName>
    <definedName name="______qre8890">[2]Model!$I$130</definedName>
    <definedName name="______qre8891">[2]Model!$J$130</definedName>
    <definedName name="______qre8892">[2]Model!$K$130</definedName>
    <definedName name="______qre8893">[2]Model!$L$130</definedName>
    <definedName name="______qre8894">[2]Model!$M$130</definedName>
    <definedName name="______qre8895">[2]Model!$N$130</definedName>
    <definedName name="______qre8896">[2]Model!$O$130</definedName>
    <definedName name="______qre8897">[2]Model!$P$130</definedName>
    <definedName name="______qre8898">[2]Model!$Q$130</definedName>
    <definedName name="______qre89">'[2]QRE''s'!$I$1:$I$65536</definedName>
    <definedName name="______qre90">'[2]QRE''s'!$J$1:$J$65536</definedName>
    <definedName name="______qre91">'[2]QRE''s'!$K$1:$K$65536</definedName>
    <definedName name="______qre92">'[2]QRE''s'!$L$1:$L$65536</definedName>
    <definedName name="______qre93">'[2]QRE''s'!$M$1:$M$65536</definedName>
    <definedName name="______qre94">'[2]QRE''s'!$N$1:$N$65536</definedName>
    <definedName name="______qre95">'[2]QRE''s'!$O$1:$O$65536</definedName>
    <definedName name="______qre96">'[2]QRE''s'!$P$1:$P$65536</definedName>
    <definedName name="______qre97">'[2]QRE''s'!$Q$1:$Q$65536</definedName>
    <definedName name="______qre98">'[2]QRE''s'!$R$1:$R$65536</definedName>
    <definedName name="______tqc90">'[2]QRE''s'!$J$101</definedName>
    <definedName name="______tqc91">'[2]QRE''s'!$K$101</definedName>
    <definedName name="______tqc92">'[2]QRE''s'!$L$101</definedName>
    <definedName name="______tqc93">'[2]QRE''s'!$M$101</definedName>
    <definedName name="______tqc94">'[2]QRE''s'!$N$101</definedName>
    <definedName name="______tqc95">'[2]QRE''s'!$O$101</definedName>
    <definedName name="______tqc96">'[2]QRE''s'!$P$101</definedName>
    <definedName name="______tqc97">'[2]QRE''s'!$Q$101</definedName>
    <definedName name="______tqc98">'[2]QRE''s'!$R$101</definedName>
    <definedName name="______tql90">'[2]QRE''s'!$J$99</definedName>
    <definedName name="______tql91">'[2]QRE''s'!$K$99</definedName>
    <definedName name="______tql92">'[2]QRE''s'!$L$99</definedName>
    <definedName name="______tql93">'[2]QRE''s'!$M$99</definedName>
    <definedName name="______tql94">'[2]QRE''s'!$N$99</definedName>
    <definedName name="______tql95">'[2]QRE''s'!$O$99</definedName>
    <definedName name="______tql96">'[2]QRE''s'!$P$99</definedName>
    <definedName name="______tql97">'[2]QRE''s'!$Q$99</definedName>
    <definedName name="______tql98">'[2]QRE''s'!$R$99</definedName>
    <definedName name="______tqs90">'[2]QRE''s'!$J$100</definedName>
    <definedName name="______tqs91">'[2]QRE''s'!$K$100</definedName>
    <definedName name="______tqs92">'[2]QRE''s'!$L$100</definedName>
    <definedName name="______tqs93">'[2]QRE''s'!$M$100</definedName>
    <definedName name="______tqs94">'[2]QRE''s'!$N$100</definedName>
    <definedName name="______tqs95">'[2]QRE''s'!$O$100</definedName>
    <definedName name="______tqs96">'[2]QRE''s'!$P$100</definedName>
    <definedName name="______tqs97">'[2]QRE''s'!$Q$100</definedName>
    <definedName name="______tqs98">'[2]QRE''s'!$R$100</definedName>
    <definedName name="_____agr8690">[2]Model!$I$58</definedName>
    <definedName name="_____agr8790">[2]Model!$I$59</definedName>
    <definedName name="_____agr8791">[2]Model!$J$59</definedName>
    <definedName name="_____agr8890">[2]Model!$I$60</definedName>
    <definedName name="_____agr8891">[2]Model!$J$60</definedName>
    <definedName name="_____agr8892">[2]Model!$K$60</definedName>
    <definedName name="_____agr8990">[2]Model!$I$61</definedName>
    <definedName name="_____agr8991">[2]Model!$J$61</definedName>
    <definedName name="_____agr8992">[2]Model!$K$61</definedName>
    <definedName name="_____agr8993">[2]Model!$L$61</definedName>
    <definedName name="_____agr9091">[2]Model!$J$62</definedName>
    <definedName name="_____agr9092">[2]Model!$K$62</definedName>
    <definedName name="_____agr9093">[2]Model!$L$62</definedName>
    <definedName name="_____agr9094">[2]Model!$M$62</definedName>
    <definedName name="_____agr9192">[2]Model!$K$63</definedName>
    <definedName name="_____agr9193">[2]Model!$L$63</definedName>
    <definedName name="_____agr9194">[2]Model!$M$63</definedName>
    <definedName name="_____agr9195">[2]Model!$N$63</definedName>
    <definedName name="_____agr9293">[2]Model!$L$64</definedName>
    <definedName name="_____agr9294">[2]Model!$M$64</definedName>
    <definedName name="_____agr9295">[2]Model!$N$64</definedName>
    <definedName name="_____agr9296">[2]Model!$O$64</definedName>
    <definedName name="_____agr9394">[2]Model!$M$65</definedName>
    <definedName name="_____agr9395">[2]Model!$N$65</definedName>
    <definedName name="_____agr9396">[2]Model!$O$65</definedName>
    <definedName name="_____agr9397">[2]Model!$P$65</definedName>
    <definedName name="_____agr9495">[2]Model!$N$66</definedName>
    <definedName name="_____agr9496">[2]Model!$O$66</definedName>
    <definedName name="_____agr9497">[2]Model!$P$66</definedName>
    <definedName name="_____agr9498">[2]Model!$Q$66</definedName>
    <definedName name="_____agr9596">[2]Model!$O$67</definedName>
    <definedName name="_____agr9597">[2]Model!$P$67</definedName>
    <definedName name="_____agr9598">[2]Model!$Q$67</definedName>
    <definedName name="_____agr9697">[2]Model!$P$68</definedName>
    <definedName name="_____agr9698">[2]Model!$Q$68</definedName>
    <definedName name="_____agr9798">[2]Model!$Q$69</definedName>
    <definedName name="_____dat1111">[1]Sheet1!$G$2:$G$29</definedName>
    <definedName name="_____H1">{"'Metretek HTML'!$A$7:$W$42"}</definedName>
    <definedName name="_____qre84">'[2]QRE''s'!$D$1:$D$65536</definedName>
    <definedName name="_____qre8490">[2]Model!$I$126</definedName>
    <definedName name="_____qre8491">[2]Model!$J$126</definedName>
    <definedName name="_____qre8492">[2]Model!$K$126</definedName>
    <definedName name="_____qre8493">[2]Model!$L$126</definedName>
    <definedName name="_____qre8494">[2]Model!$M$126</definedName>
    <definedName name="_____qre8495">[2]Model!$N$126</definedName>
    <definedName name="_____qre8496">[2]Model!$O$126</definedName>
    <definedName name="_____qre8497">[2]Model!$P$126</definedName>
    <definedName name="_____qre8498">[2]Model!$Q$126</definedName>
    <definedName name="_____qre85">'[2]QRE''s'!$E$1:$E$65536</definedName>
    <definedName name="_____qre8590">[2]Model!$I$127</definedName>
    <definedName name="_____qre8591">[2]Model!$J$127</definedName>
    <definedName name="_____qre8592">[2]Model!$K$127</definedName>
    <definedName name="_____qre8593">[2]Model!$L$127</definedName>
    <definedName name="_____qre8594">[2]Model!$M$127</definedName>
    <definedName name="_____qre8595">[2]Model!$N$127</definedName>
    <definedName name="_____qre8596">[2]Model!$O$127</definedName>
    <definedName name="_____qre8597">[2]Model!$P$127</definedName>
    <definedName name="_____qre8598">[2]Model!$Q$127</definedName>
    <definedName name="_____qre86">'[2]QRE''s'!$F$1:$F$65536</definedName>
    <definedName name="_____qre8690">[2]Model!$I$128</definedName>
    <definedName name="_____qre8691">[2]Model!$J$128</definedName>
    <definedName name="_____qre8692">[2]Model!$K$128</definedName>
    <definedName name="_____qre8693">[2]Model!$L$128</definedName>
    <definedName name="_____qre8694">[2]Model!$M$128</definedName>
    <definedName name="_____qre8695">[2]Model!$N$128</definedName>
    <definedName name="_____qre8696">[2]Model!$O$128</definedName>
    <definedName name="_____qre8697">[2]Model!$P$128</definedName>
    <definedName name="_____qre8698">[2]Model!$Q$128</definedName>
    <definedName name="_____qre87">'[2]QRE''s'!$G$1:$G$65536</definedName>
    <definedName name="_____qre8790">[2]Model!$I$129</definedName>
    <definedName name="_____qre8791">[2]Model!$J$129</definedName>
    <definedName name="_____qre8792">[2]Model!$K$129</definedName>
    <definedName name="_____qre8793">[2]Model!$L$129</definedName>
    <definedName name="_____qre8794">[2]Model!$M$129</definedName>
    <definedName name="_____qre8795">[2]Model!$N$129</definedName>
    <definedName name="_____qre8796">[2]Model!$O$129</definedName>
    <definedName name="_____qre8797">[2]Model!$P$129</definedName>
    <definedName name="_____qre8798">[2]Model!$Q$129</definedName>
    <definedName name="_____qre88">'[2]QRE''s'!$H$1:$H$65536</definedName>
    <definedName name="_____qre8890">[2]Model!$I$130</definedName>
    <definedName name="_____qre8891">[2]Model!$J$130</definedName>
    <definedName name="_____qre8892">[2]Model!$K$130</definedName>
    <definedName name="_____qre8893">[2]Model!$L$130</definedName>
    <definedName name="_____qre8894">[2]Model!$M$130</definedName>
    <definedName name="_____qre8895">[2]Model!$N$130</definedName>
    <definedName name="_____qre8896">[2]Model!$O$130</definedName>
    <definedName name="_____qre8897">[2]Model!$P$130</definedName>
    <definedName name="_____qre8898">[2]Model!$Q$130</definedName>
    <definedName name="_____qre89">'[2]QRE''s'!$I$1:$I$65536</definedName>
    <definedName name="_____qre90">'[2]QRE''s'!$J$1:$J$65536</definedName>
    <definedName name="_____qre91">'[2]QRE''s'!$K$1:$K$65536</definedName>
    <definedName name="_____qre92">'[2]QRE''s'!$L$1:$L$65536</definedName>
    <definedName name="_____qre93">'[2]QRE''s'!$M$1:$M$65536</definedName>
    <definedName name="_____qre94">'[2]QRE''s'!$N$1:$N$65536</definedName>
    <definedName name="_____qre95">'[2]QRE''s'!$O$1:$O$65536</definedName>
    <definedName name="_____qre96">'[2]QRE''s'!$P$1:$P$65536</definedName>
    <definedName name="_____qre97">'[2]QRE''s'!$Q$1:$Q$65536</definedName>
    <definedName name="_____qre98">'[2]QRE''s'!$R$1:$R$65536</definedName>
    <definedName name="_____tqc90">'[2]QRE''s'!$J$101</definedName>
    <definedName name="_____tqc91">'[2]QRE''s'!$K$101</definedName>
    <definedName name="_____tqc92">'[2]QRE''s'!$L$101</definedName>
    <definedName name="_____tqc93">'[2]QRE''s'!$M$101</definedName>
    <definedName name="_____tqc94">'[2]QRE''s'!$N$101</definedName>
    <definedName name="_____tqc95">'[2]QRE''s'!$O$101</definedName>
    <definedName name="_____tqc96">'[2]QRE''s'!$P$101</definedName>
    <definedName name="_____tqc97">'[2]QRE''s'!$Q$101</definedName>
    <definedName name="_____tqc98">'[2]QRE''s'!$R$101</definedName>
    <definedName name="_____tql90">'[2]QRE''s'!$J$99</definedName>
    <definedName name="_____tql91">'[2]QRE''s'!$K$99</definedName>
    <definedName name="_____tql92">'[2]QRE''s'!$L$99</definedName>
    <definedName name="_____tql93">'[2]QRE''s'!$M$99</definedName>
    <definedName name="_____tql94">'[2]QRE''s'!$N$99</definedName>
    <definedName name="_____tql95">'[2]QRE''s'!$O$99</definedName>
    <definedName name="_____tql96">'[2]QRE''s'!$P$99</definedName>
    <definedName name="_____tql97">'[2]QRE''s'!$Q$99</definedName>
    <definedName name="_____tql98">'[2]QRE''s'!$R$99</definedName>
    <definedName name="_____tqs90">'[2]QRE''s'!$J$100</definedName>
    <definedName name="_____tqs91">'[2]QRE''s'!$K$100</definedName>
    <definedName name="_____tqs92">'[2]QRE''s'!$L$100</definedName>
    <definedName name="_____tqs93">'[2]QRE''s'!$M$100</definedName>
    <definedName name="_____tqs94">'[2]QRE''s'!$N$100</definedName>
    <definedName name="_____tqs95">'[2]QRE''s'!$O$100</definedName>
    <definedName name="_____tqs96">'[2]QRE''s'!$P$100</definedName>
    <definedName name="_____tqs97">'[2]QRE''s'!$Q$100</definedName>
    <definedName name="_____tqs98">'[2]QRE''s'!$R$100</definedName>
    <definedName name="____agr8690">[2]Model!$I$58</definedName>
    <definedName name="____agr8790">[2]Model!$I$59</definedName>
    <definedName name="____agr8791">[2]Model!$J$59</definedName>
    <definedName name="____agr8890">[2]Model!$I$60</definedName>
    <definedName name="____agr8891">[2]Model!$J$60</definedName>
    <definedName name="____agr8892">[2]Model!$K$60</definedName>
    <definedName name="____agr8990">[2]Model!$I$61</definedName>
    <definedName name="____agr8991">[2]Model!$J$61</definedName>
    <definedName name="____agr8992">[2]Model!$K$61</definedName>
    <definedName name="____agr8993">[2]Model!$L$61</definedName>
    <definedName name="____agr9091">[2]Model!$J$62</definedName>
    <definedName name="____agr9092">[2]Model!$K$62</definedName>
    <definedName name="____agr9093">[2]Model!$L$62</definedName>
    <definedName name="____agr9094">[2]Model!$M$62</definedName>
    <definedName name="____agr9192">[2]Model!$K$63</definedName>
    <definedName name="____agr9193">[2]Model!$L$63</definedName>
    <definedName name="____agr9194">[2]Model!$M$63</definedName>
    <definedName name="____agr9195">[2]Model!$N$63</definedName>
    <definedName name="____agr9293">[2]Model!$L$64</definedName>
    <definedName name="____agr9294">[2]Model!$M$64</definedName>
    <definedName name="____agr9295">[2]Model!$N$64</definedName>
    <definedName name="____agr9296">[2]Model!$O$64</definedName>
    <definedName name="____agr9394">[2]Model!$M$65</definedName>
    <definedName name="____agr9395">[2]Model!$N$65</definedName>
    <definedName name="____agr9396">[2]Model!$O$65</definedName>
    <definedName name="____agr9397">[2]Model!$P$65</definedName>
    <definedName name="____agr9495">[2]Model!$N$66</definedName>
    <definedName name="____agr9496">[2]Model!$O$66</definedName>
    <definedName name="____agr9497">[2]Model!$P$66</definedName>
    <definedName name="____agr9498">[2]Model!$Q$66</definedName>
    <definedName name="____agr9596">[2]Model!$O$67</definedName>
    <definedName name="____agr9597">[2]Model!$P$67</definedName>
    <definedName name="____agr9598">[2]Model!$Q$67</definedName>
    <definedName name="____agr9697">[2]Model!$P$68</definedName>
    <definedName name="____agr9698">[2]Model!$Q$68</definedName>
    <definedName name="____agr9798">[2]Model!$Q$69</definedName>
    <definedName name="____dat1111">[1]Sheet1!$G$2:$G$29</definedName>
    <definedName name="____H1">{"'Metretek HTML'!$A$7:$W$42"}</definedName>
    <definedName name="____qre84">'[2]QRE''s'!$D$1:$D$65536</definedName>
    <definedName name="____qre8490">[2]Model!$I$126</definedName>
    <definedName name="____qre8491">[2]Model!$J$126</definedName>
    <definedName name="____qre8492">[2]Model!$K$126</definedName>
    <definedName name="____qre8493">[2]Model!$L$126</definedName>
    <definedName name="____qre8494">[2]Model!$M$126</definedName>
    <definedName name="____qre8495">[2]Model!$N$126</definedName>
    <definedName name="____qre8496">[2]Model!$O$126</definedName>
    <definedName name="____qre8497">[2]Model!$P$126</definedName>
    <definedName name="____qre8498">[2]Model!$Q$126</definedName>
    <definedName name="____qre85">'[2]QRE''s'!$E$1:$E$65536</definedName>
    <definedName name="____qre8590">[2]Model!$I$127</definedName>
    <definedName name="____qre8591">[2]Model!$J$127</definedName>
    <definedName name="____qre8592">[2]Model!$K$127</definedName>
    <definedName name="____qre8593">[2]Model!$L$127</definedName>
    <definedName name="____qre8594">[2]Model!$M$127</definedName>
    <definedName name="____qre8595">[2]Model!$N$127</definedName>
    <definedName name="____qre8596">[2]Model!$O$127</definedName>
    <definedName name="____qre8597">[2]Model!$P$127</definedName>
    <definedName name="____qre8598">[2]Model!$Q$127</definedName>
    <definedName name="____qre86">'[2]QRE''s'!$F$1:$F$65536</definedName>
    <definedName name="____qre8690">[2]Model!$I$128</definedName>
    <definedName name="____qre8691">[2]Model!$J$128</definedName>
    <definedName name="____qre8692">[2]Model!$K$128</definedName>
    <definedName name="____qre8693">[2]Model!$L$128</definedName>
    <definedName name="____qre8694">[2]Model!$M$128</definedName>
    <definedName name="____qre8695">[2]Model!$N$128</definedName>
    <definedName name="____qre8696">[2]Model!$O$128</definedName>
    <definedName name="____qre8697">[2]Model!$P$128</definedName>
    <definedName name="____qre8698">[2]Model!$Q$128</definedName>
    <definedName name="____qre87">'[2]QRE''s'!$G$1:$G$65536</definedName>
    <definedName name="____qre8790">[2]Model!$I$129</definedName>
    <definedName name="____qre8791">[2]Model!$J$129</definedName>
    <definedName name="____qre8792">[2]Model!$K$129</definedName>
    <definedName name="____qre8793">[2]Model!$L$129</definedName>
    <definedName name="____qre8794">[2]Model!$M$129</definedName>
    <definedName name="____qre8795">[2]Model!$N$129</definedName>
    <definedName name="____qre8796">[2]Model!$O$129</definedName>
    <definedName name="____qre8797">[2]Model!$P$129</definedName>
    <definedName name="____qre8798">[2]Model!$Q$129</definedName>
    <definedName name="____qre88">'[2]QRE''s'!$H$1:$H$65536</definedName>
    <definedName name="____qre8890">[2]Model!$I$130</definedName>
    <definedName name="____qre8891">[2]Model!$J$130</definedName>
    <definedName name="____qre8892">[2]Model!$K$130</definedName>
    <definedName name="____qre8893">[2]Model!$L$130</definedName>
    <definedName name="____qre8894">[2]Model!$M$130</definedName>
    <definedName name="____qre8895">[2]Model!$N$130</definedName>
    <definedName name="____qre8896">[2]Model!$O$130</definedName>
    <definedName name="____qre8897">[2]Model!$P$130</definedName>
    <definedName name="____qre8898">[2]Model!$Q$130</definedName>
    <definedName name="____qre89">'[2]QRE''s'!$I$1:$I$65536</definedName>
    <definedName name="____qre90">'[2]QRE''s'!$J$1:$J$65536</definedName>
    <definedName name="____qre91">'[2]QRE''s'!$K$1:$K$65536</definedName>
    <definedName name="____qre92">'[2]QRE''s'!$L$1:$L$65536</definedName>
    <definedName name="____qre93">'[2]QRE''s'!$M$1:$M$65536</definedName>
    <definedName name="____qre94">'[2]QRE''s'!$N$1:$N$65536</definedName>
    <definedName name="____qre95">'[2]QRE''s'!$O$1:$O$65536</definedName>
    <definedName name="____qre96">'[2]QRE''s'!$P$1:$P$65536</definedName>
    <definedName name="____qre97">'[2]QRE''s'!$Q$1:$Q$65536</definedName>
    <definedName name="____qre98">'[2]QRE''s'!$R$1:$R$65536</definedName>
    <definedName name="____tqc90">'[2]QRE''s'!$J$101</definedName>
    <definedName name="____tqc91">'[2]QRE''s'!$K$101</definedName>
    <definedName name="____tqc92">'[2]QRE''s'!$L$101</definedName>
    <definedName name="____tqc93">'[2]QRE''s'!$M$101</definedName>
    <definedName name="____tqc94">'[2]QRE''s'!$N$101</definedName>
    <definedName name="____tqc95">'[2]QRE''s'!$O$101</definedName>
    <definedName name="____tqc96">'[2]QRE''s'!$P$101</definedName>
    <definedName name="____tqc97">'[2]QRE''s'!$Q$101</definedName>
    <definedName name="____tqc98">'[2]QRE''s'!$R$101</definedName>
    <definedName name="____tql90">'[2]QRE''s'!$J$99</definedName>
    <definedName name="____tql91">'[2]QRE''s'!$K$99</definedName>
    <definedName name="____tql92">'[2]QRE''s'!$L$99</definedName>
    <definedName name="____tql93">'[2]QRE''s'!$M$99</definedName>
    <definedName name="____tql94">'[2]QRE''s'!$N$99</definedName>
    <definedName name="____tql95">'[2]QRE''s'!$O$99</definedName>
    <definedName name="____tql96">'[2]QRE''s'!$P$99</definedName>
    <definedName name="____tql97">'[2]QRE''s'!$Q$99</definedName>
    <definedName name="____tql98">'[2]QRE''s'!$R$99</definedName>
    <definedName name="____tqs90">'[2]QRE''s'!$J$100</definedName>
    <definedName name="____tqs91">'[2]QRE''s'!$K$100</definedName>
    <definedName name="____tqs92">'[2]QRE''s'!$L$100</definedName>
    <definedName name="____tqs93">'[2]QRE''s'!$M$100</definedName>
    <definedName name="____tqs94">'[2]QRE''s'!$N$100</definedName>
    <definedName name="____tqs95">'[2]QRE''s'!$O$100</definedName>
    <definedName name="____tqs96">'[2]QRE''s'!$P$100</definedName>
    <definedName name="____tqs97">'[2]QRE''s'!$Q$100</definedName>
    <definedName name="____tqs98">'[2]QRE''s'!$R$100</definedName>
    <definedName name="___agr8690">[2]Model!$I$58</definedName>
    <definedName name="___agr8790">[2]Model!$I$59</definedName>
    <definedName name="___agr8791">[2]Model!$J$59</definedName>
    <definedName name="___agr8890">[2]Model!$I$60</definedName>
    <definedName name="___agr8891">[2]Model!$J$60</definedName>
    <definedName name="___agr8892">[2]Model!$K$60</definedName>
    <definedName name="___agr8990">[2]Model!$I$61</definedName>
    <definedName name="___agr8991">[2]Model!$J$61</definedName>
    <definedName name="___agr8992">[2]Model!$K$61</definedName>
    <definedName name="___agr8993">[2]Model!$L$61</definedName>
    <definedName name="___agr9091">[2]Model!$J$62</definedName>
    <definedName name="___agr9092">[2]Model!$K$62</definedName>
    <definedName name="___agr9093">[2]Model!$L$62</definedName>
    <definedName name="___agr9094">[2]Model!$M$62</definedName>
    <definedName name="___agr9192">[2]Model!$K$63</definedName>
    <definedName name="___agr9193">[2]Model!$L$63</definedName>
    <definedName name="___agr9194">[2]Model!$M$63</definedName>
    <definedName name="___agr9195">[2]Model!$N$63</definedName>
    <definedName name="___agr9293">[2]Model!$L$64</definedName>
    <definedName name="___agr9294">[2]Model!$M$64</definedName>
    <definedName name="___agr9295">[2]Model!$N$64</definedName>
    <definedName name="___agr9296">[2]Model!$O$64</definedName>
    <definedName name="___agr9394">[2]Model!$M$65</definedName>
    <definedName name="___agr9395">[2]Model!$N$65</definedName>
    <definedName name="___agr9396">[2]Model!$O$65</definedName>
    <definedName name="___agr9397">[2]Model!$P$65</definedName>
    <definedName name="___agr9495">[2]Model!$N$66</definedName>
    <definedName name="___agr9496">[2]Model!$O$66</definedName>
    <definedName name="___agr9497">[2]Model!$P$66</definedName>
    <definedName name="___agr9498">[2]Model!$Q$66</definedName>
    <definedName name="___agr9596">[2]Model!$O$67</definedName>
    <definedName name="___agr9597">[2]Model!$P$67</definedName>
    <definedName name="___agr9598">[2]Model!$Q$67</definedName>
    <definedName name="___agr9697">[2]Model!$P$68</definedName>
    <definedName name="___agr9698">[2]Model!$Q$68</definedName>
    <definedName name="___agr9798">[2]Model!$Q$69</definedName>
    <definedName name="___dat1111">[1]Sheet1!$G$2:$G$29</definedName>
    <definedName name="___H1">{"'Metretek HTML'!$A$7:$W$42"}</definedName>
    <definedName name="___OFF2">'[3]DPLG-APRIL2001-TRANSCHECKOUT'!$AC$2:$AC$10</definedName>
    <definedName name="___PPP1">'[3]DPLG-APRIL2001-TRANSCHECKOUT'!$A$1:$D$27</definedName>
    <definedName name="___qre84">'[2]QRE''s'!$D$1:$D$65536</definedName>
    <definedName name="___qre8490">[2]Model!$I$126</definedName>
    <definedName name="___qre8491">[2]Model!$J$126</definedName>
    <definedName name="___qre8492">[2]Model!$K$126</definedName>
    <definedName name="___qre8493">[2]Model!$L$126</definedName>
    <definedName name="___qre8494">[2]Model!$M$126</definedName>
    <definedName name="___qre8495">[2]Model!$N$126</definedName>
    <definedName name="___qre8496">[2]Model!$O$126</definedName>
    <definedName name="___qre8497">[2]Model!$P$126</definedName>
    <definedName name="___qre8498">[2]Model!$Q$126</definedName>
    <definedName name="___qre85">'[2]QRE''s'!$E$1:$E$65536</definedName>
    <definedName name="___qre8590">[2]Model!$I$127</definedName>
    <definedName name="___qre8591">[2]Model!$J$127</definedName>
    <definedName name="___qre8592">[2]Model!$K$127</definedName>
    <definedName name="___qre8593">[2]Model!$L$127</definedName>
    <definedName name="___qre8594">[2]Model!$M$127</definedName>
    <definedName name="___qre8595">[2]Model!$N$127</definedName>
    <definedName name="___qre8596">[2]Model!$O$127</definedName>
    <definedName name="___qre8597">[2]Model!$P$127</definedName>
    <definedName name="___qre8598">[2]Model!$Q$127</definedName>
    <definedName name="___qre86">'[2]QRE''s'!$F$1:$F$65536</definedName>
    <definedName name="___qre8690">[2]Model!$I$128</definedName>
    <definedName name="___qre8691">[2]Model!$J$128</definedName>
    <definedName name="___qre8692">[2]Model!$K$128</definedName>
    <definedName name="___qre8693">[2]Model!$L$128</definedName>
    <definedName name="___qre8694">[2]Model!$M$128</definedName>
    <definedName name="___qre8695">[2]Model!$N$128</definedName>
    <definedName name="___qre8696">[2]Model!$O$128</definedName>
    <definedName name="___qre8697">[2]Model!$P$128</definedName>
    <definedName name="___qre8698">[2]Model!$Q$128</definedName>
    <definedName name="___qre87">'[2]QRE''s'!$G$1:$G$65536</definedName>
    <definedName name="___qre8790">[2]Model!$I$129</definedName>
    <definedName name="___qre8791">[2]Model!$J$129</definedName>
    <definedName name="___qre8792">[2]Model!$K$129</definedName>
    <definedName name="___qre8793">[2]Model!$L$129</definedName>
    <definedName name="___qre8794">[2]Model!$M$129</definedName>
    <definedName name="___qre8795">[2]Model!$N$129</definedName>
    <definedName name="___qre8796">[2]Model!$O$129</definedName>
    <definedName name="___qre8797">[2]Model!$P$129</definedName>
    <definedName name="___qre8798">[2]Model!$Q$129</definedName>
    <definedName name="___qre88">'[2]QRE''s'!$H$1:$H$65536</definedName>
    <definedName name="___qre8890">[2]Model!$I$130</definedName>
    <definedName name="___qre8891">[2]Model!$J$130</definedName>
    <definedName name="___qre8892">[2]Model!$K$130</definedName>
    <definedName name="___qre8893">[2]Model!$L$130</definedName>
    <definedName name="___qre8894">[2]Model!$M$130</definedName>
    <definedName name="___qre8895">[2]Model!$N$130</definedName>
    <definedName name="___qre8896">[2]Model!$O$130</definedName>
    <definedName name="___qre8897">[2]Model!$P$130</definedName>
    <definedName name="___qre8898">[2]Model!$Q$130</definedName>
    <definedName name="___qre89">'[2]QRE''s'!$I$1:$I$65536</definedName>
    <definedName name="___qre90">'[2]QRE''s'!$J$1:$J$65536</definedName>
    <definedName name="___qre91">'[2]QRE''s'!$K$1:$K$65536</definedName>
    <definedName name="___qre92">'[2]QRE''s'!$L$1:$L$65536</definedName>
    <definedName name="___qre93">'[2]QRE''s'!$M$1:$M$65536</definedName>
    <definedName name="___qre94">'[2]QRE''s'!$N$1:$N$65536</definedName>
    <definedName name="___qre95">'[2]QRE''s'!$O$1:$O$65536</definedName>
    <definedName name="___qre96">'[2]QRE''s'!$P$1:$P$65536</definedName>
    <definedName name="___qre97">'[2]QRE''s'!$Q$1:$Q$65536</definedName>
    <definedName name="___qre98">'[2]QRE''s'!$R$1:$R$65536</definedName>
    <definedName name="___tqc90">'[2]QRE''s'!$J$101</definedName>
    <definedName name="___tqc91">'[2]QRE''s'!$K$101</definedName>
    <definedName name="___tqc92">'[2]QRE''s'!$L$101</definedName>
    <definedName name="___tqc93">'[2]QRE''s'!$M$101</definedName>
    <definedName name="___tqc94">'[2]QRE''s'!$N$101</definedName>
    <definedName name="___tqc95">'[2]QRE''s'!$O$101</definedName>
    <definedName name="___tqc96">'[2]QRE''s'!$P$101</definedName>
    <definedName name="___tqc97">'[2]QRE''s'!$Q$101</definedName>
    <definedName name="___tqc98">'[2]QRE''s'!$R$101</definedName>
    <definedName name="___tql90">'[2]QRE''s'!$J$99</definedName>
    <definedName name="___tql91">'[2]QRE''s'!$K$99</definedName>
    <definedName name="___tql92">'[2]QRE''s'!$L$99</definedName>
    <definedName name="___tql93">'[2]QRE''s'!$M$99</definedName>
    <definedName name="___tql94">'[2]QRE''s'!$N$99</definedName>
    <definedName name="___tql95">'[2]QRE''s'!$O$99</definedName>
    <definedName name="___tql96">'[2]QRE''s'!$P$99</definedName>
    <definedName name="___tql97">'[2]QRE''s'!$Q$99</definedName>
    <definedName name="___tql98">'[2]QRE''s'!$R$99</definedName>
    <definedName name="___tqs90">'[2]QRE''s'!$J$100</definedName>
    <definedName name="___tqs91">'[2]QRE''s'!$K$100</definedName>
    <definedName name="___tqs92">'[2]QRE''s'!$L$100</definedName>
    <definedName name="___tqs93">'[2]QRE''s'!$M$100</definedName>
    <definedName name="___tqs94">'[2]QRE''s'!$N$100</definedName>
    <definedName name="___tqs95">'[2]QRE''s'!$O$100</definedName>
    <definedName name="___tqs96">'[2]QRE''s'!$P$100</definedName>
    <definedName name="___tqs97">'[2]QRE''s'!$Q$100</definedName>
    <definedName name="___tqs98">'[2]QRE''s'!$R$100</definedName>
    <definedName name="__123Graph_A" localSheetId="22" hidden="1">'[4]AL2 151'!#REF!</definedName>
    <definedName name="__123Graph_A" hidden="1">'[4]AL2 151'!#REF!</definedName>
    <definedName name="__123Graph_B" localSheetId="22" hidden="1">'[4]AL2 151'!#REF!</definedName>
    <definedName name="__123Graph_B" hidden="1">'[4]AL2 151'!#REF!</definedName>
    <definedName name="__123Graph_C" localSheetId="22" hidden="1">'[4]AL2 151'!#REF!</definedName>
    <definedName name="__123Graph_C" hidden="1">'[4]AL2 151'!#REF!</definedName>
    <definedName name="__123Graph_D" localSheetId="22" hidden="1">'[4]AL2 151'!#REF!</definedName>
    <definedName name="__123Graph_D" hidden="1">'[4]AL2 151'!#REF!</definedName>
    <definedName name="__123Graph_E" localSheetId="22" hidden="1">'[4]AL2 151'!#REF!</definedName>
    <definedName name="__123Graph_E" hidden="1">'[4]AL2 151'!#REF!</definedName>
    <definedName name="__123Graph_F" localSheetId="22" hidden="1">'[4]AL2 151'!#REF!</definedName>
    <definedName name="__123Graph_F" hidden="1">'[4]AL2 151'!#REF!</definedName>
    <definedName name="__123Graph_X" localSheetId="22" hidden="1">'[4]AL2 151'!#REF!</definedName>
    <definedName name="__123Graph_X" hidden="1">'[4]AL2 151'!#REF!</definedName>
    <definedName name="__agr8690">[2]Model!$I$58</definedName>
    <definedName name="__agr8790">[2]Model!$I$59</definedName>
    <definedName name="__agr8791">[2]Model!$J$59</definedName>
    <definedName name="__agr8890">[2]Model!$I$60</definedName>
    <definedName name="__agr8891">[2]Model!$J$60</definedName>
    <definedName name="__agr8892">[2]Model!$K$60</definedName>
    <definedName name="__agr8990">[2]Model!$I$61</definedName>
    <definedName name="__agr8991">[2]Model!$J$61</definedName>
    <definedName name="__agr8992">[2]Model!$K$61</definedName>
    <definedName name="__agr8993">[2]Model!$L$61</definedName>
    <definedName name="__agr9091">[2]Model!$J$62</definedName>
    <definedName name="__agr9092">[2]Model!$K$62</definedName>
    <definedName name="__agr9093">[2]Model!$L$62</definedName>
    <definedName name="__agr9094">[2]Model!$M$62</definedName>
    <definedName name="__agr9192">[2]Model!$K$63</definedName>
    <definedName name="__agr9193">[2]Model!$L$63</definedName>
    <definedName name="__agr9194">[2]Model!$M$63</definedName>
    <definedName name="__agr9195">[2]Model!$N$63</definedName>
    <definedName name="__agr9293">[2]Model!$L$64</definedName>
    <definedName name="__agr9294">[2]Model!$M$64</definedName>
    <definedName name="__agr9295">[2]Model!$N$64</definedName>
    <definedName name="__agr9296">[2]Model!$O$64</definedName>
    <definedName name="__agr9394">[2]Model!$M$65</definedName>
    <definedName name="__agr9395">[2]Model!$N$65</definedName>
    <definedName name="__agr9396">[2]Model!$O$65</definedName>
    <definedName name="__agr9397">[2]Model!$P$65</definedName>
    <definedName name="__agr9495">[2]Model!$N$66</definedName>
    <definedName name="__agr9496">[2]Model!$O$66</definedName>
    <definedName name="__agr9497">[2]Model!$P$66</definedName>
    <definedName name="__agr9498">[2]Model!$Q$66</definedName>
    <definedName name="__agr9596">[2]Model!$O$67</definedName>
    <definedName name="__agr9597">[2]Model!$P$67</definedName>
    <definedName name="__agr9598">[2]Model!$Q$67</definedName>
    <definedName name="__agr9697">[2]Model!$P$68</definedName>
    <definedName name="__agr9698">[2]Model!$Q$68</definedName>
    <definedName name="__agr9798">[2]Model!$Q$69</definedName>
    <definedName name="__dat1111">[1]Sheet1!$G$2:$G$29</definedName>
    <definedName name="__H1">{"'Metretek HTML'!$A$7:$W$42"}</definedName>
    <definedName name="__qre84">'[2]QRE''s'!$D$1:$D$65536</definedName>
    <definedName name="__qre8490">[2]Model!$I$126</definedName>
    <definedName name="__qre8491">[2]Model!$J$126</definedName>
    <definedName name="__qre8492">[2]Model!$K$126</definedName>
    <definedName name="__qre8493">[2]Model!$L$126</definedName>
    <definedName name="__qre8494">[2]Model!$M$126</definedName>
    <definedName name="__qre8495">[2]Model!$N$126</definedName>
    <definedName name="__qre8496">[2]Model!$O$126</definedName>
    <definedName name="__qre8497">[2]Model!$P$126</definedName>
    <definedName name="__qre8498">[2]Model!$Q$126</definedName>
    <definedName name="__qre85">'[2]QRE''s'!$E$1:$E$65536</definedName>
    <definedName name="__qre8590">[2]Model!$I$127</definedName>
    <definedName name="__qre8591">[2]Model!$J$127</definedName>
    <definedName name="__qre8592">[2]Model!$K$127</definedName>
    <definedName name="__qre8593">[2]Model!$L$127</definedName>
    <definedName name="__qre8594">[2]Model!$M$127</definedName>
    <definedName name="__qre8595">[2]Model!$N$127</definedName>
    <definedName name="__qre8596">[2]Model!$O$127</definedName>
    <definedName name="__qre8597">[2]Model!$P$127</definedName>
    <definedName name="__qre8598">[2]Model!$Q$127</definedName>
    <definedName name="__qre86">'[2]QRE''s'!$F$1:$F$65536</definedName>
    <definedName name="__qre8690">[2]Model!$I$128</definedName>
    <definedName name="__qre8691">[2]Model!$J$128</definedName>
    <definedName name="__qre8692">[2]Model!$K$128</definedName>
    <definedName name="__qre8693">[2]Model!$L$128</definedName>
    <definedName name="__qre8694">[2]Model!$M$128</definedName>
    <definedName name="__qre8695">[2]Model!$N$128</definedName>
    <definedName name="__qre8696">[2]Model!$O$128</definedName>
    <definedName name="__qre8697">[2]Model!$P$128</definedName>
    <definedName name="__qre8698">[2]Model!$Q$128</definedName>
    <definedName name="__qre87">'[2]QRE''s'!$G$1:$G$65536</definedName>
    <definedName name="__qre8790">[2]Model!$I$129</definedName>
    <definedName name="__qre8791">[2]Model!$J$129</definedName>
    <definedName name="__qre8792">[2]Model!$K$129</definedName>
    <definedName name="__qre8793">[2]Model!$L$129</definedName>
    <definedName name="__qre8794">[2]Model!$M$129</definedName>
    <definedName name="__qre8795">[2]Model!$N$129</definedName>
    <definedName name="__qre8796">[2]Model!$O$129</definedName>
    <definedName name="__qre8797">[2]Model!$P$129</definedName>
    <definedName name="__qre8798">[2]Model!$Q$129</definedName>
    <definedName name="__qre88">'[2]QRE''s'!$H$1:$H$65536</definedName>
    <definedName name="__qre8890">[2]Model!$I$130</definedName>
    <definedName name="__qre8891">[2]Model!$J$130</definedName>
    <definedName name="__qre8892">[2]Model!$K$130</definedName>
    <definedName name="__qre8893">[2]Model!$L$130</definedName>
    <definedName name="__qre8894">[2]Model!$M$130</definedName>
    <definedName name="__qre8895">[2]Model!$N$130</definedName>
    <definedName name="__qre8896">[2]Model!$O$130</definedName>
    <definedName name="__qre8897">[2]Model!$P$130</definedName>
    <definedName name="__qre8898">[2]Model!$Q$130</definedName>
    <definedName name="__qre89">'[2]QRE''s'!$I$1:$I$65536</definedName>
    <definedName name="__qre90">'[2]QRE''s'!$J$1:$J$65536</definedName>
    <definedName name="__qre91">'[2]QRE''s'!$K$1:$K$65536</definedName>
    <definedName name="__qre92">'[2]QRE''s'!$L$1:$L$65536</definedName>
    <definedName name="__qre93">'[2]QRE''s'!$M$1:$M$65536</definedName>
    <definedName name="__qre94">'[2]QRE''s'!$N$1:$N$65536</definedName>
    <definedName name="__qre95">'[2]QRE''s'!$O$1:$O$65536</definedName>
    <definedName name="__qre96">'[2]QRE''s'!$P$1:$P$65536</definedName>
    <definedName name="__qre97">'[2]QRE''s'!$Q$1:$Q$65536</definedName>
    <definedName name="__qre98">'[2]QRE''s'!$R$1:$R$65536</definedName>
    <definedName name="__tet12" hidden="1">{"assumptions",#N/A,FALSE,"Scenario 1";"valuation",#N/A,FALSE,"Scenario 1"}</definedName>
    <definedName name="__tet5" hidden="1">{"assumptions",#N/A,FALSE,"Scenario 1";"valuation",#N/A,FALSE,"Scenario 1"}</definedName>
    <definedName name="__tqc90">'[2]QRE''s'!$J$101</definedName>
    <definedName name="__tqc91">'[2]QRE''s'!$K$101</definedName>
    <definedName name="__tqc92">'[2]QRE''s'!$L$101</definedName>
    <definedName name="__tqc93">'[2]QRE''s'!$M$101</definedName>
    <definedName name="__tqc94">'[2]QRE''s'!$N$101</definedName>
    <definedName name="__tqc95">'[2]QRE''s'!$O$101</definedName>
    <definedName name="__tqc96">'[2]QRE''s'!$P$101</definedName>
    <definedName name="__tqc97">'[2]QRE''s'!$Q$101</definedName>
    <definedName name="__tqc98">'[2]QRE''s'!$R$101</definedName>
    <definedName name="__tql90">'[2]QRE''s'!$J$99</definedName>
    <definedName name="__tql91">'[2]QRE''s'!$K$99</definedName>
    <definedName name="__tql92">'[2]QRE''s'!$L$99</definedName>
    <definedName name="__tql93">'[2]QRE''s'!$M$99</definedName>
    <definedName name="__tql94">'[2]QRE''s'!$N$99</definedName>
    <definedName name="__tql95">'[2]QRE''s'!$O$99</definedName>
    <definedName name="__tql96">'[2]QRE''s'!$P$99</definedName>
    <definedName name="__tql97">'[2]QRE''s'!$Q$99</definedName>
    <definedName name="__tql98">'[2]QRE''s'!$R$99</definedName>
    <definedName name="__tqs90">'[2]QRE''s'!$J$100</definedName>
    <definedName name="__tqs91">'[2]QRE''s'!$K$100</definedName>
    <definedName name="__tqs92">'[2]QRE''s'!$L$100</definedName>
    <definedName name="__tqs93">'[2]QRE''s'!$M$100</definedName>
    <definedName name="__tqs94">'[2]QRE''s'!$N$100</definedName>
    <definedName name="__tqs95">'[2]QRE''s'!$O$100</definedName>
    <definedName name="__tqs96">'[2]QRE''s'!$P$100</definedName>
    <definedName name="__tqs97">'[2]QRE''s'!$Q$100</definedName>
    <definedName name="__tqs98">'[2]QRE''s'!$R$100</definedName>
    <definedName name="_1__123Graph_ACONTRACT_BY_B_U" hidden="1">'[2]QRE Charts'!$D$275:$Q$275</definedName>
    <definedName name="_10__123Graph_AWAGES_BY_B_U" hidden="1">'[5]QRE Charts'!$D$223:$R$223</definedName>
    <definedName name="_10__123Graph_BQRE_S_BY_TYPE" hidden="1">'[2]QRE''s'!$D$100:$R$100</definedName>
    <definedName name="_11__123Graph_BCONTRACT_BY_B_U" hidden="1">'[5]QRE Charts'!$D$276:$Q$276</definedName>
    <definedName name="_11__123Graph_BSENS_COMPARISON" hidden="1">'[2]QRE Charts'!$E$366:$O$366</definedName>
    <definedName name="_12__123Graph_BQRE_S_BY_CO." hidden="1">'[5]QRE Charts'!$D$302:$R$302</definedName>
    <definedName name="_12__123Graph_BSUPPLIES_BY_B_U" hidden="1">'[2]QRE Charts'!$D$250:$Q$250</definedName>
    <definedName name="_123Graph_B.1" hidden="1">#REF!</definedName>
    <definedName name="_13__123Graph_BQRE_S_BY_TYPE" hidden="1">'[5]QRE''s'!$D$100:$R$100</definedName>
    <definedName name="_13__123Graph_BTAX_CREDIT" hidden="1">'[2]QRE Charts'!$E$332:$E$342</definedName>
    <definedName name="_14__123Graph_BSENS_COMPARISON" hidden="1">'[5]QRE Charts'!$E$366:$O$366</definedName>
    <definedName name="_14__123Graph_BWAGES_BY_B_U" hidden="1">'[2]QRE Charts'!$D$224:$R$224</definedName>
    <definedName name="_15__123Graph_BSUPPLIES_BY_B_U" hidden="1">'[5]QRE Charts'!$D$250:$Q$250</definedName>
    <definedName name="_15__123Graph_CCONTRACT_BY_B_U" hidden="1">'[2]QRE Charts'!$D$277:$Q$277</definedName>
    <definedName name="_16__123Graph_BTAX_CREDIT" hidden="1">'[5]QRE Charts'!$E$332:$E$342</definedName>
    <definedName name="_16__123Graph_CQRE_S_BY_CO." hidden="1">'[2]QRE Charts'!$D$303:$R$303</definedName>
    <definedName name="_17__123Graph_BWAGES_BY_B_U" hidden="1">'[5]QRE Charts'!$D$224:$R$224</definedName>
    <definedName name="_17__123Graph_CQRE_S_BY_TYPE" hidden="1">'[2]QRE''s'!$D$101:$R$101</definedName>
    <definedName name="_18__123Graph_CCONTRACT_BY_B_U" hidden="1">'[5]QRE Charts'!$D$277:$Q$277</definedName>
    <definedName name="_18__123Graph_CSENS_COMPARISON" hidden="1">'[2]QRE Charts'!$E$367:$O$367</definedName>
    <definedName name="_19__123Graph_CQRE_S_BY_CO." hidden="1">'[5]QRE Charts'!$D$303:$R$303</definedName>
    <definedName name="_19__123Graph_CSUPPLIES_BY_B_U" hidden="1">'[2]QRE Charts'!$D$251:$Q$251</definedName>
    <definedName name="_1K" hidden="1">[6]Masterdata!#REF!</definedName>
    <definedName name="_2__123Graph_AQRE_S_BY_CO." hidden="1">'[2]QRE Charts'!$D$301:$R$301</definedName>
    <definedName name="_20__123Graph_CQRE_S_BY_TYPE" hidden="1">'[5]QRE''s'!$D$101:$R$101</definedName>
    <definedName name="_20__123Graph_CWAGES_BY_B_U" hidden="1">'[2]QRE Charts'!$D$225:$R$225</definedName>
    <definedName name="_21__123Graph_CSENS_COMPARISON" hidden="1">'[5]QRE Charts'!$E$367:$O$367</definedName>
    <definedName name="_21__123Graph_DCONTRACT_BY_B_U" hidden="1">'[2]QRE Charts'!$D$278:$Q$278</definedName>
    <definedName name="_22__123Graph_CSUPPLIES_BY_B_U" hidden="1">'[5]QRE Charts'!$D$251:$Q$251</definedName>
    <definedName name="_22__123Graph_DQRE_S_BY_CO." hidden="1">'[2]QRE Charts'!$D$304:$R$304</definedName>
    <definedName name="_23__123Graph_CWAGES_BY_B_U" hidden="1">'[5]QRE Charts'!$D$225:$R$225</definedName>
    <definedName name="_23__123Graph_DSUPPLIES_BY_B_U" hidden="1">'[2]QRE Charts'!$D$252:$Q$252</definedName>
    <definedName name="_24__123Graph_DCONTRACT_BY_B_U" hidden="1">'[5]QRE Charts'!$D$278:$Q$278</definedName>
    <definedName name="_24__123Graph_DWAGES_BY_B_U" hidden="1">'[2]QRE Charts'!$D$226:$R$226</definedName>
    <definedName name="_25__123Graph_DQRE_S_BY_CO." hidden="1">'[5]QRE Charts'!$D$304:$R$304</definedName>
    <definedName name="_25__123Graph_ECONTRACT_BY_B_U" hidden="1">'[2]QRE Charts'!$D$279:$Q$279</definedName>
    <definedName name="_26__123Graph_DSUPPLIES_BY_B_U" hidden="1">'[5]QRE Charts'!$D$252:$Q$252</definedName>
    <definedName name="_26__123Graph_EQRE_S_BY_CO." hidden="1">'[2]QRE Charts'!$D$305:$R$305</definedName>
    <definedName name="_27__123Graph_DWAGES_BY_B_U" hidden="1">'[5]QRE Charts'!$D$226:$R$226</definedName>
    <definedName name="_27__123Graph_ESUPPLIES_BY_B_U" hidden="1">'[2]QRE Charts'!$D$253:$Q$253</definedName>
    <definedName name="_28__123Graph_ECONTRACT_BY_B_U" hidden="1">'[5]QRE Charts'!$D$279:$Q$279</definedName>
    <definedName name="_28__123Graph_EWAGES_BY_B_U" hidden="1">'[2]QRE Charts'!$D$227:$R$227</definedName>
    <definedName name="_29__123Graph_EQRE_S_BY_CO." hidden="1">'[5]QRE Charts'!$D$305:$R$305</definedName>
    <definedName name="_29__123Graph_FCONTRACT_BY_B_U" hidden="1">'[2]QRE Charts'!$D$280:$Q$280</definedName>
    <definedName name="_2K" hidden="1">[6]Masterdata!#REF!</definedName>
    <definedName name="_2S" hidden="1">[6]Masterdata!#REF!</definedName>
    <definedName name="_3__123Graph_AQRE_S_BY_TYPE" hidden="1">'[2]QRE''s'!$D$99:$R$99</definedName>
    <definedName name="_30__123Graph_ESUPPLIES_BY_B_U" hidden="1">'[5]QRE Charts'!$D$253:$Q$253</definedName>
    <definedName name="_30__123Graph_FQRE_S_BY_CO." hidden="1">'[2]QRE Charts'!$D$306:$R$306</definedName>
    <definedName name="_31__123Graph_EWAGES_BY_B_U" hidden="1">'[5]QRE Charts'!$D$227:$R$227</definedName>
    <definedName name="_31__123Graph_FSUPPLIES_BY_B_U" hidden="1">'[2]QRE Charts'!$D$254:$Q$254</definedName>
    <definedName name="_32__123Graph_FCONTRACT_BY_B_U" hidden="1">'[5]QRE Charts'!$D$280:$Q$280</definedName>
    <definedName name="_32__123Graph_FWAGES_BY_B_U" hidden="1">'[2]QRE Charts'!$D$228:$R$228</definedName>
    <definedName name="_33__123Graph_FQRE_S_BY_CO." hidden="1">'[5]QRE Charts'!$D$306:$R$306</definedName>
    <definedName name="_33__123Graph_XCONTRACT_BY_B_U" hidden="1">'[2]QRE Charts'!$D$222:$R$222</definedName>
    <definedName name="_34__123Graph_FSUPPLIES_BY_B_U" hidden="1">'[5]QRE Charts'!$D$254:$Q$254</definedName>
    <definedName name="_34__123Graph_XQRE_S_BY_CO." hidden="1">'[2]QRE Charts'!$D$222:$R$222</definedName>
    <definedName name="_35__123Graph_FWAGES_BY_B_U" hidden="1">'[5]QRE Charts'!$D$228:$R$228</definedName>
    <definedName name="_35__123Graph_XQRE_S_BY_TYPE" hidden="1">'[2]QRE Charts'!$D$222:$R$222</definedName>
    <definedName name="_36__123Graph_XCONTRACT_BY_B_U" hidden="1">'[5]QRE Charts'!$D$222:$R$222</definedName>
    <definedName name="_36__123Graph_XSUPPLIES_BY_B_U" hidden="1">'[2]QRE Charts'!$D$222:$R$222</definedName>
    <definedName name="_37__123Graph_XQRE_S_BY_CO." hidden="1">'[5]QRE Charts'!$D$222:$R$222</definedName>
    <definedName name="_37__123Graph_XTAX_CREDIT" hidden="1">'[2]QRE Charts'!$C$332:$C$342</definedName>
    <definedName name="_38__123Graph_XQRE_S_BY_TYPE" hidden="1">'[5]QRE Charts'!$D$222:$R$222</definedName>
    <definedName name="_39__123Graph_XSUPPLIES_BY_B_U" hidden="1">'[5]QRE Charts'!$D$222:$R$222</definedName>
    <definedName name="_4__123Graph_ACONTRACT_BY_B_U" hidden="1">'[5]QRE Charts'!$D$275:$Q$275</definedName>
    <definedName name="_4__123Graph_ASENS_COMPARISON" hidden="1">'[2]QRE Charts'!$E$365:$O$365</definedName>
    <definedName name="_40__123Graph_XTAX_CREDIT" hidden="1">'[5]QRE Charts'!$C$332:$C$342</definedName>
    <definedName name="_4S" hidden="1">[6]Masterdata!#REF!</definedName>
    <definedName name="_5__123Graph_AQRE_S_BY_CO." hidden="1">'[5]QRE Charts'!$D$301:$R$301</definedName>
    <definedName name="_5__123Graph_ASUPPLIES_BY_B_U" hidden="1">'[2]QRE Charts'!$D$249:$Q$249</definedName>
    <definedName name="_6__123Graph_AQRE_S_BY_TYPE" hidden="1">'[5]QRE''s'!$D$99:$R$99</definedName>
    <definedName name="_6__123Graph_ATAX_CREDIT" hidden="1">'[2]QRE Charts'!$D$332:$D$342</definedName>
    <definedName name="_7__123Graph_ASENS_COMPARISON" hidden="1">'[5]QRE Charts'!$E$365:$O$365</definedName>
    <definedName name="_7__123Graph_AWAGES_BY_B_U" hidden="1">'[2]QRE Charts'!$D$223:$R$223</definedName>
    <definedName name="_8__123Graph_ASUPPLIES_BY_B_U" hidden="1">'[5]QRE Charts'!$D$249:$Q$249</definedName>
    <definedName name="_8__123Graph_BCONTRACT_BY_B_U" hidden="1">'[2]QRE Charts'!$D$276:$Q$276</definedName>
    <definedName name="_84_PHASE1">[2]Comparison!$E$9:$E$165</definedName>
    <definedName name="_85_PHASE1">[2]Comparison!$I$9:$I$165</definedName>
    <definedName name="_86_PHASE1">[2]Comparison!$M$9:$M$165</definedName>
    <definedName name="_87_PHASE1">[2]Comparison!$Q$9:$Q$165</definedName>
    <definedName name="_88_PHASE1">[2]Comparison!$U$9:$U$165</definedName>
    <definedName name="_89_PHASE1">[2]Comparison!$AD$9:$AD$165</definedName>
    <definedName name="_9__123Graph_ATAX_CREDIT" hidden="1">'[5]QRE Charts'!$D$332:$D$342</definedName>
    <definedName name="_9__123Graph_BQRE_S_BY_CO." hidden="1">'[2]QRE Charts'!$D$302:$R$302</definedName>
    <definedName name="_90_PHASE1">[2]Comparison!$AH$9:$AH$165</definedName>
    <definedName name="_91_PHASE1">[2]Comparison!$AL$9:$AL$165</definedName>
    <definedName name="_92_PHASE1">[2]Comparison!$AP$9:$AP$165</definedName>
    <definedName name="_93_PHASE1">[2]Comparison!$AT$9:$AT$165</definedName>
    <definedName name="_94_PHASE1">[2]Comparison!$AX$9:$AX$165</definedName>
    <definedName name="_95_PHASE1">[2]Comparison!$BB$9:$BB$165</definedName>
    <definedName name="_96_PHASE1">[2]Comparison!$BF$9:$BF$165</definedName>
    <definedName name="_97_PHASE1">[2]Comparison!$BJ$9:$BJ$165</definedName>
    <definedName name="_98_PHASE1">[2]Comparison!$BN$9:$BN$165</definedName>
    <definedName name="_agr8690">[2]Model!$I$58</definedName>
    <definedName name="_agr8790">[2]Model!$I$59</definedName>
    <definedName name="_agr8791">[2]Model!$J$59</definedName>
    <definedName name="_agr8890">[2]Model!$I$60</definedName>
    <definedName name="_agr8891">[2]Model!$J$60</definedName>
    <definedName name="_agr8892">[2]Model!$K$60</definedName>
    <definedName name="_agr8990">[2]Model!$I$61</definedName>
    <definedName name="_agr8991">[2]Model!$J$61</definedName>
    <definedName name="_agr8992">[2]Model!$K$61</definedName>
    <definedName name="_agr8993">[2]Model!$L$61</definedName>
    <definedName name="_agr9091">[2]Model!$J$62</definedName>
    <definedName name="_agr9092">[2]Model!$K$62</definedName>
    <definedName name="_agr9093">[2]Model!$L$62</definedName>
    <definedName name="_agr9094">[2]Model!$M$62</definedName>
    <definedName name="_agr9192">[2]Model!$K$63</definedName>
    <definedName name="_agr9193">[2]Model!$L$63</definedName>
    <definedName name="_agr9194">[2]Model!$M$63</definedName>
    <definedName name="_agr9195">[2]Model!$N$63</definedName>
    <definedName name="_agr9293">[2]Model!$L$64</definedName>
    <definedName name="_agr9294">[2]Model!$M$64</definedName>
    <definedName name="_agr9295">[2]Model!$N$64</definedName>
    <definedName name="_agr9296">[2]Model!$O$64</definedName>
    <definedName name="_agr9394">[2]Model!$M$65</definedName>
    <definedName name="_agr9395">[2]Model!$N$65</definedName>
    <definedName name="_agr9396">[2]Model!$O$65</definedName>
    <definedName name="_agr9397">[2]Model!$P$65</definedName>
    <definedName name="_agr9495">[2]Model!$N$66</definedName>
    <definedName name="_agr9496">[2]Model!$O$66</definedName>
    <definedName name="_agr9497">[2]Model!$P$66</definedName>
    <definedName name="_agr9498">[2]Model!$Q$66</definedName>
    <definedName name="_agr9596">[2]Model!$O$67</definedName>
    <definedName name="_agr9597">[2]Model!$P$67</definedName>
    <definedName name="_agr9598">[2]Model!$Q$67</definedName>
    <definedName name="_agr9697">[2]Model!$P$68</definedName>
    <definedName name="_agr9698">[2]Model!$Q$68</definedName>
    <definedName name="_agr9798">[2]Model!$Q$69</definedName>
    <definedName name="_dat1111">[1]Sheet1!$G$2:$G$29</definedName>
    <definedName name="_Dist_Bin" hidden="1">#REF!</definedName>
    <definedName name="_Dist_Values" hidden="1">#REF!</definedName>
    <definedName name="_FEB01" hidden="1">{#N/A,#N/A,FALSE,"EMPPAY"}</definedName>
    <definedName name="_Fill" hidden="1">#REF!</definedName>
    <definedName name="_Fill.1" hidden="1">#REF!</definedName>
    <definedName name="_H1">{"'Metretek HTML'!$A$7:$W$42"}</definedName>
    <definedName name="_JAN01" hidden="1">{#N/A,#N/A,FALSE,"EMPPAY"}</definedName>
    <definedName name="_JAN2001" hidden="1">{#N/A,#N/A,FALSE,"EMPPAY"}</definedName>
    <definedName name="_Key.1" hidden="1">#REF!</definedName>
    <definedName name="_Key1" localSheetId="22" hidden="1">#REF!</definedName>
    <definedName name="_Key1" hidden="1">#REF!</definedName>
    <definedName name="_Key2" hidden="1">'[7]Wage SPG 99'!#REF!</definedName>
    <definedName name="_MatInverse_In" hidden="1">#REF!</definedName>
    <definedName name="_MatInverse_Out" hidden="1">#REF!</definedName>
    <definedName name="_MatMult_A" hidden="1">#REF!</definedName>
    <definedName name="_MatMult_AxB" hidden="1">#REF!</definedName>
    <definedName name="_MatMult_B" hidden="1">#REF!</definedName>
    <definedName name="_OFF2">'[3]DPLG-APRIL2001-TRANSCHECKOUT'!$AC$2:$AC$10</definedName>
    <definedName name="_Order.1" hidden="1">255</definedName>
    <definedName name="_Order1" hidden="1">255</definedName>
    <definedName name="_Order2">255</definedName>
    <definedName name="_p.choice">#REF!</definedName>
    <definedName name="_Parse_In" hidden="1">#REF!</definedName>
    <definedName name="_Parse_Out" hidden="1">#REF!</definedName>
    <definedName name="_PPP1">'[3]DPLG-APRIL2001-TRANSCHECKOUT'!$A$1:$D$27</definedName>
    <definedName name="_qre84">'[2]QRE''s'!$D$1:$D$65536</definedName>
    <definedName name="_qre8490">[2]Model!$I$126</definedName>
    <definedName name="_qre8491">[2]Model!$J$126</definedName>
    <definedName name="_qre8492">[2]Model!$K$126</definedName>
    <definedName name="_qre8493">[2]Model!$L$126</definedName>
    <definedName name="_qre8494">[2]Model!$M$126</definedName>
    <definedName name="_qre8495">[2]Model!$N$126</definedName>
    <definedName name="_qre8496">[2]Model!$O$126</definedName>
    <definedName name="_qre8497">[2]Model!$P$126</definedName>
    <definedName name="_qre8498">[2]Model!$Q$126</definedName>
    <definedName name="_qre85">'[2]QRE''s'!$E$1:$E$65536</definedName>
    <definedName name="_qre8590">[2]Model!$I$127</definedName>
    <definedName name="_qre8591">[2]Model!$J$127</definedName>
    <definedName name="_qre8592">[2]Model!$K$127</definedName>
    <definedName name="_qre8593">[2]Model!$L$127</definedName>
    <definedName name="_qre8594">[2]Model!$M$127</definedName>
    <definedName name="_qre8595">[2]Model!$N$127</definedName>
    <definedName name="_qre8596">[2]Model!$O$127</definedName>
    <definedName name="_qre8597">[2]Model!$P$127</definedName>
    <definedName name="_qre8598">[2]Model!$Q$127</definedName>
    <definedName name="_qre86">'[2]QRE''s'!$F$1:$F$65536</definedName>
    <definedName name="_qre8690">[2]Model!$I$128</definedName>
    <definedName name="_qre8691">[2]Model!$J$128</definedName>
    <definedName name="_qre8692">[2]Model!$K$128</definedName>
    <definedName name="_qre8693">[2]Model!$L$128</definedName>
    <definedName name="_qre8694">[2]Model!$M$128</definedName>
    <definedName name="_qre8695">[2]Model!$N$128</definedName>
    <definedName name="_qre8696">[2]Model!$O$128</definedName>
    <definedName name="_qre8697">[2]Model!$P$128</definedName>
    <definedName name="_qre8698">[2]Model!$Q$128</definedName>
    <definedName name="_qre87">'[2]QRE''s'!$G$1:$G$65536</definedName>
    <definedName name="_qre8790">[2]Model!$I$129</definedName>
    <definedName name="_qre8791">[2]Model!$J$129</definedName>
    <definedName name="_qre8792">[2]Model!$K$129</definedName>
    <definedName name="_qre8793">[2]Model!$L$129</definedName>
    <definedName name="_qre8794">[2]Model!$M$129</definedName>
    <definedName name="_qre8795">[2]Model!$N$129</definedName>
    <definedName name="_qre8796">[2]Model!$O$129</definedName>
    <definedName name="_qre8797">[2]Model!$P$129</definedName>
    <definedName name="_qre8798">[2]Model!$Q$129</definedName>
    <definedName name="_qre88">'[2]QRE''s'!$H$1:$H$65536</definedName>
    <definedName name="_qre8890">[2]Model!$I$130</definedName>
    <definedName name="_qre8891">[2]Model!$J$130</definedName>
    <definedName name="_qre8892">[2]Model!$K$130</definedName>
    <definedName name="_qre8893">[2]Model!$L$130</definedName>
    <definedName name="_qre8894">[2]Model!$M$130</definedName>
    <definedName name="_qre8895">[2]Model!$N$130</definedName>
    <definedName name="_qre8896">[2]Model!$O$130</definedName>
    <definedName name="_qre8897">[2]Model!$P$130</definedName>
    <definedName name="_qre8898">[2]Model!$Q$130</definedName>
    <definedName name="_qre89">'[2]QRE''s'!$I$1:$I$65536</definedName>
    <definedName name="_qre90">'[2]QRE''s'!$J$1:$J$65536</definedName>
    <definedName name="_qre91">'[2]QRE''s'!$K$1:$K$65536</definedName>
    <definedName name="_qre92">'[2]QRE''s'!$L$1:$L$65536</definedName>
    <definedName name="_qre93">'[2]QRE''s'!$M$1:$M$65536</definedName>
    <definedName name="_qre94">'[2]QRE''s'!$N$1:$N$65536</definedName>
    <definedName name="_qre95">'[2]QRE''s'!$O$1:$O$65536</definedName>
    <definedName name="_qre96">'[2]QRE''s'!$P$1:$P$65536</definedName>
    <definedName name="_qre97">'[2]QRE''s'!$Q$1:$Q$65536</definedName>
    <definedName name="_qre98">'[2]QRE''s'!$R$1:$R$65536</definedName>
    <definedName name="_Regression_Int">1</definedName>
    <definedName name="_Regression_Out" hidden="1">#REF!</definedName>
    <definedName name="_Regression_X" hidden="1">#REF!</definedName>
    <definedName name="_Regression_Y" hidden="1">#REF!</definedName>
    <definedName name="_ryr56565" hidden="1">{#N/A,#N/A,FALSE,"Monthly SAIFI";#N/A,#N/A,FALSE,"Yearly SAIFI";#N/A,#N/A,FALSE,"Monthly CAIDI";#N/A,#N/A,FALSE,"Yearly CAIDI";#N/A,#N/A,FALSE,"Monthly SAIDI";#N/A,#N/A,FALSE,"Yearly SAIDI";#N/A,#N/A,FALSE,"Monthly MAIFI";#N/A,#N/A,FALSE,"Yearly MAIFI";#N/A,#N/A,FALSE,"Monthly Cust &gt;=4 Int"}</definedName>
    <definedName name="_Sort" localSheetId="22" hidden="1">#REF!</definedName>
    <definedName name="_Sort" hidden="1">#REF!</definedName>
    <definedName name="_Sort.1" hidden="1">#REF!</definedName>
    <definedName name="_Table1_Out" hidden="1">#REF!</definedName>
    <definedName name="_tet12" hidden="1">{"assumptions",#N/A,FALSE,"Scenario 1";"valuation",#N/A,FALSE,"Scenario 1"}</definedName>
    <definedName name="_tet5" hidden="1">{"assumptions",#N/A,FALSE,"Scenario 1";"valuation",#N/A,FALSE,"Scenario 1"}</definedName>
    <definedName name="_tqc90">'[2]QRE''s'!$J$101</definedName>
    <definedName name="_tqc91">'[2]QRE''s'!$K$101</definedName>
    <definedName name="_tqc92">'[2]QRE''s'!$L$101</definedName>
    <definedName name="_tqc93">'[2]QRE''s'!$M$101</definedName>
    <definedName name="_tqc94">'[2]QRE''s'!$N$101</definedName>
    <definedName name="_tqc95">'[2]QRE''s'!$O$101</definedName>
    <definedName name="_tqc96">'[2]QRE''s'!$P$101</definedName>
    <definedName name="_tqc97">'[2]QRE''s'!$Q$101</definedName>
    <definedName name="_tqc98">'[2]QRE''s'!$R$101</definedName>
    <definedName name="_tql90">'[2]QRE''s'!$J$99</definedName>
    <definedName name="_tql91">'[2]QRE''s'!$K$99</definedName>
    <definedName name="_tql92">'[2]QRE''s'!$L$99</definedName>
    <definedName name="_tql93">'[2]QRE''s'!$M$99</definedName>
    <definedName name="_tql94">'[2]QRE''s'!$N$99</definedName>
    <definedName name="_tql95">'[2]QRE''s'!$O$99</definedName>
    <definedName name="_tql96">'[2]QRE''s'!$P$99</definedName>
    <definedName name="_tql97">'[2]QRE''s'!$Q$99</definedName>
    <definedName name="_tql98">'[2]QRE''s'!$R$99</definedName>
    <definedName name="_tqs90">'[2]QRE''s'!$J$100</definedName>
    <definedName name="_tqs91">'[2]QRE''s'!$K$100</definedName>
    <definedName name="_tqs92">'[2]QRE''s'!$L$100</definedName>
    <definedName name="_tqs93">'[2]QRE''s'!$M$100</definedName>
    <definedName name="_tqs94">'[2]QRE''s'!$N$100</definedName>
    <definedName name="_tqs95">'[2]QRE''s'!$O$100</definedName>
    <definedName name="_tqs96">'[2]QRE''s'!$P$100</definedName>
    <definedName name="_tqs97">'[2]QRE''s'!$Q$100</definedName>
    <definedName name="_tqs98">'[2]QRE''s'!$R$100</definedName>
    <definedName name="a.1" hidden="1">{"LBO Summary",#N/A,FALSE,"Summary"}</definedName>
    <definedName name="AA.print">#REF!</definedName>
    <definedName name="aaa" hidden="1">{#N/A,#N/A,FALSE,"O&amp;M by processes";#N/A,#N/A,FALSE,"Elec Act vs Bud";#N/A,#N/A,FALSE,"G&amp;A";#N/A,#N/A,FALSE,"BGS";#N/A,#N/A,FALSE,"Res Cost"}</definedName>
    <definedName name="aaaaaaaaaaaaaaa" hidden="1">{#N/A,#N/A,FALSE,"O&amp;M by processes";#N/A,#N/A,FALSE,"Elec Act vs Bud";#N/A,#N/A,FALSE,"G&amp;A";#N/A,#N/A,FALSE,"BGS";#N/A,#N/A,FALSE,"Res Cost"}</definedName>
    <definedName name="ab">{"'Metretek HTML'!$A$7:$W$42"}</definedName>
    <definedName name="AB.print">#REF!</definedName>
    <definedName name="above">OFFSET(!A1,-1,0)</definedName>
    <definedName name="AC_255">'[8]AC 255'!$A$1:$M$32</definedName>
    <definedName name="ActivityType">'[9]Activity Type'!$1:$1048576</definedName>
    <definedName name="Actual">[10]Assumptions!$E$52</definedName>
    <definedName name="adfsadfds" hidden="1">{#N/A,#N/A,FALSE,"Monthly SAIFI";#N/A,#N/A,FALSE,"Yearly SAIFI";#N/A,#N/A,FALSE,"Monthly CAIDI";#N/A,#N/A,FALSE,"Yearly CAIDI";#N/A,#N/A,FALSE,"Monthly SAIDI";#N/A,#N/A,FALSE,"Yearly SAIDI";#N/A,#N/A,FALSE,"Monthly MAIFI";#N/A,#N/A,FALSE,"Yearly MAIFI";#N/A,#N/A,FALSE,"Monthly Cust &gt;=4 Int"}</definedName>
    <definedName name="ADIT_TST">'[11]A.2 PTP'!$P$55</definedName>
    <definedName name="ADTL">'[11]C. Input'!$F$144</definedName>
    <definedName name="ag_1">'[12]Input Page'!$G$7</definedName>
    <definedName name="ag_cap_indirect">'[13]Input Page'!$G$7</definedName>
    <definedName name="ag_mix_cap">'[13]Input Page'!$G$8</definedName>
    <definedName name="ag_mix_total">'[13]Input Page'!$G$9</definedName>
    <definedName name="AG_TST">'[11]A.2 PTP'!$P$111</definedName>
    <definedName name="aging" hidden="1">{#N/A,#N/A,FALSE,"Aging Summary";#N/A,#N/A,FALSE,"Ratio Analysis";#N/A,#N/A,FALSE,"Test 120 Day Accts";#N/A,#N/A,FALSE,"Tickmarks"}</definedName>
    <definedName name="AGXP">'[11]C. Input'!$F$201</definedName>
    <definedName name="aircqre">[2]AIRC!$C$15</definedName>
    <definedName name="aircqrelabel">[2]AIRC!$B$15</definedName>
    <definedName name="airctitle">[2]AIRC!$A$1</definedName>
    <definedName name="Alignment" hidden="1">"a1"</definedName>
    <definedName name="ALL_QRES">[2]Sens_QRE_Factor!$D$8:$R$98</definedName>
    <definedName name="ALL_QRES0.75">'[2]QRE Charts'!$E$365</definedName>
    <definedName name="ALL_QRES0.80">'[2]QRE Charts'!$F$365</definedName>
    <definedName name="ALL_QRES0.85">'[2]QRE Charts'!$G$365</definedName>
    <definedName name="ALL_QRES0.90">'[2]QRE Charts'!$H$365</definedName>
    <definedName name="ALL_QRES0.95">'[2]QRE Charts'!$I$365</definedName>
    <definedName name="ALL_QRES1.00">'[2]QRE Charts'!$J$365</definedName>
    <definedName name="ALL_QRES1.05">'[2]QRE Charts'!$K$365</definedName>
    <definedName name="ALL_QRES1.10">'[2]QRE Charts'!$L$365</definedName>
    <definedName name="ALL_QRES1.15">'[2]QRE Charts'!$M$365</definedName>
    <definedName name="ALL_QRES1.20">'[2]QRE Charts'!$N$365</definedName>
    <definedName name="ALL_QRES1.25">'[2]QRE Charts'!$O$365</definedName>
    <definedName name="AllASS">[14]ALL!$B$25</definedName>
    <definedName name="ALLCGI">[14]ALL!$D$25</definedName>
    <definedName name="Allocator.gross.plant">'[15]Appendix A'!$H$29</definedName>
    <definedName name="Allocator.net.plant">'[15]Appendix A'!$H$32</definedName>
    <definedName name="Allocator.wages.salary">'[15]Appendix A'!$H$17</definedName>
    <definedName name="ALLRD">[14]ALL!$C$25</definedName>
    <definedName name="ALLSKP">[14]ALL!$E$25</definedName>
    <definedName name="alsdfa" hidden="1">{#N/A,#N/A,FALSE,"Monthly SAIFI";#N/A,#N/A,FALSE,"Yearly SAIFI";#N/A,#N/A,FALSE,"Monthly CAIDI";#N/A,#N/A,FALSE,"Yearly CAIDI";#N/A,#N/A,FALSE,"Monthly SAIDI";#N/A,#N/A,FALSE,"Yearly SAIDI";#N/A,#N/A,FALSE,"Monthly MAIFI";#N/A,#N/A,FALSE,"Yearly MAIFI";#N/A,#N/A,FALSE,"Monthly Cust &gt;=4 Int"}</definedName>
    <definedName name="AMHERST">#REF!</definedName>
    <definedName name="Amort_04">'[11]D.16.1.2 Table B 2004'!$A$24:$U$35</definedName>
    <definedName name="Amort_05">'[11]D.16.1.3 Table B 2005'!$A$24:$U$36</definedName>
    <definedName name="Amort_06">'[11]D.16.1.4 Table B 2006'!$A$24:$U$37</definedName>
    <definedName name="Amort_07">'[11]D.16.1.5 Table B 2007'!$A$24:$U$38</definedName>
    <definedName name="Amort_08">'[11]D.16.1.6 Table B 2008'!$A$24:$U$39</definedName>
    <definedName name="Amort_09">'[11]D.16.1.7 Table B 2009'!$A$24:$U$39</definedName>
    <definedName name="Amort_10">'[11]D.16.1.8 Table B 2010'!$A$24:$U$39</definedName>
    <definedName name="Amort_11">'[11]D.16.1.9 Table B 2011'!$A$24:$U$39</definedName>
    <definedName name="Amort_12">'[11]D.16.1.10 Table B 2012'!$A$24:$U$39</definedName>
    <definedName name="anscount" hidden="1">1</definedName>
    <definedName name="AO.print">#REF!</definedName>
    <definedName name="APN">'[16]Gas Ferc 2 2003'!$V$2</definedName>
    <definedName name="ARB_04">'[11]D.16.1.2 Table B 2004'!$A$39:$U$50</definedName>
    <definedName name="ARB_05">'[11]D.16.1.3 Table B 2005'!$A$40:$U$52</definedName>
    <definedName name="ARB_06">'[11]D.16.1.4 Table B 2006'!$A$41:$U$54</definedName>
    <definedName name="ARB_07">'[11]D.16.1.5 Table B 2007'!$A$42:$U$56</definedName>
    <definedName name="ARB_08">'[11]D.16.1.6 Table B 2008'!$A$43:$U$58</definedName>
    <definedName name="ARB_09">'[11]D.16.1.7 Table B 2009'!$A$43:$U$58</definedName>
    <definedName name="ARB_10">'[11]D.16.1.8 Table B 2010'!$A$43:$U$58</definedName>
    <definedName name="ARB_11">'[11]D.16.1.9 Table B 2011'!$A$43:$U$58</definedName>
    <definedName name="AS">{"'Metretek HTML'!$A$7:$W$42"}</definedName>
    <definedName name="AS2DocOpenMode" hidden="1">"AS2DocumentEdit"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OfMonthText">[17]Input!$B$6</definedName>
    <definedName name="assd" hidden="1">{#N/A,#N/A,FALSE,"Monthly SAIFI";#N/A,#N/A,FALSE,"Yearly SAIFI";#N/A,#N/A,FALSE,"Monthly CAIDI";#N/A,#N/A,FALSE,"Yearly CAIDI";#N/A,#N/A,FALSE,"Monthly SAIDI";#N/A,#N/A,FALSE,"Yearly SAIDI";#N/A,#N/A,FALSE,"Monthly MAIFI";#N/A,#N/A,FALSE,"Yearly MAIFI";#N/A,#N/A,FALSE,"Monthly Cust &gt;=4 Int"}</definedName>
    <definedName name="AV.FM.1..adjusted..print">#REF!</definedName>
    <definedName name="AV.FM.1.print">#REF!</definedName>
    <definedName name="avoidint">"V2001-12-31"</definedName>
    <definedName name="az">{"'Metretek HTML'!$A$7:$W$42"}</definedName>
    <definedName name="b_u_10">'[2]QRE''s'!$A$39:$IV$94</definedName>
    <definedName name="b_u_11">'[2]QRE''s'!$A$43:$IV$94</definedName>
    <definedName name="b_u_12">'[2]QRE''s'!$A$47:$IV$94</definedName>
    <definedName name="b_u_13">'[2]QRE''s'!$A$51:$IV$94</definedName>
    <definedName name="b_u_14">'[2]QRE''s'!$A$55:$IV$94</definedName>
    <definedName name="b_u_15">'[2]QRE''s'!$A$59:$IV$94</definedName>
    <definedName name="b_u_16">'[2]QRE''s'!$A$63:$IV$94</definedName>
    <definedName name="b_u_17">'[2]QRE''s'!$A$67:$IV$94</definedName>
    <definedName name="b_u_18">'[2]QRE''s'!$A$71:$IV$94</definedName>
    <definedName name="b_u_19">'[2]QRE''s'!$A$75:$IV$94</definedName>
    <definedName name="b_u_2">'[2]QRE''s'!$A$11:$IV$94</definedName>
    <definedName name="b_u_20">'[2]QRE''s'!$A$79:$IV$94</definedName>
    <definedName name="b_u_21">'[2]QRE''s'!$A$83:$IV$94</definedName>
    <definedName name="b_u_22">'[2]QRE''s'!$A$87:$IV$94</definedName>
    <definedName name="b_u_23">'[2]QRE''s'!$A$91:$IV$94</definedName>
    <definedName name="b_u_3">'[2]QRE''s'!$A$11:$IV$94</definedName>
    <definedName name="b_u_4">'[2]QRE''s'!$A$15:$IV$94</definedName>
    <definedName name="b_u_5">'[2]QRE''s'!$A$19:$IV$94</definedName>
    <definedName name="b_u_6">'[2]QRE''s'!$A$23:$IV$94</definedName>
    <definedName name="b_u_7">'[2]QRE''s'!$A$27:$IV$94</definedName>
    <definedName name="b_u_8">'[2]QRE''s'!$A$31:$IV$94</definedName>
    <definedName name="b_u_9">'[2]QRE''s'!$A$35:$IV$94</definedName>
    <definedName name="BA.print">#REF!</definedName>
    <definedName name="BALANCE">'[18]MTHLY BAL.'!$A$6:$O$89</definedName>
    <definedName name="BASE_DETAIL_QRE">[2]Sens_QRE_Factor!$D$8:$H$98</definedName>
    <definedName name="BASE_QRES">[2]Sens_QRE_Factor!$D$8:$H$98</definedName>
    <definedName name="BASE_QRES0.75">'[2]QRE Charts'!$E$366</definedName>
    <definedName name="BASE_QRES0.80">'[2]QRE Charts'!$F$366</definedName>
    <definedName name="BASE_QRES0.85">'[2]QRE Charts'!$G$366</definedName>
    <definedName name="BASE_QRES0.90">'[2]QRE Charts'!$H$366</definedName>
    <definedName name="BASE_QRES0.95">'[2]QRE Charts'!$I$366</definedName>
    <definedName name="BASE_QRES1.00">'[2]QRE Charts'!$J$366</definedName>
    <definedName name="BASE_QRES1.05">'[2]QRE Charts'!$K$366</definedName>
    <definedName name="BASE_QRES1.10">'[2]QRE Charts'!$L$366</definedName>
    <definedName name="BASE_QRES1.15">'[2]QRE Charts'!$M$366</definedName>
    <definedName name="BASE_QRES1.20">'[2]QRE Charts'!$N$366</definedName>
    <definedName name="BASE_QRES1.25">'[2]QRE Charts'!$O$366</definedName>
    <definedName name="Basis_Points">[10]Assumptions!$H$15</definedName>
    <definedName name="BB.print">#REF!</definedName>
    <definedName name="bbb" hidden="1">{#N/A,#N/A,FALSE,"O&amp;M by processes";#N/A,#N/A,FALSE,"Elec Act vs Bud";#N/A,#N/A,FALSE,"G&amp;A";#N/A,#N/A,FALSE,"BGS";#N/A,#N/A,FALSE,"Res Cost"}</definedName>
    <definedName name="bbbb" hidden="1">{#N/A,#N/A,FALSE,"O&amp;M by processes";#N/A,#N/A,FALSE,"Elec Act vs Bud";#N/A,#N/A,FALSE,"G&amp;A";#N/A,#N/A,FALSE,"BGS";#N/A,#N/A,FALSE,"Res Cost"}</definedName>
    <definedName name="bbbbb" hidden="1">{#N/A,#N/A,FALSE,"O&amp;M by processes";#N/A,#N/A,FALSE,"Elec Act vs Bud";#N/A,#N/A,FALSE,"G&amp;A";#N/A,#N/A,FALSE,"BGS";#N/A,#N/A,FALSE,"Res Cost"}</definedName>
    <definedName name="bbc" hidden="1">{#N/A,#N/A,FALSE,"O&amp;M by processes";#N/A,#N/A,FALSE,"Elec Act vs Bud";#N/A,#N/A,FALSE,"G&amp;A";#N/A,#N/A,FALSE,"BGS";#N/A,#N/A,FALSE,"Res Cost"}</definedName>
    <definedName name="BEACH_CITY">#REF!</definedName>
    <definedName name="beg_CWIP">'[19]Input Page'!$E$19</definedName>
    <definedName name="below">OFFSET(!A1,1,0)</definedName>
    <definedName name="Benefits">350</definedName>
    <definedName name="beny" hidden="1">{#N/A,#N/A,FALSE,"Monthly SAIFI";#N/A,#N/A,FALSE,"Yearly SAIFI";#N/A,#N/A,FALSE,"Monthly CAIDI";#N/A,#N/A,FALSE,"Yearly CAIDI";#N/A,#N/A,FALSE,"Monthly SAIDI";#N/A,#N/A,FALSE,"Yearly SAIDI";#N/A,#N/A,FALSE,"Monthly MAIFI";#N/A,#N/A,FALSE,"Yearly MAIFI";#N/A,#N/A,FALSE,"Monthly Cust &gt;=4 Int"}</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MBY8XXUOHIZ4LHXHPD7WYD5" hidden="1">#REF!</definedName>
    <definedName name="BEx00O4PAWETUBT0XVI1C4OHM15U" hidden="1">'[20]10.08.5 - 2008 Capital - TDBU'!#REF!</definedName>
    <definedName name="BEx01HY6E3GJ66ABU5ABN26V6Q13" hidden="1">#REF!</definedName>
    <definedName name="BEx01PQPVA98GRAAKX3HEZZ0XK5C" hidden="1">#REF!</definedName>
    <definedName name="BEx01PW5YQKEGAR8JDDI5OARYXDF" hidden="1">#REF!</definedName>
    <definedName name="BEx01XJ94SHJ1YQ7ORPW0RQGKI2H" hidden="1">#REF!</definedName>
    <definedName name="BEx0262TTS9LPE4KF6VUW72201AB" hidden="1">#REF!</definedName>
    <definedName name="BEx02PPH4OWYB9ZB2611OC9DA9M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XBADB31WUEH8U617C5F40X9" hidden="1">#REF!</definedName>
    <definedName name="BEx1FZV2CM77TBH1R6YYV9P06KA2" hidden="1">#REF!</definedName>
    <definedName name="BEx1G59AY8195JTUM6P18VXUFJ3E" hidden="1">#REF!</definedName>
    <definedName name="BEx1GRFPRSO5UT952RBFGUHDUZN5" hidden="1">#REF!</definedName>
    <definedName name="BEx1GVMRHFXUP6XYYY9NR12PV5TF" hidden="1">#REF!</definedName>
    <definedName name="BEx1H6KIT7BHUH6MDDWC935V9N47"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U8WGEGZ07PO2AYJ3Q7JV682" hidden="1">'[20]10.08.3 - 2008 Expense - TDBU'!#REF!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J0CSSHDJGBJUHVOEMCF2P4DL" hidden="1">#REF!</definedName>
    <definedName name="BEx1J61RRF9LJ3V3R5OY3WJ6VBWR"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NDJQ0189VAB5O88Z9N2B1" hidden="1">#REF!</definedName>
    <definedName name="BEx1JXBM5W4YRWNQ0P95QQS6JWD6" hidden="1">#REF!</definedName>
    <definedName name="BEx1K4D3BL8221FE5HGCB9VDX83Q" hidden="1">'[20]10.08.5 - 2008 Capital - TDBU'!#REF!</definedName>
    <definedName name="BEx1K95QRKBCQOHKAK00IAOF748I" hidden="1">#REF!</definedName>
    <definedName name="BEx1KGCOC0TV99C9CNDK7IZRHVGO" hidden="1">#REF!</definedName>
    <definedName name="BEx1KGY9QEHZ9QSARMQUTQKRK4UX" hidden="1">#REF!</definedName>
    <definedName name="BEx1KKP1ELIF2UII2FWVGL7M1X7J" hidden="1">#REF!</definedName>
    <definedName name="BEx1KUVWMB0QCWA3RBE4CADFVRIS" hidden="1">#REF!</definedName>
    <definedName name="BEx1L2OG1SDFK2TPXELJ77YP4NI2" hidden="1">#REF!</definedName>
    <definedName name="BEx1L6Q60MWRDJB4L20LK0XPA0Z2" hidden="1">#REF!</definedName>
    <definedName name="BEx1LAX8UE95OMEMCKW7PJJO7FX5" hidden="1">#REF!</definedName>
    <definedName name="BEx1LD63FP2Z4BR9TKSHOZW9KKZ5" hidden="1">#REF!</definedName>
    <definedName name="BEx1LDMB9RW982DUILM2WPT5VWQ3" hidden="1">#REF!</definedName>
    <definedName name="BEx1LR3VGF6TOZ4ZPIXZ96JKRKKD" hidden="1">#REF!</definedName>
    <definedName name="BEx1LRPGDQCOEMW8YT80J1XCDCIV" hidden="1">#REF!</definedName>
    <definedName name="BEx1LRUSJW4JG54X07QWD9R27WV9" hidden="1">#REF!</definedName>
    <definedName name="BEx1LU92C01NBTGCF0WADTO32CU2" hidden="1">#REF!</definedName>
    <definedName name="BEx1M1WBK5T0LP1AK2JYV6W87ID6" hidden="1">#REF!</definedName>
    <definedName name="BEx1M51HHDYGIT8PON7U8ICL2S95" hidden="1">#REF!</definedName>
    <definedName name="BEx1M68NRL0QD9UQV1RA9L68505H" hidden="1">#REF!</definedName>
    <definedName name="BEx1MQ0S8ZPM3QRPBJFVO8KGKJO2" hidden="1">#REF!</definedName>
    <definedName name="BEx1MTRKKVCHOZ0YGID6HZ49LJTO" hidden="1">#REF!</definedName>
    <definedName name="BEx1N3CUJ3UX61X38ZAJVPEN4KMC" hidden="1">#REF!</definedName>
    <definedName name="BEx1NM34KQTO1LDNSAFD1L82UZFG" hidden="1">#REF!</definedName>
    <definedName name="BEx1NNQJ0R56EJAAW1MXNECZ55XH" hidden="1">'[20]10.08.5 - 2008 Capital - TDBU'!#REF!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HGT1KV1PHK1VQ1OUH4VP" hidden="1">#REF!</definedName>
    <definedName name="BEx1OFB62PDZZNV8TCVH2GJNNOSC" hidden="1">#REF!</definedName>
    <definedName name="BEx1OLAZ915OGYWP0QP1QQWDLCRX" hidden="1">#REF!</definedName>
    <definedName name="BEx1OO5ER042IS6IC4TLDI75JNVH" hidden="1">#REF!</definedName>
    <definedName name="BEx1OTE544O0H6QOAIX6QZKHCDFW"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58EB7DAA5Y346WUQVQR9QEO" hidden="1">#REF!</definedName>
    <definedName name="BEx1P7S1J4TKGVJ43C2Q2R3M9WRB" hidden="1">#REF!</definedName>
    <definedName name="BEx1PA11BLPVZM8RC5BL46WX8YB5" hidden="1">#REF!</definedName>
    <definedName name="BEx1PBZ4BEFIPGMQXT9T8S4PZ2IM" hidden="1">#REF!</definedName>
    <definedName name="BEx1PKINWPH6BLUM5BTUM1OMO78L" hidden="1">#REF!</definedName>
    <definedName name="BEx1PLF2CFSXBZPVI6CJ534EIJDN" hidden="1">#REF!</definedName>
    <definedName name="BEx1PMWZB2DO6EM9BKLUICZJ65HD" hidden="1">#REF!</definedName>
    <definedName name="BEx1PUK290DX9LHEN2RS5E5L92YR" hidden="1">#REF!</definedName>
    <definedName name="BEx1PWNKPN825TMXC0L3V3FWMXS4" hidden="1">'[20]10.08.2 - 2008 Expense'!#REF!</definedName>
    <definedName name="BEx1Q21TG5PWZ4V504UC7VGQ9FEI" hidden="1">#REF!</definedName>
    <definedName name="BEx1QA54J2A4I7IBQR19BTY28ZMR" hidden="1">#REF!</definedName>
    <definedName name="BEx1QMKTAIQ9VGEWQ95YM98EUX0H" hidden="1">#REF!</definedName>
    <definedName name="BEx1QMQAHG3KQUK59DVM68SWKZIZ" hidden="1">#REF!</definedName>
    <definedName name="BEx1R9YFKJCMSEST8OVCAO5E47FO" hidden="1">#REF!</definedName>
    <definedName name="BEx1RBGC06B3T52OIC0EQ1KGVP1I" hidden="1">#REF!</definedName>
    <definedName name="BEx1RG3NJLA83JCT26IM1NH7FHA3" hidden="1">#REF!</definedName>
    <definedName name="BEx1RPJGA9DKDGRAYU2BHE6FRJ0N"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FGNVAFMGBWWJ1P5SP00N381" hidden="1">#REF!</definedName>
    <definedName name="BEx1SFGP1BMG8LP140SHD1AEEPXP" hidden="1">'[20]10.08.3 - 2008 Expense - TDBU'!#REF!</definedName>
    <definedName name="BEx1SK3U02H0RGKEYXW7ZMCEOF3V" hidden="1">#REF!</definedName>
    <definedName name="BEx1SO5L68CL3H1IC2HQ6TPY8U6F" hidden="1">#REF!</definedName>
    <definedName name="BEx1SSNEZINBJT29QVS62VS1THT4" hidden="1">#REF!</definedName>
    <definedName name="BEx1SVNCHNANBJIDIQVB8AFK4HAN" hidden="1">#REF!</definedName>
    <definedName name="BEx1TE2YGKCOGDSQUWA9TLZW5GV4" hidden="1">#REF!</definedName>
    <definedName name="BEx1TJ0WLS9O7KNSGIPWTYHDYI1D" hidden="1">#REF!</definedName>
    <definedName name="BEx1TLF98B75D1P3EJQ1GRYKUU6P" hidden="1">#REF!</definedName>
    <definedName name="BEx1TYRAHXVPGDVF5KTTB3900F58" hidden="1">'[20]10.08.4 -2008 Capital'!#REF!</definedName>
    <definedName name="BEx1U15M7LVVFZENH830B2BGWC04" hidden="1">#REF!</definedName>
    <definedName name="BEx1U5NGVTXGL4CIPVT5O034KGGR" hidden="1">'[20]10.08.3 - 2008 Expense - TDBU'!#REF!</definedName>
    <definedName name="BEx1U7WFO8OZKB1EBF4H386JW91L" hidden="1">#REF!</definedName>
    <definedName name="BEx1U87938YR9N6HYI24KVBKLOS3" hidden="1">#REF!</definedName>
    <definedName name="BEx1UESH4KDWHYESQU2IE55RS3LI" hidden="1">#REF!</definedName>
    <definedName name="BEx1UFZM4VZBYSPNK43H7Y6HNB2B" hidden="1">#REF!</definedName>
    <definedName name="BEx1UI8N9KTCPSOJ7RDW0T8UEBNP" hidden="1">#REF!</definedName>
    <definedName name="BEx1UML0HHJFHA5TBOYQ24I3RV1W" hidden="1">#REF!</definedName>
    <definedName name="BEx1UUDIQPZ23XQ79GUL0RAWRSCK" hidden="1">#REF!</definedName>
    <definedName name="BEx1UUTSK2C11SHV8AJXLYCJP9N4" hidden="1">#REF!</definedName>
    <definedName name="BEx1V67SEV778NVW68J8W5SND1J7" hidden="1">#REF!</definedName>
    <definedName name="BEx1VAK6RBDZVE57N471WHPORUOE" hidden="1">#REF!</definedName>
    <definedName name="BEx1VIY9SQLRESD11CC4PHYT0XSG" hidden="1">#REF!</definedName>
    <definedName name="BEx1WC67EH10SC38QWX3WEA5KH3A" hidden="1">#REF!</definedName>
    <definedName name="BEx1WGYTKZZIPM1577W5FEYKFH3V" hidden="1">#REF!</definedName>
    <definedName name="BEx1WHPURIV3D3PTJJ359H1OP7ZV" hidden="1">#REF!</definedName>
    <definedName name="BEx1WLWY2CR1WRD694JJSWSDFAIR" hidden="1">#REF!</definedName>
    <definedName name="BEx1WMD1LWPWRIK6GGAJRJAHJM8I" hidden="1">#REF!</definedName>
    <definedName name="BEx1WR0D41MR174LBF3P9E3K0J51" hidden="1">#REF!</definedName>
    <definedName name="BEx1WUB1FAS5PHU33TJ60SUHR618" hidden="1">#REF!</definedName>
    <definedName name="BEx1WX04G0INSPPG9NTNR3DYR6PZ" hidden="1">#REF!</definedName>
    <definedName name="BEx1X1SS6VBZVRNQ2BCV14SDSN2T" hidden="1">#REF!</definedName>
    <definedName name="BEx1X3LHU9DPG01VWX2IF65TRATF"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40E3PP1FR4Z1T8TYMERO4NV" hidden="1">#REF!</definedName>
    <definedName name="BEx1YESSUDLAERX6LBB8V56M8SLC"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3OD51ISAN2LLIBMULN0U4ZC" hidden="1">#REF!</definedName>
    <definedName name="BEx3BAKI5N8MFGVWZWCRJQZ879OO" hidden="1">#REF!</definedName>
    <definedName name="BEx3BG9I89VA2OLYT4PV61JDXU69" hidden="1">#REF!</definedName>
    <definedName name="BEx3BG9J3N0QW0HQLPDKHG4LNUP8"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WAOSJWUXB8I63LLLOB0IJP1" hidden="1">#REF!</definedName>
    <definedName name="BEx3BYP0FG369M7G3JEFLMMXAKTS" hidden="1">#REF!</definedName>
    <definedName name="BEx3C2QR0WUD19QSVO8EMIPNQJKH" hidden="1">#REF!</definedName>
    <definedName name="BEx3C8AAGO4EJFEL0JJN2VY0HYIB" hidden="1">#REF!</definedName>
    <definedName name="BEx3CCS3VNR1KW2R7DKSQFZ17QW0" hidden="1">#REF!</definedName>
    <definedName name="BEx3CJTRYTU2EE1EL7M6DVFD01KO" hidden="1">#REF!</definedName>
    <definedName name="BEx3CKFCCPZZ6ROLAT5C1DZNIC1U" hidden="1">#REF!</definedName>
    <definedName name="BEx3CN4AESXZTH159TR8B9DJG12Z" hidden="1">#REF!</definedName>
    <definedName name="BEx3CO0SVO4WLH0DO43DCHYDTH1P" hidden="1">#REF!</definedName>
    <definedName name="BEx3D9G6QTSPF9UYI4X0XY0VE896" hidden="1">#REF!</definedName>
    <definedName name="BEx3DCQU9PBRXIMLO62KS5RLH447" hidden="1">#REF!</definedName>
    <definedName name="BEx3E9K8R6R3TVXS3UM0127D8DNP" hidden="1">#REF!</definedName>
    <definedName name="BEx3EE23XC21IEMZ81C84ZBTBZA8" hidden="1">#REF!</definedName>
    <definedName name="BEx3EF99FD6QNNCNOKDEE67JHTUJ"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EYVWCTX3E5LGECYH82ENAGBU" hidden="1">#REF!</definedName>
    <definedName name="BEx3F0JC8H5K4UPZ6HTO1OZ2OOOA" hidden="1">#REF!</definedName>
    <definedName name="BEx3F86EA79UA9R15EEYT5ZAYQGI" hidden="1">#REF!</definedName>
    <definedName name="BEx3FF2JGKF9FOM69W2I5I0JVUSZ" hidden="1">#REF!</definedName>
    <definedName name="BEx3FHMD1P5XBCH23ZKIFO6ZTCNB" hidden="1">#REF!</definedName>
    <definedName name="BEx3FI2G3YYIACQHXNXEA15M8ZK5" hidden="1">#REF!</definedName>
    <definedName name="BEx3FJ9MHSLDK8W91GO85FX1GX57" hidden="1">#REF!</definedName>
    <definedName name="BEx3FNM4HIBMXBBXPV7LKCWA3GHW" hidden="1">#REF!</definedName>
    <definedName name="BEx3FR251HFU7A33PU01SJUENL2B" hidden="1">#REF!</definedName>
    <definedName name="BEx3FRIE1T53ZMO1E61ZGQ9THDOQ" hidden="1">'[20]10.08.5 - 2008 Capital - TDBU'!#REF!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3HT0ZM1BO84RTJMXZ1842C6" hidden="1">'[20]10.08.5 - 2008 Capital - TDBU'!#REF!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VD97A24S6H24BSXJFP4JCW6" hidden="1">#REF!</definedName>
    <definedName name="BEx3H5UX2GZFZZT657YR76RHW5I6" hidden="1">#REF!</definedName>
    <definedName name="BEx3HMSEFOP6DBM4R97XA6B7NFG6" hidden="1">#REF!</definedName>
    <definedName name="BEx3HNZM1GOP9RT8C2AXOMFXIMQ8" hidden="1">#REF!</definedName>
    <definedName name="BEx3HWJ5SQSD2CVCQNR183X44FR8" hidden="1">#REF!</definedName>
    <definedName name="BEx3I09YVXO0G4X7KGSA4WGORM35" hidden="1">#REF!</definedName>
    <definedName name="BEx3I7BLM11AXCZ8E4JU8ZIAXPAS" hidden="1">#REF!</definedName>
    <definedName name="BEx3ICF1GY8HQEBIU9S43PDJ90BX" hidden="1">#REF!</definedName>
    <definedName name="BEx3IYAH2DEBFWO8F94H4MXE3RLY" hidden="1">#REF!</definedName>
    <definedName name="BEx3IZXXSYEW50379N2EAFWO8DZV" hidden="1">#REF!</definedName>
    <definedName name="BEx3J1VZVGTKT4ATPO9O5JCSFTTR" hidden="1">#REF!</definedName>
    <definedName name="BEx3JC2TY7JNAAC3L7QHVPQXLGQ8" hidden="1">#REF!</definedName>
    <definedName name="BEx3JHMINP1THWDI6C83QR21FBGR" hidden="1">#REF!</definedName>
    <definedName name="BEx3JX23SYDIGOGM4Y0CQFBW8ZBV" hidden="1">#REF!</definedName>
    <definedName name="BEx3JXCXCVBZJGV5VEG9MJEI01AL" hidden="1">#REF!</definedName>
    <definedName name="BEx3JY98ZGQOIJAD31AKR12C64LP" hidden="1">#REF!</definedName>
    <definedName name="BEx3JYK2N7X59TPJSKYZ77ENY8SS" hidden="1">#REF!</definedName>
    <definedName name="BEx3K4EII7GU1CG0BN7UL15M6J8Z" hidden="1">#REF!</definedName>
    <definedName name="BEx3K4ZXQUQ2KYZF74B84SO48XMW" hidden="1">#REF!</definedName>
    <definedName name="BEx3K5QZUNWBEQQWDCJDXXFBV4QK" hidden="1">#REF!</definedName>
    <definedName name="BEx3KC6WKRCQX6L4P34ZM7CCJFBT"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7NTB2BHXP26B5F4A3PRTY0Z" hidden="1">#REF!</definedName>
    <definedName name="BEx3LM1PR4Y7KINKMTMKR984GX8Q" hidden="1">#REF!</definedName>
    <definedName name="BEx3LPCEZ1C0XEKNCM3YT09JWCUO" hidden="1">#REF!</definedName>
    <definedName name="BEx3LTU80DDHQRJRLVN79J3RC5Z0" hidden="1">#REF!</definedName>
    <definedName name="BEx3LUL5EICSTN6KP1M6B7NAHYVO" hidden="1">#REF!</definedName>
    <definedName name="BEx3M1MR1K1NQD03H74BFWOK4MWQ" hidden="1">#REF!</definedName>
    <definedName name="BEx3M4H77MYUKOOD31H9F80NMVK8" hidden="1">#REF!</definedName>
    <definedName name="BEx3M885DQ9KX2HJ6T6P6HDY9GC4" hidden="1">#REF!</definedName>
    <definedName name="BEx3M9VFX329PZWYC4DMZ6P3W9R2" hidden="1">#REF!</definedName>
    <definedName name="BEx3MCQ0L5NQSPA1DGA0QTYSLHNP" hidden="1">#REF!</definedName>
    <definedName name="BEx3MCQ0VEBV0CZXDS505L38EQ8N" hidden="1">#REF!</definedName>
    <definedName name="BEx3ME2HC294KYAUDR73NXYGVDW0" hidden="1">#REF!</definedName>
    <definedName name="BEx3MEYV5LQY0BAL7V3CFAFVOM3T" hidden="1">#REF!</definedName>
    <definedName name="BEx3MREOFWJQEYMCMBL7ZE06NBN6" hidden="1">#REF!</definedName>
    <definedName name="BEx3MRPHDEYR919ZKPYTH3O7DQTY" hidden="1">#REF!</definedName>
    <definedName name="BEx3NKXF7GYXHBK75UI6MDRUSU0J" hidden="1">#REF!</definedName>
    <definedName name="BEx3NLIZ7PHF2XE59ECZ3MD04ZG1" hidden="1">#REF!</definedName>
    <definedName name="BEx3NMQ4BVC94728AUM7CCX7UHTU" hidden="1">#REF!</definedName>
    <definedName name="BEx3NNBPZUO6BZU0DLA11SQERG4L" hidden="1">#REF!</definedName>
    <definedName name="BEx3NR2I4OUFP3Z2QZEDU2PIFIDI" hidden="1">#REF!</definedName>
    <definedName name="BEx3NVV3RL4UV2EU430NY5LKTPXD" hidden="1">#REF!</definedName>
    <definedName name="BEx3O1420BO99ELGBDOEK6YUS2AH" hidden="1">#REF!</definedName>
    <definedName name="BEx3O19B8FTTAPVT5DZXQGQXWFR8" hidden="1">#REF!</definedName>
    <definedName name="BEx3O208V4211X3WMWUFFIW28Y5U" hidden="1">#REF!</definedName>
    <definedName name="BEx3O7JY7N5U41CVEUHYIEK343YH" hidden="1">#REF!</definedName>
    <definedName name="BEx3O85IKWARA6NCJOLRBRJFMEWW" hidden="1">[21]Table!#REF!</definedName>
    <definedName name="BEx3OFCGQH8N5QT3C8M44CX5CLHX" hidden="1">#REF!</definedName>
    <definedName name="BEx3OJZSCGFRW7SVGBFI0X9DNVMM" hidden="1">#REF!</definedName>
    <definedName name="BEx3ORSBUXAF21MKEY90YJV9AY9A" hidden="1">#REF!</definedName>
    <definedName name="BEx3OV8BH6PYNZT7C246LOAU9SVX" hidden="1">#REF!</definedName>
    <definedName name="BEx3OXRYJZUEY6E72UJU0PHLMYAR" hidden="1">#REF!</definedName>
    <definedName name="BEx3P59TTRSGQY888P5C1O7M2PQT" hidden="1">#REF!</definedName>
    <definedName name="BEx3PDNRRNKD5GOUBUQFXAHIXLD9" hidden="1">#REF!</definedName>
    <definedName name="BEx3PDT8GNPWLLN02IH1XPV90XYK" hidden="1">#REF!</definedName>
    <definedName name="BEx3PG24EE6BFX4WK0PD7YR4MWXE"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PCKN624WDXN9HIU6BDOOFL1"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EDFOYFY5NBTININ5W4RLD4Q" hidden="1">#REF!</definedName>
    <definedName name="BEx3QIKJ3U962US1Q564NZDLU8LD" hidden="1">#REF!</definedName>
    <definedName name="BEx3QLKKMOCYGB7DSNC29XGRU52O" hidden="1">#REF!</definedName>
    <definedName name="BEx3QR9D45DHW50VQ7Y3Q1AXPOB9" hidden="1">#REF!</definedName>
    <definedName name="BEx3QSWT2S5KWG6U2V9711IYDQBM" hidden="1">#REF!</definedName>
    <definedName name="BEx3QU9AM2D9N0887SF1H9427JKU" hidden="1">#REF!</definedName>
    <definedName name="BEx3QVGG7Q2X4HZHJAM35A8T3VR7" hidden="1">#REF!</definedName>
    <definedName name="BEx3R0JUB9YN8PHPPQTAMIT1IHWK" hidden="1">#REF!</definedName>
    <definedName name="BEx3R81NFRO7M81VHVKOBFT0QBIL" hidden="1">#REF!</definedName>
    <definedName name="BEx3R8N7YCUKJFKXRC8VVKDGUCWT" hidden="1">#REF!</definedName>
    <definedName name="BEx3RFJCSRTFFKD3A8DC3F4ZHW92" hidden="1">#REF!</definedName>
    <definedName name="BEx3RHC2ZD5UFS6QD4OPFCNNMWH1" hidden="1">#REF!</definedName>
    <definedName name="BEx3RHMVYSP3UJFE4JFGYN439AJK" hidden="1">#REF!</definedName>
    <definedName name="BEx3RKHARL8IJX5B7DY70B7NIRVT" hidden="1">#REF!</definedName>
    <definedName name="BEx3RQ10QIWBAPHALAA91BUUCM2X" hidden="1">#REF!</definedName>
    <definedName name="BEx3RV4E1WT43SZBUN09RTB8EK1O" hidden="1">#REF!</definedName>
    <definedName name="BEx3RXO31FBRRLV0JNYV5WKXBI0B" hidden="1">#REF!</definedName>
    <definedName name="BEx3RXYU0QLFXSFTM5EB20GD03W5" hidden="1">#REF!</definedName>
    <definedName name="BEx3RYKLC3QQO3XTUN7BEW2AQL98" hidden="1">#REF!</definedName>
    <definedName name="BEx3S0D6JUMB108LOCZDSMZJEEJ5" hidden="1">#REF!</definedName>
    <definedName name="BEx3SHWF5FZ1ENNWE8YT6JTBCDWU"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90SRPHVFZGKZPEL156PTBLG" hidden="1">#REF!</definedName>
    <definedName name="BEx3TMNO7NM03FQTML6ZEBRQXY0M" hidden="1">#REF!</definedName>
    <definedName name="BEx3TPCSI16OAB2L9M9IULQMQ9J9" hidden="1">#REF!</definedName>
    <definedName name="BEx3U64YUOZ419BAJS2W78UMATAW" hidden="1">#REF!</definedName>
    <definedName name="BEx3U94WCEA5DKMWBEX1GU0LKYG2" hidden="1">#REF!</definedName>
    <definedName name="BEx3U9VZ8SQVYS6ZA038J7AP7ZGW" hidden="1">#REF!</definedName>
    <definedName name="BEx3UG11PSVRK9DW5ZNKOB4T24MN" hidden="1">'[20]10.08.5 - 2008 Capital - TDBU'!#REF!</definedName>
    <definedName name="BEx3UIQ5B7PL8QJ6RI0LF7QJWLLO" hidden="1">#REF!</definedName>
    <definedName name="BEx3UIQ5WRJBGNTFCCLOR4N7B1OQ" hidden="1">#REF!</definedName>
    <definedName name="BEx3UJMIX2NUSSWGMSI25A5DM4CH" hidden="1">#REF!</definedName>
    <definedName name="BEx3UKOCOQG7S1YQ436S997K1KWV" hidden="1">#REF!</definedName>
    <definedName name="BEx3UQ7WT8T56S476IYJBFTP1FBY" hidden="1">'[20]10.08.5 - 2008 Capital - TDBU'!#REF!</definedName>
    <definedName name="BEx3UU46FGPB8C5GM6QZZZNI8FY1" hidden="1">#REF!</definedName>
    <definedName name="BEx3UYM19VIXLA0EU7LB9NHA77PB" hidden="1">#REF!</definedName>
    <definedName name="BEx3V0EPR8DD44FA1TJFATXBJ5BA" hidden="1">#REF!</definedName>
    <definedName name="BEx3VML7CG70HPISMVYIUEN3711Q" hidden="1">#REF!</definedName>
    <definedName name="BEx56ZID5H04P9AIYLP1OASFGV56" hidden="1">#REF!</definedName>
    <definedName name="BEx57VVOKGYOTHR9Z8AJNKRDSU20" hidden="1">#REF!</definedName>
    <definedName name="BEx587EYSS57E3PI8DT973HLJM9E" hidden="1">#REF!</definedName>
    <definedName name="BEx587KFQ3VKCOCY1SA5F24PQGUI" hidden="1">#REF!</definedName>
    <definedName name="BEx589YSF6Z3BES2WDO9VJF6J7RD" hidden="1">#REF!</definedName>
    <definedName name="BEx58HRBEO7GYHL70I9S0DIIR5Y3" hidden="1">#REF!</definedName>
    <definedName name="BEx58O1WGJ5ARYSTQ7E7Z9CZ70FW" hidden="1">#REF!</definedName>
    <definedName name="BEx58O780PQ05NF0Z1SKKRB3N099" hidden="1">#REF!</definedName>
    <definedName name="BEx58XHO7ZULLF2EUD7YIS0MGQJ5" hidden="1">#REF!</definedName>
    <definedName name="BEx58ZW0HAIGIPEX9CVA1PQQTR6X" hidden="1">#REF!</definedName>
    <definedName name="BEx59BA1KH3RG6K1LHL7YS2VB79N" hidden="1">#REF!</definedName>
    <definedName name="BEx59E9WABJP2TN71QAIKK79HPK9" hidden="1">#REF!</definedName>
    <definedName name="BEx59P7MAPNU129ZTC5H3EH892G1" hidden="1">#REF!</definedName>
    <definedName name="BEx5A11WZRQSIE089QE119AOX9ZG" hidden="1">#REF!</definedName>
    <definedName name="BEx5A6ATFUVEJ0HUDROD1OO0CGV5" hidden="1">#REF!</definedName>
    <definedName name="BEx5A7CIGCOTHJKHGUBDZG91JGPZ" hidden="1">#REF!</definedName>
    <definedName name="BEx5A8UFLT2SWVSG5COFA9B8P376" hidden="1">#REF!</definedName>
    <definedName name="BEx5AFFTN3IXIBHDKM0FYC4OFL1S" hidden="1">#REF!</definedName>
    <definedName name="BEx5AOFIO8KVRHIZ1RII337AA8ML" hidden="1">#REF!</definedName>
    <definedName name="BEx5APRZ66L5BWHFE8E4YYNEDTI4" hidden="1">#REF!</definedName>
    <definedName name="BEx5ARVI26GBOMZ6NBHE2KUBTNSP" hidden="1">'[20]10.08.3 - 2008 Expense - TDBU'!#REF!</definedName>
    <definedName name="BEx5AUVDSQ35VO4BD9AKKGBM5S7D"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I61U4Y65GD0ARMTALPP7SJ" hidden="1">#REF!</definedName>
    <definedName name="BEx5BD5L6LIQ99M87XJMWWNL031Z" hidden="1">#REF!</definedName>
    <definedName name="BEx5BDR56MEV4IHY6CIH2SVNG1UB" hidden="1">#REF!</definedName>
    <definedName name="BEx5BESZC5H329SKHGJOHZFILYJJ" hidden="1">#REF!</definedName>
    <definedName name="BEx5BHSQ42B50IU1TEQFUXFX9XQD" hidden="1">#REF!</definedName>
    <definedName name="BEx5BKHUCQEM4FA2DEQUKKC2QEYR" hidden="1">#REF!</definedName>
    <definedName name="BEx5BKSM4UN4C1DM3EYKM79MRC5K" hidden="1">#REF!</definedName>
    <definedName name="BEx5BNN8NPH9KVOBARB9CDD9WLB6" hidden="1">#REF!</definedName>
    <definedName name="BEx5BQ6UF5C89VX5ZUUUNN7Q2S3Z" hidden="1">#REF!</definedName>
    <definedName name="BEx5BWC3RHNNZZNXQ3IJ1GNNZW7M" hidden="1">#REF!</definedName>
    <definedName name="BEx5BXJATFA4GZNILN2UJ1D2AOGO" hidden="1">#REF!</definedName>
    <definedName name="BEx5BYFMZ80TDDN2EZO8CF39AIAC" hidden="1">#REF!</definedName>
    <definedName name="BEx5C2BWFW6SHZBFDEISKGXHZCQW"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INUDCSDCAJSNNV7XVNU8Q79" hidden="1">#REF!</definedName>
    <definedName name="BEx5CNLUIOYU8EODGA03Z3547I9T" hidden="1">#REF!</definedName>
    <definedName name="BEx5CPEKNSJORIPFQC2E1LTRYY8L" hidden="1">#REF!</definedName>
    <definedName name="BEx5CSUOL05D8PAM2TRDA9VRJT1O" hidden="1">#REF!</definedName>
    <definedName name="BEx5CUNFOO4YDFJ22HCMI2QKIGKM" hidden="1">#REF!</definedName>
    <definedName name="BEx5D2W3OTZO7F8Q91CV254Q4LKE" hidden="1">#REF!</definedName>
    <definedName name="BEx5D5W0OED6788ZKXNBW6BMYRB4" hidden="1">#REF!</definedName>
    <definedName name="BEx5D8L47OF0WHBPFWXGZINZWUBZ" hidden="1">#REF!</definedName>
    <definedName name="BEx5DAJAHQ2SKUPCKSCR3PYML67L" hidden="1">#REF!</definedName>
    <definedName name="BEx5DC18JM1KJCV44PF18E0LNRKA" hidden="1">#REF!</definedName>
    <definedName name="BEx5DJIZBTNS011R9IIG2OQ2L6ZX" hidden="1">#REF!</definedName>
    <definedName name="BEx5E123OLO9WQUOIRIDJ967KAGK" hidden="1">#REF!</definedName>
    <definedName name="BEx5E2UU5NES6W779W2OZTZOB4O7" hidden="1">#REF!</definedName>
    <definedName name="BEx5E4CSE5G83J5K32WENF7BXL82" hidden="1">#REF!</definedName>
    <definedName name="BEx5ELQL9B0VR6UT18KP11DHOTFX" hidden="1">#REF!</definedName>
    <definedName name="BEx5ER4TJTFPN7IB1MNEB1ZFR5M6" hidden="1">#REF!</definedName>
    <definedName name="BEx5EW87ACRI46LAKG0VDJVFLG7R" hidden="1">#REF!</definedName>
    <definedName name="BEx5F6KF3SROYIFF0A1HJRV87YZC" hidden="1">#REF!</definedName>
    <definedName name="BEx5F6V72QTCK7O39Y59R0EVM6CW" hidden="1">#REF!</definedName>
    <definedName name="BEx5F9K9B2XA4LVU2LJMI89AW8BO" hidden="1">#REF!</definedName>
    <definedName name="BEx5FGLQVACD5F5YZG4DGSCHCGO2" hidden="1">#REF!</definedName>
    <definedName name="BEx5FLJWHLW3BTZILDPN5NMA449V" hidden="1">#REF!</definedName>
    <definedName name="BEx5FNI2O10YN2SI1NO4X5GP3GTF" hidden="1">#REF!</definedName>
    <definedName name="BEx5FO8YRFSZCG3L608EHIHIHFY4" hidden="1">#REF!</definedName>
    <definedName name="BEx5FOUK8T0EOTFUKGIWKKOE6F7G" hidden="1">#REF!</definedName>
    <definedName name="BEx5FQNA6V4CNYSH013K45RI4BCV" hidden="1">#REF!</definedName>
    <definedName name="BEx5FVQPPEU32CPNV9RRQ9MNLLVE" hidden="1">#REF!</definedName>
    <definedName name="BEx5FZC6RK92TU32WZ4N099LWYKZ" hidden="1">#REF!</definedName>
    <definedName name="BEx5G08KGMG5X2AQKDGPFYG5GH94" hidden="1">#REF!</definedName>
    <definedName name="BEx5G1A8TFN4C4QII35U9DKYNIS8" hidden="1">#REF!</definedName>
    <definedName name="BEx5G1L0QO91KEPDMV1D8OT4BT73"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78SWSMTWKQVAC01YN6480JD" hidden="1">#REF!</definedName>
    <definedName name="BEx5HAOT9XWUF7XIFRZZS8B9F5TZ" hidden="1">#REF!</definedName>
    <definedName name="BEx5HE4XRF9BUY04MENWY9CHHN5H" hidden="1">#REF!</definedName>
    <definedName name="BEx5HFHMABAT0H9KKS754X4T304E" hidden="1">#REF!</definedName>
    <definedName name="BEx5HGDZ7MX1S3KNXLRL9WU565V4" hidden="1">#REF!</definedName>
    <definedName name="BEx5HJ8DU0ZDRX2BY3TDR7LG7FYG" hidden="1">#REF!</definedName>
    <definedName name="BEx5HJZ9FAVNZSSBTAYRPZDYM9NU" hidden="1">#REF!</definedName>
    <definedName name="BEx5HMDKAGHEFJ193YZUKU547LDS" hidden="1">#REF!</definedName>
    <definedName name="BEx5HZ9JMKHNLFWLVUB1WP5B39BL" hidden="1">#REF!</definedName>
    <definedName name="BEx5I1D22RX2VD9NZESVVM6JZ8G5" hidden="1">#REF!</definedName>
    <definedName name="BEx5I244LQHZTF3XI66J8705R9XX" hidden="1">#REF!</definedName>
    <definedName name="BEx5I5K5UOAJ82FDJ4HULUM3KX7E"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MN4F143KVYVDFOQYZVJG5X6" hidden="1">#REF!</definedName>
    <definedName name="BEx5ITU42638OWOBF2BOWE37XFP9" hidden="1">#REF!</definedName>
    <definedName name="BEx5J0FFP1KS4NGY20AEJI8VREEA" hidden="1">#REF!</definedName>
    <definedName name="BEx5JF3ZXLDIS8VNKDCY7ZI7H1CI" hidden="1">#REF!</definedName>
    <definedName name="BEx5JHCZJ8G6OOOW6EF3GABXKH6F" hidden="1">#REF!</definedName>
    <definedName name="BEx5JJB6W446THXQCRUKD3I7RKLP" hidden="1">#REF!</definedName>
    <definedName name="BEx5JJWTMI37U3RDEJOYLO93RJ6Z" hidden="1">#REF!</definedName>
    <definedName name="BEx5JNCT8Z7XSSPD5EMNAJELCU2V" hidden="1">#REF!</definedName>
    <definedName name="BEx5JQCNT9Y4RM306CHC8IPY3HBZ" hidden="1">#REF!</definedName>
    <definedName name="BEx5K08PYKE6JOKBYIB006TX619P" hidden="1">#REF!</definedName>
    <definedName name="BEx5K51DSERT1TR7B4A29R41W4NX" hidden="1">#REF!</definedName>
    <definedName name="BEx5KF88OT7666J799PZCTHRBOPU" hidden="1">#REF!</definedName>
    <definedName name="BEx5KMVAY7UVXRQY7NI5EZYMNGC7" hidden="1">#REF!</definedName>
    <definedName name="BEx5KYER580I4T7WTLMUN7NLNP5K" hidden="1">#REF!</definedName>
    <definedName name="BEx5LHLB3M6K4ZKY2F42QBZT30ZH" hidden="1">#REF!</definedName>
    <definedName name="BEx5LRMNU3HXIE1BUMDHRU31F7JJ" hidden="1">#REF!</definedName>
    <definedName name="BEx5LSJ1LPUAX3ENSPECWPG4J7D1" hidden="1">#REF!</definedName>
    <definedName name="BEx5LTKQ8RQWJE4BC88OP928893U" hidden="1">#REF!</definedName>
    <definedName name="BEx5LZ9QXSWRX35EGBF4FB303PNE" hidden="1">#REF!</definedName>
    <definedName name="BEx5MB9BR71LZDG7XXQ2EO58JC5F" hidden="1">#REF!</definedName>
    <definedName name="BEx5MLQZM68YQSKARVWTTPINFQ2C" hidden="1">[21]Table!#REF!</definedName>
    <definedName name="BEx5MVXTKNBXHNWTL43C670E4KXC" hidden="1">#REF!</definedName>
    <definedName name="BEx5N4XI4PWB1W9PMZ4O5R0HWTYD" hidden="1">#REF!</definedName>
    <definedName name="BEx5N8TQPT9Q7AMBG5SNEYKR98Y8" hidden="1">#REF!</definedName>
    <definedName name="BEx5NA68N6FJFX9UJXK4M14U487F" hidden="1">#REF!</definedName>
    <definedName name="BEx5ND64XZTLSC6HF2CJ3WYIIH2F" hidden="1">#REF!</definedName>
    <definedName name="BEx5NHTGLW35S2ITT7VPUKDNZRF7" hidden="1">#REF!</definedName>
    <definedName name="BEx5NIKBG2GDJOYGE3WCXKU7YY51" hidden="1">#REF!</definedName>
    <definedName name="BEx5NV06L5J5IMKGOMGKGJ4PBZCD" hidden="1">#REF!</definedName>
    <definedName name="BEx5NZSSQ6PY99ZX2D7Q9IGOR34W" hidden="1">#REF!</definedName>
    <definedName name="BEx5O2CHK5IPBZFPSJ15PKMKXH2W" hidden="1">#REF!</definedName>
    <definedName name="BEx5O3ZUQ2OARA1CDOZ3NC4UE5AA" hidden="1">#REF!</definedName>
    <definedName name="BEx5OAFS0NJ2CB86A02E1JYHMLQ1" hidden="1">#REF!</definedName>
    <definedName name="BEx5OFDQH6J3G0YOE5U93X2QN95E" hidden="1">#REF!</definedName>
    <definedName name="BEx5OG4RPU8W1ETWDWM234NYYYEN" hidden="1">#REF!</definedName>
    <definedName name="BEx5OP9Y43F99O2IT69MKCCXGL61" hidden="1">#REF!</definedName>
    <definedName name="BEx5ORDB6IPFBL15XLQCRC6PS01K" hidden="1">#REF!</definedName>
    <definedName name="BEx5P3243YD55WK9A04WKXBOHZ9F" hidden="1">'[20]10.08.5 - 2008 Capital - TDBU'!#REF!</definedName>
    <definedName name="BEx5P9Y9RDXNUAJ6CZ2LHMM8IM7T" hidden="1">#REF!</definedName>
    <definedName name="BEx5PF76KPATYJ4N41VA1D7CDWY4"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PSW4IPLH50WSR87HRER05RF" hidden="1">#REF!</definedName>
    <definedName name="BEx73V0EP8EMNRC3EZJJKKVKWQVB" hidden="1">#REF!</definedName>
    <definedName name="BEx741WJHIJVXUX131SBXTVW8D71" hidden="1">#REF!</definedName>
    <definedName name="BEx74ESIB9Y8KGETIERMKU5PLCQR" hidden="1">#REF!</definedName>
    <definedName name="BEx74Q6H3O7133AWQXWC21MI2UFT" hidden="1">#REF!</definedName>
    <definedName name="BEx74SVN624OKKQLMBVAPE9KAL13" hidden="1">#REF!</definedName>
    <definedName name="BEx74W6BJ8ENO3J25WNM5H5APKA3" hidden="1">#REF!</definedName>
    <definedName name="BEx7532GP65LPFYWT7B0NMQMFZNV" hidden="1">#REF!</definedName>
    <definedName name="BEx755GRRD9BL27YHLH5QWIYLWB7" hidden="1">#REF!</definedName>
    <definedName name="BEx7579IFVUAVJ784K1JNXQW1Z9I" hidden="1">#REF!</definedName>
    <definedName name="BEx759D1D5SXS5ELLZVBI0SXYUNF" hidden="1">#REF!</definedName>
    <definedName name="BEx75GJZSZHUDN6OOAGQYFUDA2LP" hidden="1">#REF!</definedName>
    <definedName name="BEx75HGCCV5K4UCJWYV8EV9AG5YT" hidden="1">#REF!</definedName>
    <definedName name="BEx75OHUDAC9RZDLL9L4I1L7VQ21" hidden="1">'[20]10.08.4 -2008 Capital'!#REF!</definedName>
    <definedName name="BEx75PZT8TY5P13U978NVBUXKHT4" hidden="1">#REF!</definedName>
    <definedName name="BEx75T55F7GML8V1DMWL26WRT006" hidden="1">#REF!</definedName>
    <definedName name="BEx75VJGR07JY6UUWURQ4PJ29UKC" hidden="1">#REF!</definedName>
    <definedName name="BEx7696C3JFS7JTBL4CH2YB4GLHQ" hidden="1">#REF!</definedName>
    <definedName name="BEx76F0MJW2PS2LZH14RJZO14ARD" hidden="1">'[20]10.08.5 - 2008 Capital - TDBU'!#REF!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NIZM6XEWOV6EXQU2UG5MSUR" hidden="1">'[20]10.08.5 - 2008 Capital - TDBU'!#REF!</definedName>
    <definedName name="BEx77P0S3GVMS7BJUL9OWUGJ1B02" hidden="1">#REF!</definedName>
    <definedName name="BEx77P69SYJJ2S37W7MAD4IWKUO4" hidden="1">#REF!</definedName>
    <definedName name="BEx77QDESURI6WW5582YXSK3A972" hidden="1">#REF!</definedName>
    <definedName name="BEx77U9O8O8ZI1JB5ZFCC25C06DJ"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7GF57Y7X323F3OTRWSGH7HZ" hidden="1">#REF!</definedName>
    <definedName name="BEx7881ZZBWHRAX6W2GY19J8MGEQ" hidden="1">#REF!</definedName>
    <definedName name="BEx78HHRIWDLHQX2LG0HWFRYEL1T" hidden="1">#REF!</definedName>
    <definedName name="BEx78LE2GHJ4PVWT3ULLA2J3TY1V" hidden="1">#REF!</definedName>
    <definedName name="BEx78QMXZ2P1ZB3HJ9O50DWHCMXR" hidden="1">#REF!</definedName>
    <definedName name="BEx78SFO5VR28677DWZEMDN7G86X" hidden="1">#REF!</definedName>
    <definedName name="BEx78SFOYH1Z0ZDTO47W2M60TW6K" hidden="1">#REF!</definedName>
    <definedName name="BEx79APUP133FLMIO8AZJFIIYD1L"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18OPKC61FNESSBTAXMF8AW7" hidden="1">#REF!</definedName>
    <definedName name="BEx7A1DZ3ACKTQDO9ELXW44GL8Y2" hidden="1">'[20]10.08.4 -2008 Capital'!#REF!</definedName>
    <definedName name="BEx7A7DRZSSF2EG6JQH27X93U90I" hidden="1">#REF!</definedName>
    <definedName name="BEx7A9S3JA1X7FH4CFSQLTZC4691" hidden="1">#REF!</definedName>
    <definedName name="BEx7ABA2C9IWH5VSLVLLLCY62161" hidden="1">#REF!</definedName>
    <definedName name="BEx7AE4LPLX8N85BYB0WCO5S7ZPV" hidden="1">#REF!</definedName>
    <definedName name="BEx7AJ81S7N0ZOX5HWUXTT04D8KK" hidden="1">'[20]10.08.5 - 2008 Capital - TDBU'!#REF!</definedName>
    <definedName name="BEx7AQKAXA50BVHLEWZFVHEFM6BR" hidden="1">#REF!</definedName>
    <definedName name="BEx7ASD1I654MEDCO6GGWA95PXSC" hidden="1">#REF!</definedName>
    <definedName name="BEx7AVCX9S5RJP3NSZ4QM4E6ERDT" hidden="1">#REF!</definedName>
    <definedName name="BEx7AVT704ZMAOMB9JGPZ6LXHSQG" hidden="1">#REF!</definedName>
    <definedName name="BEx7AVYIGP0930MV5JEBWRYCJN68" hidden="1">#REF!</definedName>
    <definedName name="BEx7B6LH6917TXOSAAQ6U7HVF018" hidden="1">#REF!</definedName>
    <definedName name="BEx7BPXFZXJ79FQ0E8AQE21PGVHA" hidden="1">#REF!</definedName>
    <definedName name="BEx7C04AM39DQMC1TIX7CFZ2ADHX" hidden="1">#REF!</definedName>
    <definedName name="BEx7C1RKPVBM823KIGN85C8NOGLB" hidden="1">#REF!</definedName>
    <definedName name="BEx7C40F0PQURHPI6YQ39NFIR86Z" hidden="1">#REF!</definedName>
    <definedName name="BEx7C93VR7SYRIJS1JO8YZKSFAW9" hidden="1">#REF!</definedName>
    <definedName name="BEx7CCPC6R1KQQZ2JQU6EFI1G0RM" hidden="1">#REF!</definedName>
    <definedName name="BEx7CDAXF5MHW62MV0JHIEM92MPI" hidden="1">#REF!</definedName>
    <definedName name="BEx7CIJST9GLS2QD383UK7VUDTGL" hidden="1">#REF!</definedName>
    <definedName name="BEx7CN1OPV8F04BRSJJSWFTXJAD5" hidden="1">#REF!</definedName>
    <definedName name="BEx7CO8T2XKC7GHDSYNAWTZ9L7YR" hidden="1">#REF!</definedName>
    <definedName name="BEx7CW1CF00DO8A36UNC2X7K65C2" hidden="1">#REF!</definedName>
    <definedName name="BEx7CW6NFRL2P4XWP0MWHIYA97KF" hidden="1">#REF!</definedName>
    <definedName name="BEx7D5RWKRS4W71J4NZ6ZSFHPKFT" hidden="1">#REF!</definedName>
    <definedName name="BEx7D8H1TPOX1UN17QZYEV7Q58GA" hidden="1">#REF!</definedName>
    <definedName name="BEx7DGF13H2074LRWFZQ45PZ6JPX"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SW841R32GCRO0M9X6GW5L"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V2C287ME9PQ0FIM5QWZ3O9K" hidden="1">#REF!</definedName>
    <definedName name="BEx7EWK9GUVV6FXWYIGH0TAI4V2O" hidden="1">#REF!</definedName>
    <definedName name="BEx7EYYLHMBYQTH6I377FCQS7CSX" hidden="1">#REF!</definedName>
    <definedName name="BEx7F3R8WBC6E9U65SYE1VCBPKTN" hidden="1">#REF!</definedName>
    <definedName name="BEx7FCLG1RYI2SNOU1Y2GQZNZSWA" hidden="1">#REF!</definedName>
    <definedName name="BEx7FN32ZGWOAA4TTH79KINTDWR9" hidden="1">#REF!</definedName>
    <definedName name="BEx7G0F5491O5LOO00O1AXXAE24R" hidden="1">#REF!</definedName>
    <definedName name="BEx7G82CKM3NIY1PHNFK28M09PCH" hidden="1">#REF!</definedName>
    <definedName name="BEx7GR3ENYWRXXS5IT0UMEGOLGUH" hidden="1">#REF!</definedName>
    <definedName name="BEx7GSAL6P7TASL8MB63RFST1LJL" hidden="1">#REF!</definedName>
    <definedName name="BEx7H0JCP7ZU8M0UWQXEBQ8U7WXG" hidden="1">#REF!</definedName>
    <definedName name="BEx7H0JD6I5I8WQLLWOYWY5YWPQE" hidden="1">#REF!</definedName>
    <definedName name="BEx7H14XCXH7WEXEY1HVO53A6AGH" hidden="1">#REF!</definedName>
    <definedName name="BEx7HFTIA8AC8BR8HKIN81VE1SGW" hidden="1">#REF!</definedName>
    <definedName name="BEx7HGVBEF4LEIF6RC14N3PSU461" hidden="1">#REF!</definedName>
    <definedName name="BEx7HNM5QUG90PN1J2VL176TH6KY" hidden="1">#REF!</definedName>
    <definedName name="BEx7HQ5T9FZ42QWS09UO4DT42Y0R" hidden="1">#REF!</definedName>
    <definedName name="BEx7HRCZE3CVGON1HV07MT5MNDZ3" hidden="1">#REF!</definedName>
    <definedName name="BEx7HWGE2CANG5M17X4C8YNC3N8F" hidden="1">#REF!</definedName>
    <definedName name="BEx7I8FZ96C5JAHXS18ZV0912LZP" hidden="1">#REF!</definedName>
    <definedName name="BEx7IBVYN47SFZIA0K4MDKQZNN9V" hidden="1">#REF!</definedName>
    <definedName name="BEx7IJOI6V63WKXYU6YTHPHUSP7U" hidden="1">#REF!</definedName>
    <definedName name="BEx7IRRUY5JMPVVS2G8ZTVLVF9H8" hidden="1">#REF!</definedName>
    <definedName name="BEx7IV2IJ5WT7UC0UG7WP0WF2JZI" hidden="1">#REF!</definedName>
    <definedName name="BEx7IXGU74GE5E4S6W4Z13AR092Y" hidden="1">#REF!</definedName>
    <definedName name="BEx7J4YL8Q3BI1MLH16YYQ18IJRD" hidden="1">#REF!</definedName>
    <definedName name="BEx7J7CWKB4WKZAQMK3Z0S9GSOSM" hidden="1">#REF!</definedName>
    <definedName name="BEx7JH3HGBPI07OHZ5LFYK0UFZQR" hidden="1">#REF!</definedName>
    <definedName name="BEx7JV194190CNM6WWGQ3UBJ3CHH" hidden="1">#REF!</definedName>
    <definedName name="BEx7JZJ4XFUATU0PG7083JPTXG4K" hidden="1">#REF!</definedName>
    <definedName name="BEx7K469BHM1J8L2PEX3Z5HEMTCE" hidden="1">#REF!</definedName>
    <definedName name="BEx7K7GZ607XQOGB81A1HINBTGOZ" hidden="1">#REF!</definedName>
    <definedName name="BEx7KEYPBDXSNROH8M6CDCBN6B50" hidden="1">#REF!</definedName>
    <definedName name="BEx7KMGGB2E6YDRM0M7DPVYH3ADI" hidden="1">'[20]10.08.3 - 2008 Expense - TDBU'!#REF!</definedName>
    <definedName name="BEx7KR92AZ8OH3I7N51J8AU9LRP3" hidden="1">#REF!</definedName>
    <definedName name="BEx7KSAS8BZT6H8OQCZ5DNSTMO07" hidden="1">#REF!</definedName>
    <definedName name="BEx7KWHTBD21COXVI4HNEQH0Z3L8" hidden="1">#REF!</definedName>
    <definedName name="BEx7KWY24UYSDR57WCCVR4KEHE7U" hidden="1">#REF!</definedName>
    <definedName name="BEx7KXUGRMRSUXCM97Z7VRZQ9JH2" hidden="1">#REF!</definedName>
    <definedName name="BEx7L21IQVP1N1TTQLRMANSSLSLE" hidden="1">#REF!</definedName>
    <definedName name="BEx7L5C6U8MP6IZ67BD649WQYJEK" hidden="1">#REF!</definedName>
    <definedName name="BEx7L7QID2UUN1F4435LIWAW8DV3" hidden="1">#REF!</definedName>
    <definedName name="BEx7L8HEYEVTATR0OG5JJO647KNI" hidden="1">#REF!</definedName>
    <definedName name="BEx7L8XOV64OMS15ZFURFEUXLMWF" hidden="1">#REF!</definedName>
    <definedName name="BEx7LJVFQACL9F4DRS9YZQ9R2N30" hidden="1">#REF!</definedName>
    <definedName name="BEx7LZ0D7JSY0VK5FBGMZE26ZKFJ" hidden="1">'[20]10.08.2 - 2008 Expense'!#REF!</definedName>
    <definedName name="BEx7MAUI1JJFDIJGDW4RWY5384LY" hidden="1">#REF!</definedName>
    <definedName name="BEx7MJZO3UKAMJ53UWOJ5ZD4GGMQ" hidden="1">#REF!</definedName>
    <definedName name="BEx7MQ4RBQK32VUVPFRBYN76KSOD" hidden="1">#REF!</definedName>
    <definedName name="BEx7MT4MFNXIVQGAT6D971GZW7CA" hidden="1">#REF!</definedName>
    <definedName name="BEx7NE3X8Z6J8PMTHDO51G0HICD5" hidden="1">#REF!</definedName>
    <definedName name="BEx7NI062THZAM6I8AJWTFJL91CS" hidden="1">#REF!</definedName>
    <definedName name="BEx8Z3M9Z5VD3MZ8TD1F5M49MOTD" hidden="1">#REF!</definedName>
    <definedName name="BEx8ZCWSI30U7NSNHLBK5HV2J2EN" hidden="1">#REF!</definedName>
    <definedName name="BEx904S75BPRYMHF0083JF7ES4NG" hidden="1">#REF!</definedName>
    <definedName name="BEx90EZ2HAURBQ5I4V6WD6NYD0AQ" hidden="1">#REF!</definedName>
    <definedName name="BEx90H2KA91ZVRIJCDN62HJVKQWC" hidden="1">#REF!</definedName>
    <definedName name="BEx90HDD4RWF7JZGA8GCGG7D63MG" hidden="1">#REF!</definedName>
    <definedName name="BEx90VGH5H09ON2QXYC9WIIEU98T" hidden="1">#REF!</definedName>
    <definedName name="BEx911LKH78Q9WUWXLOQFEL59ITN" hidden="1">#REF!</definedName>
    <definedName name="BEx911WE3W1AI7TEJHN5ROFMFVQ8" hidden="1">'[20]10.08.3 - 2008 Expense - TDBU'!#REF!</definedName>
    <definedName name="BEx9175B70QXYAU5A8DJPGZQ46L9" hidden="1">#REF!</definedName>
    <definedName name="BEx917QTZAYKMWFVDPZEDX8FH1J3" hidden="1">#REF!</definedName>
    <definedName name="BEx91AQQRTV87AO27VWHSFZAD4ZR" hidden="1">#REF!</definedName>
    <definedName name="BEx91FU57YXJK7RHMFDKKYY2JFS7" hidden="1">#REF!</definedName>
    <definedName name="BEx91KXLTRYJVT47UU2JUUFNKFUT"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0O0C4FBKNO2WASY82KSAGWC" hidden="1">#REF!</definedName>
    <definedName name="BEx921PNZ46VORG2VRMWREWIC0SE" hidden="1">#REF!</definedName>
    <definedName name="BEx929YGVS1SWUVBOM0JDPJFRIAE"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PUBDIXAU1FW5ZAXECMAU0LN" hidden="1">#REF!</definedName>
    <definedName name="BEx92S8MHFFIVRQ2YSHZNQGOFUHD" hidden="1">#REF!</definedName>
    <definedName name="BEx9318BWFQZC3NQS37Q6XU3D425"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1SIC58506DFIGKOLIHQ7KCX" hidden="1">#REF!</definedName>
    <definedName name="BEx942UCRHMI4B0US31HO95GSC2X" hidden="1">#REF!</definedName>
    <definedName name="BEx944SDUSMOBHNE6J8XN1EOL90T" hidden="1">#REF!</definedName>
    <definedName name="BEx948ZFFQWVIDNG4AZAUGGGEB5U" hidden="1">#REF!</definedName>
    <definedName name="BEx94CKXG92OMURH41SNU6IOHK4J" hidden="1">#REF!</definedName>
    <definedName name="BEx94GXG30CIVB6ZQN3X3IK6BZXQ" hidden="1">#REF!</definedName>
    <definedName name="BEx94HZ5LURYM9ST744ALV6ZCKYP" hidden="1">#REF!</definedName>
    <definedName name="BEx94IQ75E90YUMWJ9N591LR7DQQ" hidden="1">#REF!</definedName>
    <definedName name="BEx94L9TBK45AUQSX1IUZ86U1GPQ" hidden="1">#REF!</definedName>
    <definedName name="BEx94N7W5T3U7UOE97D6OVIBUCXS" hidden="1">#REF!</definedName>
    <definedName name="BEx953PB6S6ECMD8N0JSW0CBG0DA"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TXH048JPPZ7VXKTCAEE6GQS" hidden="1">#REF!</definedName>
    <definedName name="BEx95U89DZZSVO39TGS62CX8G9N4" hidden="1">#REF!</definedName>
    <definedName name="BEx9602K2GHNBUEUVT9ONRQU1GMD" hidden="1">#REF!</definedName>
    <definedName name="BEx962BL3Y4LA53EBYI64ZYMZE8U" hidden="1">#REF!</definedName>
    <definedName name="BEx96KR21O7H9R29TN0S45Y3QPUK" hidden="1">#REF!</definedName>
    <definedName name="BEx96KWJ7BHXX4IIM048C3O7S59S" hidden="1">'[20]10.08.5 - 2008 Capital - TDBU'!#REF!</definedName>
    <definedName name="BEx96SUFKHHFE8XQ6UUO6ILDOXHO" hidden="1">#REF!</definedName>
    <definedName name="BEx96UN4YWXBDEZ1U1ZUIPP41Z7I" hidden="1">#REF!</definedName>
    <definedName name="BEx970MYCPJ6DQ44TKLOIGZO5LHH" hidden="1">#REF!</definedName>
    <definedName name="BEx978KSD61YJH3S9DGO050R2EHA" hidden="1">#REF!</definedName>
    <definedName name="BEx97CBOZZVIAFCLYWXO84QIM5RH" hidden="1">#REF!</definedName>
    <definedName name="BEx97H9O1NAKAPK4MX4PKO34ICL5" hidden="1">#REF!</definedName>
    <definedName name="BEx97HVA5F2I0D6ID81KCUDEQOIH"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QZQVMVK22H7FW8VJ1Y8HJR" hidden="1">#REF!</definedName>
    <definedName name="BEx981HW73BUZWT14TBTZHC0ZTJ4" hidden="1">#REF!</definedName>
    <definedName name="BEx9853EGK21LS9VVKSCCC6V43AN" hidden="1">#REF!</definedName>
    <definedName name="BEx985JLSPMNH380TKBDXAEFC980" hidden="1">#REF!</definedName>
    <definedName name="BEx9871KU0N99P0900EAK69VFYT2" hidden="1">#REF!</definedName>
    <definedName name="BEx98A6S6VO1UKBYLX05KBIT7SC0" hidden="1">#REF!</definedName>
    <definedName name="BEx98IFKNJFGZFLID1YTRFEG1SXY" hidden="1">#REF!</definedName>
    <definedName name="BEx98N2R8QZSZ6MEH3L7U7U7D9GD" hidden="1">#REF!</definedName>
    <definedName name="BEx9915UVD4G7RA3IMLFZ0LG3UA2" hidden="1">#REF!</definedName>
    <definedName name="BEx992CZON8AO7U7V88VN1JBO0MG" hidden="1">#REF!</definedName>
    <definedName name="BEx9952469XMFGSPXL7CMXHPJF90" hidden="1">#REF!</definedName>
    <definedName name="BEx996PK8YMHSV0CFJOHOX1OCXHG" hidden="1">#REF!</definedName>
    <definedName name="BEx99B77I7TUSHRR4HIZ9FU2EIUT" hidden="1">#REF!</definedName>
    <definedName name="BEx99Q6PH5F3OQKCCAAO75PYDEFN" hidden="1">#REF!</definedName>
    <definedName name="BEx99WBYT2D6UUC1PT7A40ENYID4" hidden="1">#REF!</definedName>
    <definedName name="BEx99XOGHOM28CNCYKQWYGL56W2S" hidden="1">#REF!</definedName>
    <definedName name="BEx99ZRZ4I7FHDPGRAT5VW7NVBPU" hidden="1">#REF!</definedName>
    <definedName name="BEx9AT5E3ZSHKSOL35O38L8HF9TH" hidden="1">#REF!</definedName>
    <definedName name="BEx9AV8W1FAWF5BHATYEN47X12JN" hidden="1">#REF!</definedName>
    <definedName name="BEx9B8A5186FNTQQNLIO5LK02ABI" hidden="1">#REF!</definedName>
    <definedName name="BEx9B8VR20E2CILU4CDQUQQ9ONXK" hidden="1">#REF!</definedName>
    <definedName name="BEx9B917BFT5XKMEOKSZYR2JDGKF" hidden="1">#REF!</definedName>
    <definedName name="BEx9B917EUP13X6FQ3NPQL76XM5V" hidden="1">#REF!</definedName>
    <definedName name="BEx9BAJ5WYEQ623HUT9NNCMP3RUG" hidden="1">#REF!</definedName>
    <definedName name="BEx9BURCKUDZU2MLNSZIIBVDAXBV" hidden="1">#REF!</definedName>
    <definedName name="BEx9BYNN9WBL0OZNO7QKTM7XA0XO" hidden="1">#REF!</definedName>
    <definedName name="BEx9BYSYW7QCPXS2NAVLFAU5Y2Z2" hidden="1">#REF!</definedName>
    <definedName name="BEx9C590HJ2O31IWJB73C1HR74AI" hidden="1">#REF!</definedName>
    <definedName name="BEx9CCQRMYYOGIOYTOM73VKDIPS1" hidden="1">#REF!</definedName>
    <definedName name="BEx9COA2U27AO1YZGMLP7B8DR22D" hidden="1">#REF!</definedName>
    <definedName name="BEx9D1BC9FT19KY0INAABNDBAMR1" hidden="1">#REF!</definedName>
    <definedName name="BEx9DN6ZMF18Q39MPMXSDJTZQNJ3" hidden="1">#REF!</definedName>
    <definedName name="BEx9DUU8DALPSCW66GTMQRPXZ6GL" hidden="1">#REF!</definedName>
    <definedName name="BEx9E14TDNSEMI784W0OTIEQMWN6" hidden="1">#REF!</definedName>
    <definedName name="BEx9E2BZ2B1R41FMGJCJ7JLGLUAJ" hidden="1">#REF!</definedName>
    <definedName name="BEx9E6DJDRR3E21QMZAPDC3O470U" hidden="1">#REF!</definedName>
    <definedName name="BEx9EG9KBJ77M8LEOR9ITOKN5KXY" hidden="1">#REF!</definedName>
    <definedName name="BEx9EMK6HAJJMVYZTN5AUIV7O1E6" hidden="1">#REF!</definedName>
    <definedName name="BEx9EQLVZHYQ1TPX7WH3SOWXCZLE" hidden="1">#REF!</definedName>
    <definedName name="BEx9ETLU0EK5LGEM1QCNYN2S8O5F" hidden="1">#REF!</definedName>
    <definedName name="BEx9F0Y2ESUNE3U7TQDLMPE9BO67"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D1Q3X2QNEWIFN2YPBFX6LMO" hidden="1">#REF!</definedName>
    <definedName name="BEx9GDY4D8ZPQJCYFIMYM0V0C51Y" hidden="1">#REF!</definedName>
    <definedName name="BEx9GGY04V0ZWI6O9KZH4KSBB389"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645M2VLV3GR46GAUCXDZQ4K" hidden="1">#REF!</definedName>
    <definedName name="BEx9H8YR0E906F1JXZMBX3LNT004" hidden="1">#REF!</definedName>
    <definedName name="BEx9HVQR4IC0WPZ653S8B4V0A13M" hidden="1">'[20]10.08.5 - 2008 Capital - TDBU'!#REF!</definedName>
    <definedName name="BEx9I38IOO8BH8XCE1W3NL31U1L9" hidden="1">#REF!</definedName>
    <definedName name="BEx9I8XIG7E5NB48QQHXP23FIN60" hidden="1">#REF!</definedName>
    <definedName name="BEx9IHX7C0FG3M2R14H0SWIUGAOA" hidden="1">#REF!</definedName>
    <definedName name="BEx9IQRF01ATLVK0YE60ARKQJ68L" hidden="1">#REF!</definedName>
    <definedName name="BEx9IT5QNZWKM6YQ5WER0DC2PMMU" hidden="1">#REF!</definedName>
    <definedName name="BEx9ITRA6B7P81T57OO22V5XLX9P" hidden="1">#REF!</definedName>
    <definedName name="BEx9IW5MFLXTVCJHVUZTUH93AXOS" hidden="1">#REF!</definedName>
    <definedName name="BEx9IXCSPSZC80YZUPRCYTG326KV" hidden="1">#REF!</definedName>
    <definedName name="BEx9IZR39NHDGOM97H4E6F81RTQW" hidden="1">#REF!</definedName>
    <definedName name="BEx9J07CU8X78XP5E4QC8XZ6YRCG" hidden="1">#REF!</definedName>
    <definedName name="BEx9J6CH5E7YZPER7HXEIOIKGPCA" hidden="1">#REF!</definedName>
    <definedName name="BEx9JJTZKVUJAVPTRE0RAVTEH41G" hidden="1">#REF!</definedName>
    <definedName name="BEx9JLBYK239B3F841C7YG1GT7ST" hidden="1">#REF!</definedName>
    <definedName name="BEx9JQQ6BSIHSV0FS8QDIRPHMMLE" hidden="1">#REF!</definedName>
    <definedName name="BEx9KP7077LQ4Q2NWSIETHZ0VA05" hidden="1">#REF!</definedName>
    <definedName name="BExAW4IIW5D0MDY6TJ3G4FOLPYIR" hidden="1">#REF!</definedName>
    <definedName name="BExAW4TAPBZ18ES67GKFVYMS67N7" hidden="1">#REF!</definedName>
    <definedName name="BExAWOAN9I36Q6B2P1316PE3048X" hidden="1">#REF!</definedName>
    <definedName name="BExAWSSHUYAPXJEDC9JT9394SHQ5" hidden="1">#REF!</definedName>
    <definedName name="BExAX410NB4F2XOB84OR2197H8M5" hidden="1">#REF!</definedName>
    <definedName name="BExAX70W4OH6R7K3QT3YA9PA2APO" hidden="1">#REF!</definedName>
    <definedName name="BExAX8TNG8LQ5Q4904SAYQIPGBSV" hidden="1">#REF!</definedName>
    <definedName name="BExAXLK9UGB0UFRV7X4UPIUEJ3VZ" hidden="1">#REF!</definedName>
    <definedName name="BExAY0EAT2LXR5MFGM0DLIB45PLO" hidden="1">#REF!</definedName>
    <definedName name="BExAYE6LNIEBR9DSNI5JGNITGKIT" hidden="1">#REF!</definedName>
    <definedName name="BExAYHMLXGGO25P8HYB2S75DEB4F" hidden="1">#REF!</definedName>
    <definedName name="BExAYJQ9G4ZXJFPWD4VIWQU6WUFT"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UYTMF7YSRG951CIIWKZM0T5" hidden="1">#REF!</definedName>
    <definedName name="BExAYY9H9COOT46HJLPVDLTO12UL" hidden="1">#REF!</definedName>
    <definedName name="BExAZCNEGB4JYHC8CZ51KTN890US" hidden="1">#REF!</definedName>
    <definedName name="BExAZFCI302YFYRDJYQDWQQL0Q0O"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TFG4SJRG4TW6JXRF7N08JFI" hidden="1">#REF!</definedName>
    <definedName name="BExAZUS4A8OHDZK0MWAOCCCKTH73" hidden="1">#REF!</definedName>
    <definedName name="BExAZX6FECVK3E07KXM2XPYKGM6U" hidden="1">#REF!</definedName>
    <definedName name="BExAZXXGBA3DZ26LBRJCSRIMDYY6" hidden="1">'[20]10.08.5 - 2008 Capital - TDBU'!#REF!</definedName>
    <definedName name="BExB012NJ8GASTNNPBRRFTLHIOC9" hidden="1">#REF!</definedName>
    <definedName name="BExB072HHXVMUC0VYNGG48GRSH5Q" hidden="1">#REF!</definedName>
    <definedName name="BExB0FRDEYDEUEAB1W8KD6D965XA" hidden="1">#REF!</definedName>
    <definedName name="BExB0KPCN7YJORQAYUCF4YKIKPMC" hidden="1">#REF!</definedName>
    <definedName name="BExB0WE4PI3NOBXXVO9CTEN4DIU2" hidden="1">#REF!</definedName>
    <definedName name="BExB0ZJIGMTDV9JC5IILPRZ5BXNJ" hidden="1">#REF!</definedName>
    <definedName name="BExB10QNIVITUYS55OAEKK3VLJFE" hidden="1">#REF!</definedName>
    <definedName name="BExB14HG3PSHTJ4S9G0Y803UWLWP" hidden="1">#REF!</definedName>
    <definedName name="BExB15ZDRY4CIJ911DONP0KCY9KU" hidden="1">#REF!</definedName>
    <definedName name="BExB16VQY0O0RLZYJFU3OFEONVTE" hidden="1">#REF!</definedName>
    <definedName name="BExB1C4HDPDZBISSQ3JREULJJZ7K" hidden="1">#REF!</definedName>
    <definedName name="BExB1FKNY2UO4W5FUGFHJOA2WFGG" hidden="1">#REF!</definedName>
    <definedName name="BExB1GMD0PIDGTFBGQOPRWQSP9I4"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15I6XJMAXZ5JDHT0R7K0CS1"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2TBL7K5D70TOLTXT6SAAJQS9" hidden="1">#REF!</definedName>
    <definedName name="BExB2WRQ815O1VGMGAGDGQHTTUIN" hidden="1">#REF!</definedName>
    <definedName name="BExB30IP1DNKNQ6PZ5ERUGR5MK4Z" hidden="1">#REF!</definedName>
    <definedName name="BExB30YTF8EK04RZ190LBP9R44TW" hidden="1">#REF!</definedName>
    <definedName name="BExB31PVM8TBKT8GI5VYI71JWZ0D" hidden="1">#REF!</definedName>
    <definedName name="BExB37UZ7KOLOBAPDS5EM5MJTPFJ" hidden="1">#REF!</definedName>
    <definedName name="BExB3S8NRKFKQZGZDLCF1J5OPNQX" hidden="1">#REF!</definedName>
    <definedName name="BExB4016U17W1T4ZWNG5SJCGWE9P" hidden="1">#REF!</definedName>
    <definedName name="BExB442RX0T3L6HUL6X5T21CENW6" hidden="1">#REF!</definedName>
    <definedName name="BExB472MUJSUYK7SI8BX1ZGQL0NK" hidden="1">#REF!</definedName>
    <definedName name="BExB4ADD0L7417CII901XTFKXD1J" hidden="1">#REF!</definedName>
    <definedName name="BExB4DO1V1NL2AVK5YE1RSL5RYHL" hidden="1">#REF!</definedName>
    <definedName name="BExB4DYU06HCGRIPBSWRCXK804UM" hidden="1">#REF!</definedName>
    <definedName name="BExB4XW9A16UWK9TUIA84W8X2ZEA" hidden="1">#REF!</definedName>
    <definedName name="BExB4Z3EZBGYYI33U0KQ8NEIH8PY"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IFAFRG56RCEOOXLOQHCNSLB"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C3FUAKK9ML5T767NMWGA9YB" hidden="1">#REF!</definedName>
    <definedName name="BExB6C8X6JYRLKZKK17VE3QUNL3D" hidden="1">#REF!</definedName>
    <definedName name="BExB6HN3QRFPXM71MDUK21BKM7PF" hidden="1">#REF!</definedName>
    <definedName name="BExB6IZMHCZ3LB7N73KD90YB1HBZ" hidden="1">#REF!</definedName>
    <definedName name="BExB6RZAN4TW4BIS93TJP3MTSF2V" hidden="1">#REF!</definedName>
    <definedName name="BExB6SKVVBQPHZ4Y692I5525S418" hidden="1">#REF!</definedName>
    <definedName name="BExB719SGNX4Y8NE6JEXC555K596" hidden="1">#REF!</definedName>
    <definedName name="BExB7265DCHKS7V2OWRBXCZTEIW9" hidden="1">#REF!</definedName>
    <definedName name="BExB73DAG0L10ZK0L6HQWV9BISN7" hidden="1">#REF!</definedName>
    <definedName name="BExB74PS5P9G0P09Y6DZSCX0FLTJ" hidden="1">#REF!</definedName>
    <definedName name="BExB77KDAUB9VYWBDJP50RIW7Y73" hidden="1">#REF!</definedName>
    <definedName name="BExB78RH79J0MIF7H8CAZ0CFE88Q" hidden="1">#REF!</definedName>
    <definedName name="BExB7ELT09HGDVO5BJC1ZY9D09GZ" hidden="1">#REF!</definedName>
    <definedName name="BExB7PZU5KVXW0MOS9BQNVV0U4WD" hidden="1">#REF!</definedName>
    <definedName name="BExB7R1PBLH2KKT4OJI4ESYMV3B3" hidden="1">#REF!</definedName>
    <definedName name="BExB7SUFBKOZJWAZHJSNHTBMUZE4" hidden="1">#REF!</definedName>
    <definedName name="BExB806PAXX70XUTA3ZI7OORD78R" hidden="1">#REF!</definedName>
    <definedName name="BExB88FBDZ0MSRCK5MB3E06QBO1N" hidden="1">#REF!</definedName>
    <definedName name="BExB89H5ZI7PL41B4CQN2OSUPK7A" hidden="1">#REF!</definedName>
    <definedName name="BExB8HF4UBVZKQCSRFRUQL2EE6VL" hidden="1">#REF!</definedName>
    <definedName name="BExB8HKHKZ1ORJZUYGG2M4VSCC39" hidden="1">#REF!</definedName>
    <definedName name="BExB8PIBXT2X11LCOX7RIO57ITDV" hidden="1">#REF!</definedName>
    <definedName name="BExB8QPH8DC5BESEVPSMBCWVN6PO" hidden="1">#REF!</definedName>
    <definedName name="BExB8U5N0D85YR8APKN3PPKG0FWP" hidden="1">#REF!</definedName>
    <definedName name="BExB91I17P2IIQ85B7OF9X01BBL0" hidden="1">#REF!</definedName>
    <definedName name="BExB9DHI5I2TJ2LXYPM98EE81L27" hidden="1">#REF!</definedName>
    <definedName name="BExB9IVQ5K36625BTKIXXB3R8NKE" hidden="1">#REF!</definedName>
    <definedName name="BExB9Q2MZZHBGW8QQKVEYIMJBPIE" hidden="1">#REF!</definedName>
    <definedName name="BExB9UVAU97XX5IFJV05VHTKS512" hidden="1">#REF!</definedName>
    <definedName name="BExB9WTBZ1ZNJ5PYDE80FJ9A5MQS" hidden="1">#REF!</definedName>
    <definedName name="BExBA1GON0EZRJ20UYPILAPLNQWM" hidden="1">#REF!</definedName>
    <definedName name="BExBA1RFNTGEN0TO2IRNXT6F3QKR" hidden="1">#REF!</definedName>
    <definedName name="BExBA69ASGYRZW1G1DYIS9QRRTBN" hidden="1">#REF!</definedName>
    <definedName name="BExBA6K42582A14WFFWQ3Q8QQWB6" hidden="1">#REF!</definedName>
    <definedName name="BExBA6PL9AA5J2L0KPL378AA2VZ4" hidden="1">#REF!</definedName>
    <definedName name="BExBA8I5D4R8R2PYQ1K16TWGTOEP" hidden="1">#REF!</definedName>
    <definedName name="BExBA8NMWNC4ESE854DLVFP3K8UR" hidden="1">#REF!</definedName>
    <definedName name="BExBA93PE0DGUUTA7LLSIGBIXWE5" hidden="1">#REF!</definedName>
    <definedName name="BExBAAWGR2BBXC8GXEYNQ9TYNUN8" hidden="1">#REF!</definedName>
    <definedName name="BExBAG5D16CADDC0MWOKCY7JZQO0" hidden="1">#REF!</definedName>
    <definedName name="BExBAHY3NCFFKJ0L0RWLV9Q2XEA7"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TG649R9I0CT042JLL8LXV18" hidden="1">#REF!</definedName>
    <definedName name="BExBBUCJQRR74Q7GPWDEZXYK2KJL" hidden="1">#REF!</definedName>
    <definedName name="BExBBV8XVMD9CKZY711T0BN7H3PM" hidden="1">#REF!</definedName>
    <definedName name="BExBC5L31H53WLFYF54SQM4A7EU4" hidden="1">#REF!</definedName>
    <definedName name="BExBC78HXWXHO3XAB6E8NVTBGLJS" hidden="1">#REF!</definedName>
    <definedName name="BExBCATYYZZEDHH6VTB2O2HIRMIR" hidden="1">#REF!</definedName>
    <definedName name="BExBCKKJTIRKC1RZJRTK65HHLX4W" hidden="1">#REF!</definedName>
    <definedName name="BExBCLMEPAN3XXX174TU8SS0627Q" hidden="1">#REF!</definedName>
    <definedName name="BExBCRBEYR2KZ8FAQFZ2NHY13WIY" hidden="1">#REF!</definedName>
    <definedName name="BExBD05M2XLZ3FDJC1J5FM7IICZB" hidden="1">'[20]10.08.2 - 2008 Expense'!#REF!</definedName>
    <definedName name="BExBD4I559NXSV6J07Q343TKYMVJ"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87JCZT4EZQQ1HEUN7ZAMNT" hidden="1">#REF!</definedName>
    <definedName name="BExBDUVGK3E1J4JY9ZYTS7V14BLY" hidden="1">#REF!</definedName>
    <definedName name="BExBDVH3DOL955WK34ZBD4XWH6OI" hidden="1">'[20]10.08.5 - 2008 Capital - TDBU'!#REF!</definedName>
    <definedName name="BExBE162OSBKD30I7T1DKKPT3I9I" hidden="1">#REF!</definedName>
    <definedName name="BExBE5YPUY1T7N7DHMMIGGXK8TMP" hidden="1">#REF!</definedName>
    <definedName name="BExBE827OBMEXJZS59TKFQS6FC0Z" hidden="1">#REF!</definedName>
    <definedName name="BExBEC9ATLQZF86W1M3APSM4HEOH" hidden="1">#REF!</definedName>
    <definedName name="BExBEHCOWXYAJ0G8WL2C0YAEM0A3" hidden="1">#REF!</definedName>
    <definedName name="BExBEIUMJGTX2SBNU3E8Z2XPR27P" hidden="1">#REF!</definedName>
    <definedName name="BExBEYFQJE9YK12A6JBMRFKEC7RN" hidden="1">#REF!</definedName>
    <definedName name="BExBG1ED81J2O4A2S5F5Y3BPHMCR" hidden="1">#REF!</definedName>
    <definedName name="BExCRHX1OTQXWVM4RKG8IHHYCVFP" hidden="1">#REF!</definedName>
    <definedName name="BExCRLIHS7466WFJ3RPIUGGXYESZ" hidden="1">#REF!</definedName>
    <definedName name="BExCS1EDDUEAEWHVYXHIP9I1WCJH" hidden="1">#REF!</definedName>
    <definedName name="BExCS6SLRCBH006GNRE27HFRHP40"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GOMZRUX4W3XE4LX5XXH5F2L" hidden="1">#REF!</definedName>
    <definedName name="BExCSMOFTXSUEC1T46LR1UPYRCX5" hidden="1">#REF!</definedName>
    <definedName name="BExCSMTPZZ9RQU93PT4098LW6KAZ" hidden="1">#REF!</definedName>
    <definedName name="BExCSSDG3TM6TPKS19E9QYJEELZ6" hidden="1">#REF!</definedName>
    <definedName name="BExCSZV7U67UWXL2HKJNM5W1E4OO" hidden="1">#REF!</definedName>
    <definedName name="BExCT4NSDT61OCH04Y2QIFIOP75H" hidden="1">#REF!</definedName>
    <definedName name="BExCTDNIGAFFV0FMRGUS25TGONCJ" hidden="1">#REF!</definedName>
    <definedName name="BExCTNE23PLYUM60ZCQ942C1KG81" hidden="1">#REF!</definedName>
    <definedName name="BExCTW8G3VCZ55S09HTUGXKB1P2M" hidden="1">#REF!</definedName>
    <definedName name="BExCTWJ9A4QCQ9OZN28V6HYAACMI" hidden="1">#REF!</definedName>
    <definedName name="BExCTYS2KX0QANOLT8LGZ9WV3S3T"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BILFA1EYYEOFEX37L275Z4P" hidden="1">#REF!</definedName>
    <definedName name="BExCUDRJO23YOKT8GPWOVQ4XEHF5" hidden="1">#REF!</definedName>
    <definedName name="BExCUPAXFR16YMWL30ME3F3BSRDZ" hidden="1">#REF!</definedName>
    <definedName name="BExCUR94DHCE47PUUWEMT5QZOYR2" hidden="1">#REF!</definedName>
    <definedName name="BExCUT768Y9WTBMX7GXYUGHWIXZD" hidden="1">'[20]10.08.2 - 2008 Expense'!#REF!</definedName>
    <definedName name="BExCUW1QXVMEP3B9SFPNEEWCG9I0" hidden="1">'[20]10.08.5 - 2008 Capital - TDBU'!#REF!</definedName>
    <definedName name="BExCUWN57J3KE1LMYFY8FAMDD57T" hidden="1">#REF!</definedName>
    <definedName name="BExCV4VXZA9HAYPSLTWYK66MGS3Y" hidden="1">#REF!</definedName>
    <definedName name="BExCV634L7SVHGB0UDDTRRQ2Q72H" hidden="1">#REF!</definedName>
    <definedName name="BExCVA4UIZYJL3LZ7EQQOM9CIPAD" hidden="1">#REF!</definedName>
    <definedName name="BExCVBMRUN39FYTXYMM2N12EFLG1" hidden="1">#REF!</definedName>
    <definedName name="BExCVBXGSXT9FWJRG62PX9S1RK83" hidden="1">#REF!</definedName>
    <definedName name="BExCVEH7A1VWBBC4BVU6VNJA1WGJ" hidden="1">#REF!</definedName>
    <definedName name="BExCVHBNLOHNFS0JAV3I1XGPNH9W" hidden="1">#REF!</definedName>
    <definedName name="BExCVI86R31A2IOZIEBY1FJLVILD" hidden="1">#REF!</definedName>
    <definedName name="BExCVKGZXE0I9EIXKBZVSGSEY2RR" hidden="1">#REF!</definedName>
    <definedName name="BExCVM4B2PZUHY0W5DLK6RO6HSGU"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JOP24TCAR0PRZG8HD526AHX" hidden="1">#REF!</definedName>
    <definedName name="BExCWM8JQB8SI9MNZVUOQN3547K8" hidden="1">#REF!</definedName>
    <definedName name="BExCWOBVOESHXLNFULF3L3PHKV9U" hidden="1">#REF!</definedName>
    <definedName name="BExCWP2YCA04PGYT4V2CKSHBG2N7" hidden="1">#REF!</definedName>
    <definedName name="BExCWPDPESGZS07QGBLSBWDNVJLZ" hidden="1">#REF!</definedName>
    <definedName name="BExCWTVKHIVCRHF8GC39KI58YM5K" hidden="1">#REF!</definedName>
    <definedName name="BExCWZPWC0LNH9ZNEEWXFFTQFZN4" hidden="1">#REF!</definedName>
    <definedName name="BExCX2KGRZBRVLZNM8SUSIE6A0RL" hidden="1">#REF!</definedName>
    <definedName name="BExCX30QEPK6YY3L5B9A865PM1XZ" hidden="1">#REF!</definedName>
    <definedName name="BExCX3X451T70LZ1VF95L7W4Y4TM" hidden="1">#REF!</definedName>
    <definedName name="BExCX4NZ2N1OUGXM7EV0U7VULJMM" hidden="1">#REF!</definedName>
    <definedName name="BExCX5KCKNR3QHCET9D7RK52DEJB" hidden="1">#REF!</definedName>
    <definedName name="BExCX8V1U9KN0DWRM7RHUYCTBVEN" hidden="1">#REF!</definedName>
    <definedName name="BExCXCGIFCIU1476QTARIGF5OXEL" hidden="1">#REF!</definedName>
    <definedName name="BExCXILMURGYMAH6N5LF5DV6K3GM" hidden="1">#REF!</definedName>
    <definedName name="BExCXMY5ISUXV19SSN8W6FPXAY3L" hidden="1">#REF!</definedName>
    <definedName name="BExCXQUFBMXQ1650735H48B1AZT3" hidden="1">#REF!</definedName>
    <definedName name="BExCXUFX19ADNJAUPHJ62T1ZS5A4" hidden="1">#REF!</definedName>
    <definedName name="BExCY2DQO9VLA77Q7EG3T0XNXX4F" hidden="1">#REF!</definedName>
    <definedName name="BExCY6VMJ68MX3C981R5Q0BX5791" hidden="1">#REF!</definedName>
    <definedName name="BExCYAH2SAZCPW6XCB7V7PMMCAWO" hidden="1">#REF!</definedName>
    <definedName name="BExCYE2K07U5UQ0WQNHXML7T0NJO" hidden="1">#REF!</definedName>
    <definedName name="BExCYH7R2U5R12XVG3NJ54H052NJ" hidden="1">#REF!</definedName>
    <definedName name="BExCYJBB52X8B3AREHCC1L5QNPX7" hidden="1">#REF!</definedName>
    <definedName name="BExCYPRC5HJE6N2XQTHCT6NXGP8N" hidden="1">#REF!</definedName>
    <definedName name="BExCYUK0I3UEXZNFDW71G6Z6D8XR" hidden="1">#REF!</definedName>
    <definedName name="BExCZ9UA19GWDW0TL6HVTOXIRSPV" hidden="1">#REF!</definedName>
    <definedName name="BExCZFZCXMLY5DWESYJ9NGTJYQ8M" hidden="1">#REF!</definedName>
    <definedName name="BExCZIJ0082EB1UPRKX9EHOOUV0U" hidden="1">#REF!</definedName>
    <definedName name="BExCZJ4P8WS0BDT31WDXI0ROE7D6" hidden="1">#REF!</definedName>
    <definedName name="BExCZKH6NI0EE02L995IFVBD1J59" hidden="1">#REF!</definedName>
    <definedName name="BExCZNH3KPWE50T7YYORPIC1TXLN" hidden="1">#REF!</definedName>
    <definedName name="BExCZSKJ3H9C3V7IL5VIJR1XCVS6" hidden="1">#REF!</definedName>
    <definedName name="BExCZUD9FEOJBKDJ51Z3JON9LKJ8" hidden="1">#REF!</definedName>
    <definedName name="BExD03NQ5GR56X8Y0Y29FLTRLLS2" hidden="1">#REF!</definedName>
    <definedName name="BExD0508DAALLU00PHFPBC8SRRKT" hidden="1">#REF!</definedName>
    <definedName name="BExD0BAT3ER3NBREZM75FYDXWDA7" hidden="1">#REF!</definedName>
    <definedName name="BExD0BG9BZG0I2HQ6PWHGGVEMY6K" hidden="1">#REF!</definedName>
    <definedName name="BExD0C1TNBFIEWNG3IH7R8WOPI6B" hidden="1">#REF!</definedName>
    <definedName name="BExD0HALIN0JR4JTPGDEVAEE5EX5" hidden="1">#REF!</definedName>
    <definedName name="BExD0LCCDPG16YLY5WQSZF1XI5DA" hidden="1">#REF!</definedName>
    <definedName name="BExD0M38AXH7IMGDWBCB3CT349N5" hidden="1">#REF!</definedName>
    <definedName name="BExD0RMWSB4TRECEHTH6NN4K9DFZ" hidden="1">#REF!</definedName>
    <definedName name="BExD0U6KG10QGVDI1XSHK0J10A2V" hidden="1">#REF!</definedName>
    <definedName name="BExD11Z3KEWZ3PWH1UZSJRDRV9IH" hidden="1">#REF!</definedName>
    <definedName name="BExD13RUIBGRXDL4QDZ305UKUR12" hidden="1">#REF!</definedName>
    <definedName name="BExD14DETV5R4OOTMAXD5NAKWRO3" hidden="1">#REF!</definedName>
    <definedName name="BExD160UKTD6MG5W79IBIHP0ZPKQ" hidden="1">#REF!</definedName>
    <definedName name="BExD16BM4TPPOCZ5ARF5HM6XKRFF" hidden="1">#REF!</definedName>
    <definedName name="BExD1OAU9OXQAZA4D70HP72CU6GB" hidden="1">#REF!</definedName>
    <definedName name="BExD1Y1JV61416YA1XRQHKWPZIE7" hidden="1">#REF!</definedName>
    <definedName name="BExD25DU4ZMU9XFJZTH3WMVIKAK6" hidden="1">#REF!</definedName>
    <definedName name="BExD2CFHIRMBKN5KXE5QP4XXEWFS" hidden="1">#REF!</definedName>
    <definedName name="BExD2DMHH1HWXQ9W0YYMDP8AAX8Q" hidden="1">#REF!</definedName>
    <definedName name="BExD2HTPC7IWBAU6OSQ67MQA8BYZ" hidden="1">#REF!</definedName>
    <definedName name="BExD2I9RDS4BGCN1GXO7T9OCTVFP" hidden="1">#REF!</definedName>
    <definedName name="BExD2O9JP64FF7WFAC5CXN0SJ91I" hidden="1">#REF!</definedName>
    <definedName name="BExD363H2VGFIQUCE6LS4AC5J0ZT" hidden="1">#REF!</definedName>
    <definedName name="BExD3A588E939V61P1XEW0FI5Q0S" hidden="1">#REF!</definedName>
    <definedName name="BExD3AW300FSO6AAXTER82E4G06O" hidden="1">#REF!</definedName>
    <definedName name="BExD3CJJDKVR9M18XI3WDZH80WL6" hidden="1">#REF!</definedName>
    <definedName name="BExD3ESD9WYJIB3TRDPJ1CKXRAVL" hidden="1">#REF!</definedName>
    <definedName name="BExD3F368X5S25MWSUNIV57RDB57"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ZGUHLSCF22XMCGLGJ6SWTEA" hidden="1">#REF!</definedName>
    <definedName name="BExD40O0CFTNJFOFMMM1KH0P7BUI" hidden="1">#REF!</definedName>
    <definedName name="BExD42M7FXJ8KK8AK9LDV75Z0U92" hidden="1">#REF!</definedName>
    <definedName name="BExD4440VK5VJ036LP729F6A0YGC" hidden="1">'[20]10.08.4 -2008 Capital'!#REF!</definedName>
    <definedName name="BExD4BLRYNKM0GO3B3KP6590EN75" hidden="1">#REF!</definedName>
    <definedName name="BExD4BR9HJ3MWWZ5KLVZWX9FJAUS" hidden="1">#REF!</definedName>
    <definedName name="BExD4CYDIFKUQ00ORL8MH1G8AEOH" hidden="1">#REF!</definedName>
    <definedName name="BExD4F1WTKT3H0N9MF4H1LX7MBSY" hidden="1">#REF!</definedName>
    <definedName name="BExD4H5GQWXBS6LUL3TSP36DVO38" hidden="1">#REF!</definedName>
    <definedName name="BExD4JJSS3QDBLABCJCHD45SRNPI" hidden="1">#REF!</definedName>
    <definedName name="BExD4R1I0MKF033I5LPUYIMTZ6E8" hidden="1">#REF!</definedName>
    <definedName name="BExD4ZQEW7F25SBOT6GFHWYONPD2" hidden="1">'[20]10.08.2 - 2008 Expense'!#REF!</definedName>
    <definedName name="BExD50MT3M6XZLNUP9JL93EG6D9R" hidden="1">#REF!</definedName>
    <definedName name="BExD58FB2E94KZRKVS2HR2X2RPON" hidden="1">#REF!</definedName>
    <definedName name="BExD5EV7KDSVF1CJT38M4IBPFLPY" hidden="1">#REF!</definedName>
    <definedName name="BExD5FRK547OESJRYAW574DZEZ7J" hidden="1">#REF!</definedName>
    <definedName name="BExD5I5X2YA2YNCTCDSMEL4CWF4N" hidden="1">#REF!</definedName>
    <definedName name="BExD5LGLIOQ0OLD32Y77OQHSFA20"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FKVK8WJWNYPVENR7Q8Q30PK" hidden="1">#REF!</definedName>
    <definedName name="BExD6GMP0LK8WKVWMIT1NNH8CHLF" hidden="1">#REF!</definedName>
    <definedName name="BExD6H2TE0WWAUIWVSSCLPZ6B88N" hidden="1">#REF!</definedName>
    <definedName name="BExD6IKQHK6BAYQM4S5BEVL56Z8X" hidden="1">#REF!</definedName>
    <definedName name="BExD71LTOE015TV5RSAHM8NT8GVW" hidden="1">#REF!</definedName>
    <definedName name="BExD73USXVADC7EHGHVTQNCT06ZA" hidden="1">#REF!</definedName>
    <definedName name="BExD7BHVRBZ6463MAK6KNCZQQAZL" hidden="1">#REF!</definedName>
    <definedName name="BExD7GAI1HJ9MD4ZU26MDRDS4E2B"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7N6P5ERNDX7C0TYFQOP08EQQ" hidden="1">#REF!</definedName>
    <definedName name="BExD87EVTIE7IAHSBAD70MNJUTK8" hidden="1">#REF!</definedName>
    <definedName name="BExD8H5O087KQVWIVPUUID5VMGMS" hidden="1">#REF!</definedName>
    <definedName name="BExD8OCLZMFN5K3VZYI4Q4ITVKUA" hidden="1">#REF!</definedName>
    <definedName name="BExD8UY01RLLF0MGPUZLE6EXR9AC" hidden="1">#REF!</definedName>
    <definedName name="BExD90MZC8CFEENJPJGQXGWBZL33" hidden="1">#REF!</definedName>
    <definedName name="BExD93C1R6LC0631ECHVFYH0R0PD" hidden="1">#REF!</definedName>
    <definedName name="BExD97TXIO0COVNN4OH3DEJ33YLM" hidden="1">#REF!</definedName>
    <definedName name="BExD99RZ1RFIMK6O1ZHSPJ68X9Y5" hidden="1">#REF!</definedName>
    <definedName name="BExD9C0ZMLX1WR2QR1YPWX15IH8W" hidden="1">'[20]10.08.3 - 2008 Expense - TDBU'!#REF!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JS3GCJ8M5I4XF4ZMYZ4BXT" hidden="1">#REF!</definedName>
    <definedName name="BExDA6LD9061UULVKUUI4QP8SK13" hidden="1">#REF!</definedName>
    <definedName name="BExDA7SHULP5GGGVSZFK3FMN833U" hidden="1">#REF!</definedName>
    <definedName name="BExDABE0KA94036RVJKMXL7GB30N" hidden="1">#REF!</definedName>
    <definedName name="BExDAGMVMNLQ6QXASB9R6D8DIT12" hidden="1">#REF!</definedName>
    <definedName name="BExDAYBHU9ADLXI8VRC7F608RVGM" hidden="1">#REF!</definedName>
    <definedName name="BExDBDR1XR0FV0CYUCB2OJ7CJCZU" hidden="1">#REF!</definedName>
    <definedName name="BExDBO8QK1FUFVLO07NZ0BZ9BKA0" hidden="1">#REF!</definedName>
    <definedName name="BExDBRJDI7W1042W6UYNA12BZGBJ" hidden="1">#REF!</definedName>
    <definedName name="BExDBY4R8EXLUENLCDFC4YRRVQPS" hidden="1">#REF!</definedName>
    <definedName name="BExDC7F818VN0S18ID7XRCRVYPJ4" hidden="1">#REF!</definedName>
    <definedName name="BExDCL7K96PC9VZYB70ZW3QPVIJE" hidden="1">#REF!</definedName>
    <definedName name="BExDCP3UZ3C2O4C1F7KMU0Z9U32N" hidden="1">#REF!</definedName>
    <definedName name="BExEOBX3WECDMYCV9RLN49APTXMM" hidden="1">#REF!</definedName>
    <definedName name="BExEOKLZRPEMPJO02S4EGHZXAWN3" hidden="1">#REF!</definedName>
    <definedName name="BExEP4E4F36662JDI0TOD85OP7X9" hidden="1">#REF!</definedName>
    <definedName name="BExEPN9VIYI0FVL0HLZQXJFO6TT0"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E3GC6W9CGTSGR7X502XUI5L" hidden="1">#REF!</definedName>
    <definedName name="BExEQFLE2RPWGMWQAI4JMKUEFRPT" hidden="1">#REF!</definedName>
    <definedName name="BExEQK38GYRBUH7XFJUH04UET47Q" hidden="1">#REF!</definedName>
    <definedName name="BExEQKE1O2TX2P7ZGJMB9VWDXWO4" hidden="1">#REF!</definedName>
    <definedName name="BExEQTZAP8R69U31W4LKGTKKGKQE" hidden="1">#REF!</definedName>
    <definedName name="BExEQU4RR1SZE5XJ90D8ZQ8KRZFG" hidden="1">#REF!</definedName>
    <definedName name="BExER2O72H1F9WV6S1J04C15PXX7" hidden="1">#REF!</definedName>
    <definedName name="BExERFEPB2LP5DWH3DNZJF8R0AK9" hidden="1">#REF!</definedName>
    <definedName name="BExERRUIKIOATPZ9U4HQ0V52RJAU" hidden="1">#REF!</definedName>
    <definedName name="BExERSANFNM1O7T65PC5MJ301YET" hidden="1">#REF!</definedName>
    <definedName name="BExERTNAJZ59DKI5JCRPJKMWW067" hidden="1">#REF!</definedName>
    <definedName name="BExERWCEBKQRYWRQLYJ4UCMMKTHG" hidden="1">[21]Table!#REF!</definedName>
    <definedName name="BExES1QK2RJM42AWEVW7RIMFEW0F" hidden="1">#REF!</definedName>
    <definedName name="BExES44RHHDL3V7FLV6M20834WF1" hidden="1">#REF!</definedName>
    <definedName name="BExES4A7VE2X3RYYTVRLKZD4I7WU" hidden="1">#REF!</definedName>
    <definedName name="BExES6ZC8R7PHJ21OVJFLIR7DY30" hidden="1">#REF!</definedName>
    <definedName name="BExESEH25TCNEETUCSRK8DYHROYY" hidden="1">#REF!</definedName>
    <definedName name="BExESMKD95A649M0WRSG6CXXP326" hidden="1">#REF!</definedName>
    <definedName name="BExESR27ZXJG5VMY4PR9D940VS7T" hidden="1">#REF!</definedName>
    <definedName name="BExESZ03KXL8DQ2591HLR56ZML94" hidden="1">#REF!</definedName>
    <definedName name="BExESZAW5N443NRTKIP59OEI1CR6" hidden="1">#REF!</definedName>
    <definedName name="BExET3HXQ60A4O2OLKX8QNXRI6LQ" hidden="1">#REF!</definedName>
    <definedName name="BExET3SPX08PMIJ6NN1UTG16Y6O2" hidden="1">#REF!</definedName>
    <definedName name="BExETA3B1FCIOA80H94K90FWXQKE" hidden="1">#REF!</definedName>
    <definedName name="BExETAZOYT4CJIT8RRKC9F2HJG1D" hidden="1">#REF!</definedName>
    <definedName name="BExETDZJZBM897WV9SJ54R7KH7MG" hidden="1">#REF!</definedName>
    <definedName name="BExETDZKK8E89XXW4SLL9AY29YEZ" hidden="1">#REF!</definedName>
    <definedName name="BExETF6QD5A9GEINE1KZRRC2LXWM" hidden="1">#REF!</definedName>
    <definedName name="BExETQ9XRXLUACN82805SPSPNKHI" hidden="1">#REF!</definedName>
    <definedName name="BExETR0YRMOR63E6DHLEHV9QVVON" hidden="1">#REF!</definedName>
    <definedName name="BExETU66ISCWFE06X0BBMH4H32HS" hidden="1">#REF!</definedName>
    <definedName name="BExETVTGY38YXYYF7N73OYN6FYY3" hidden="1">#REF!</definedName>
    <definedName name="BExEUNE4T242Y59C6MS28MXEUGCP" hidden="1">#REF!</definedName>
    <definedName name="BExEV1H9B1FRT8LPRHN7ODLAOI8T" hidden="1">'[20]10.08.4 -2008 Capital'!#REF!</definedName>
    <definedName name="BExEV2TP7NA3ZR6RJGH5ER370OUM" hidden="1">#REF!</definedName>
    <definedName name="BExEV69USLNYO2QRJRC0J92XUF00" hidden="1">#REF!</definedName>
    <definedName name="BExEV6KNTQOCFD7GV726XQEVQ7R6" hidden="1">#REF!</definedName>
    <definedName name="BExEV6VGM4POO9QT9KH3QA3VYCWM" hidden="1">#REF!</definedName>
    <definedName name="BExEV7MBFVP1I7TO351C06LT5IXR" hidden="1">#REF!</definedName>
    <definedName name="BExEVET98G3FU6QBF9LHYWSAMV0O" hidden="1">#REF!</definedName>
    <definedName name="BExEVNCUT0PDUYNJH7G6BSEWZOT2" hidden="1">#REF!</definedName>
    <definedName name="BExEVPGF4V5J0WQRZKUM8F9TTKZJ" hidden="1">#REF!</definedName>
    <definedName name="BExEVPWH8S9GER9M14SPIT6XZ8SG" hidden="1">#REF!</definedName>
    <definedName name="BExEVSLKRULT27602UIM13PGVL2R"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5SCJJRAF57MFJ81MB2U6K1N" hidden="1">'[20]10.08.4 -2008 Capital'!#REF!</definedName>
    <definedName name="BExEW68M9WL8214QH9C7VCK7BN08" hidden="1">#REF!</definedName>
    <definedName name="BExEW8C5SY1NQL4BKYZVXQ6JPR0W" hidden="1">#REF!</definedName>
    <definedName name="BExEW8HFKH6F47KIHYBDRUEFZ2ZZ" hidden="1">#REF!</definedName>
    <definedName name="BExEWLO75K95C6IRKHXSP7VP81T4" hidden="1">#REF!</definedName>
    <definedName name="BExEWNBGQS1U2LW3W84T4LSJ9K00" hidden="1">#REF!</definedName>
    <definedName name="BExEWO7STL7HNZSTY8VQBPTX1WK6" hidden="1">#REF!</definedName>
    <definedName name="BExEWQ0M1N3KMKTDJ73H10QSG4W1" hidden="1">#REF!</definedName>
    <definedName name="BExEWRTB911TBBZNA61Y44XXUP7N" hidden="1">#REF!</definedName>
    <definedName name="BExEWY3WYCWEMX9F15OWWUSC6ITZ" hidden="1">#REF!</definedName>
    <definedName name="BExEX25M63XO5LQD9ZS2VHQ0U8SR" hidden="1">#REF!</definedName>
    <definedName name="BExEX85F3OSW8NSCYGYPS9372Z1Q" hidden="1">#REF!</definedName>
    <definedName name="BExEX9HWY2G6928ZVVVQF77QCM2C" hidden="1">#REF!</definedName>
    <definedName name="BExEXBQWAYKMVBRJRHB8PFCSYFVN" hidden="1">#REF!</definedName>
    <definedName name="BExEXRBZ0DI9E2UFLLKYWGN66B61" hidden="1">#REF!</definedName>
    <definedName name="BExEY3GVGXSA8OTWWVC0OOM3N7EO" hidden="1">#REF!</definedName>
    <definedName name="BExEYLG9FL9V1JPPNZ3FUDNSEJ4V" hidden="1">#REF!</definedName>
    <definedName name="BExEYOW8C1B3OUUCIGEC7L8OOW1Z" hidden="1">#REF!</definedName>
    <definedName name="BExEYUQJXZT6N5HJH8ACJF6SRWEE" hidden="1">#REF!</definedName>
    <definedName name="BExEZ1S6VZCG01ZPLBSS9Z1SBOJ2" hidden="1">#REF!</definedName>
    <definedName name="BExEZGBFNJR8DLPN0V11AU22L6WY" hidden="1">#REF!</definedName>
    <definedName name="BExF02Y3V3QEPO2XLDSK47APK9XJ" hidden="1">#REF!</definedName>
    <definedName name="BExF09OS91RT7N7IW8JLMZ121ZP3" hidden="1">#REF!</definedName>
    <definedName name="BExF0JFE12J96ZPQZ2WHQZ66M1PC" hidden="1">#REF!</definedName>
    <definedName name="BExF0LOEHV42P2DV7QL8O7HOQ3N9" hidden="1">#REF!</definedName>
    <definedName name="BExF0MVJ4YGAIOT97BSBZTKKMJLO" hidden="1">#REF!</definedName>
    <definedName name="BExF0WRM9VO25RLSO03ZOCE8H7K5" hidden="1">#REF!</definedName>
    <definedName name="BExF0ZRI7W4RSLIDLHTSM0AWXO3S" hidden="1">#REF!</definedName>
    <definedName name="BExF15RBGKENVWZEFUPEK40YBRA7" hidden="1">#REF!</definedName>
    <definedName name="BExF19CT3MMZZ2T5EWMDNG3UOJ01" hidden="1">#REF!</definedName>
    <definedName name="BExF1I6ZCNOTATBG3PZ1RGSJ7JEC"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1Z9Z270BYA12GL2T6GSF2ZTY" hidden="1">#REF!</definedName>
    <definedName name="BExF29MBQUXJYOPZW1LVIKUJ4C01" hidden="1">#REF!</definedName>
    <definedName name="BExF2CWZN6E87RGTBMD4YQI2QT7R" hidden="1">#REF!</definedName>
    <definedName name="BExF2DYO1WQ7GMXSTAQRDBW1NSFG" hidden="1">#REF!</definedName>
    <definedName name="BExF2MSVB7MZZMDR2SCNEYJX21AU"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HDFSQD839XTC1DA8K1VHPZK" hidden="1">#REF!</definedName>
    <definedName name="BExF3I9T44X7DV9HHV51DVDDPPZG" hidden="1">#REF!</definedName>
    <definedName name="BExF3JMFX5DILOIFUDIO1HZUK875" hidden="1">#REF!</definedName>
    <definedName name="BExF3NO0RE1VBB19GCRR03V0B690" hidden="1">'[20]10.08.2 - 2008 Expense'!#REF!</definedName>
    <definedName name="BExF3NTC4BGZEM6B87TCFX277QCS" hidden="1">#REF!</definedName>
    <definedName name="BExF3Q7NI90WT31QHYSJDIG0LLLJ" hidden="1">#REF!</definedName>
    <definedName name="BExF3QD55TIY1MSBSRK9TUJKBEWO" hidden="1">#REF!</definedName>
    <definedName name="BExF3QT8J6RIF1L3R700MBSKIOKW" hidden="1">#REF!</definedName>
    <definedName name="BExF3WT0ZHF3EL0ASMG2VZWM9G8I" hidden="1">#REF!</definedName>
    <definedName name="BExF42SSBVPMLK2UB3B7FPEIY9TU" hidden="1">#REF!</definedName>
    <definedName name="BExF4HXSWB50BKYPWA0HTT8W56H6" hidden="1">#REF!</definedName>
    <definedName name="BExF4KHF04IWW4LQ95FHQPFE4Y9K" hidden="1">#REF!</definedName>
    <definedName name="BExF4LU2NV3A47BCWPM3EZXUEH37" hidden="1">#REF!</definedName>
    <definedName name="BExF4MVQM5Y0QRDLDFSKWWTF709C" hidden="1">#REF!</definedName>
    <definedName name="BExF4PVMZYV36E8HOYY06J81AMBI" hidden="1">#REF!</definedName>
    <definedName name="BExF4RZ6DOAJ22UKB3277ZIOU46S" hidden="1">#REF!</definedName>
    <definedName name="BExF4SF9NEX1FZE9N8EXT89PM54D" hidden="1">#REF!</definedName>
    <definedName name="BExF52GTGP8MHGII4KJ8TJGR8W8U" hidden="1">#REF!</definedName>
    <definedName name="BExF57K7L3UC1I2FSAWURR4SN0UN" hidden="1">#REF!</definedName>
    <definedName name="BExF5D96JEPDW6LV89G2REZJ1ES7"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6H4GVM169LVJ9EMCTORM8Q7" hidden="1">#REF!</definedName>
    <definedName name="BExF6786I4LDI5XCLJEAUR1360PJ"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QUSYQJK98BYSLTE5MXT70P5"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R9OJ83YUOQJTFS47QJFPBA6" hidden="1">#REF!</definedName>
    <definedName name="BExF7WD56YB3STK93BIQP3486ZEI" hidden="1">#REF!</definedName>
    <definedName name="BExF80K6MCUWS9W99VRNYEN44QQZ" hidden="1">#REF!</definedName>
    <definedName name="BExF81GI8B8WBHXFTET68A9358BR" hidden="1">#REF!</definedName>
    <definedName name="BExF87GAYMXKMUTK8SVUQ03Q8QZR" hidden="1">#REF!</definedName>
    <definedName name="BExGKVQARCQ9KIFMMXBXEKHDTREN" hidden="1">'[20]10.08.5 - 2008 Capital - TDBU'!#REF!</definedName>
    <definedName name="BExGL97US0Y3KXXASUTVR26XLT70" hidden="1">#REF!</definedName>
    <definedName name="BExGLA47VYPH5Q19X9DS7CT55B4I" hidden="1">#REF!</definedName>
    <definedName name="BExGLC7R4C33RO0PID97ZPPVCW4M" hidden="1">#REF!</definedName>
    <definedName name="BExGLFIF7HCFSHNQHKEV6RY0WCO3" hidden="1">#REF!</definedName>
    <definedName name="BExGLTARRL0J772UD2TXEYAVPY6E" hidden="1">#REF!</definedName>
    <definedName name="BExGLVP1IU8K5A8J1340XFMYPR88" hidden="1">#REF!</definedName>
    <definedName name="BExGLX716Z4UBZVUK6LS4LCBZ8EV"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7SOVSLKC6I1KE8PWWP0JN74" hidden="1">#REF!</definedName>
    <definedName name="BExGN9FZ2RWCMSY1YOBJKZMNIM9R" hidden="1">#REF!</definedName>
    <definedName name="BExGNDSIMTHOCXXG6QOGR6DA8SGG" hidden="1">#REF!</definedName>
    <definedName name="BExGNG6TCN1ZSYO3FQ0I1CHBMQSK" hidden="1">#REF!</definedName>
    <definedName name="BExGNN2YQ9BDAZXT2GLCSAPXKIM7" hidden="1">#REF!</definedName>
    <definedName name="BExGNSS0CKRPKHO25R3TDBEL2NHX" hidden="1">#REF!</definedName>
    <definedName name="BExGNYH0MO8NOVS85L15G0RWX4GW" hidden="1">#REF!</definedName>
    <definedName name="BExGNZO44DEG8CGIDYSEGDUQ531R" hidden="1">#REF!</definedName>
    <definedName name="BExGO2O0V6UYDY26AX8OSN72F77N" hidden="1">#REF!</definedName>
    <definedName name="BExGO2YUBOVLYHY1QSIHRE1KLAFV" hidden="1">#REF!</definedName>
    <definedName name="BExGO70E2O70LF46V8T26YFPL4V8" hidden="1">#REF!</definedName>
    <definedName name="BExGO93Y9EAR1NQIAT7U7P8UVVPK" hidden="1">'[20]10.08.4 -2008 Capital'!#REF!</definedName>
    <definedName name="BExGOB25QJMQCQE76MRW9X58OIOO" hidden="1">#REF!</definedName>
    <definedName name="BExGOD5OOOBUBIMGTY10CMMLMXNN" hidden="1">#REF!</definedName>
    <definedName name="BExGODAZKJ9EXMQZNQR5YDBSS525" hidden="1">#REF!</definedName>
    <definedName name="BExGODR8ZSMUC11I56QHSZ686XV5" hidden="1">#REF!</definedName>
    <definedName name="BExGOT6UXUX5FVTAYL9SOBZ1D0II" hidden="1">#REF!</definedName>
    <definedName name="BExGOXJDHUDPDT8I8IVGVW9J0R5Q" hidden="1">#REF!</definedName>
    <definedName name="BExGP3TT3CY5VYQJQ82YO0NMENH1" hidden="1">#REF!</definedName>
    <definedName name="BExGPHGT5KDOCMV2EFS4OVKTWBRD" hidden="1">#REF!</definedName>
    <definedName name="BExGPID72Y4Y619LWASUQZKZHJNC" hidden="1">#REF!</definedName>
    <definedName name="BExGPPENQIANVGLVQJ77DK5JPRTB" hidden="1">#REF!</definedName>
    <definedName name="BExGQ1ZU4967P72AHF4V1D0FOL5C" hidden="1">#REF!</definedName>
    <definedName name="BExGQ36ZOMR9GV8T05M605MMOY3Y" hidden="1">#REF!</definedName>
    <definedName name="BExGQ4E4XWZBZNG82O3F6S3IX0UD" hidden="1">#REF!</definedName>
    <definedName name="BExGQ61DTJ0SBFMDFBAK3XZ9O0ZO" hidden="1">#REF!</definedName>
    <definedName name="BExGQ6SG9XEOD0VMBAR22YPZWSTA" hidden="1">#REF!</definedName>
    <definedName name="BExGQGJ1A7LNZUS8QSMOG8UNGLMK" hidden="1">#REF!</definedName>
    <definedName name="BExGQNPYSR0588CMPYC6F4KV9EDE" hidden="1">'[20]10.08.5 - 2008 Capital - TDBU'!#REF!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AY9F658TSUK4B5X7SAIOYT9" hidden="1">#REF!</definedName>
    <definedName name="BExGRD74EJWS14SU2OOJCGK9X1W7" hidden="1">#REF!</definedName>
    <definedName name="BExGROQL61G1JF22224SED98B361" hidden="1">#REF!</definedName>
    <definedName name="BExGRUKVVKDL8483WI70VN2QZDGD" hidden="1">#REF!</definedName>
    <definedName name="BExGRW2VUL2RYAVBES5DLY6VH9EK" hidden="1">#REF!</definedName>
    <definedName name="BExGS2IWR5DUNJ1U9PAKIV8CMBNI" hidden="1">#REF!</definedName>
    <definedName name="BExGS39S7AWXR3SMHER030GA9FHE" hidden="1">#REF!</definedName>
    <definedName name="BExGS69P9FFTEOPDS0MWFKF45G47" hidden="1">#REF!</definedName>
    <definedName name="BExGS6F1JFHM5MUJ1RFO50WP6D05" hidden="1">#REF!</definedName>
    <definedName name="BExGSA5YB5ZGE4NHDVCZ55TQAJTL" hidden="1">#REF!</definedName>
    <definedName name="BExGSCEUCQQVDEEKWJ677QTGUVTE" hidden="1">#REF!</definedName>
    <definedName name="BExGSCKA06Y0QKMK697YEVLEA9FY" hidden="1">#REF!</definedName>
    <definedName name="BExGSJWJN6NORKNRWIN4W0MANCAV" hidden="1">#REF!</definedName>
    <definedName name="BExGSQY65LH1PCKKM5WHDW83F35O" hidden="1">#REF!</definedName>
    <definedName name="BExGSSW8N9A0O48I1Z0M4ZIIXNTV" hidden="1">#REF!</definedName>
    <definedName name="BExGSYW1GKISF0PMUAK3XJK9PEW9" hidden="1">#REF!</definedName>
    <definedName name="BExGSZCAQHVWXD4N87N0EW2W1JGB" hidden="1">#REF!</definedName>
    <definedName name="BExGT0DZJB6LSF6L693UUB9EY1VQ" hidden="1">#REF!</definedName>
    <definedName name="BExGTGVFIF8HOQXR54SK065A8M4K" hidden="1">#REF!</definedName>
    <definedName name="BExGTHRSN7OEWMFAXSHGKS2ECVLO" hidden="1">#REF!</definedName>
    <definedName name="BExGTIYX3OWPIINOGY1E4QQYSKHP" hidden="1">#REF!</definedName>
    <definedName name="BExGTKGUN0KUU3C0RL2LK98D8MEK" hidden="1">#REF!</definedName>
    <definedName name="BExGTTWOFVNMXRUNAMNODBN7I5RE" hidden="1">#REF!</definedName>
    <definedName name="BExGTZ046J7VMUG4YPKFN2K8TWB7" hidden="1">#REF!</definedName>
    <definedName name="BExGU1JWSVXPWIF3A5PN098ST2ZB" hidden="1">#REF!</definedName>
    <definedName name="BExGU2G9OPRZRIU9YGF6NX9FUW0J" hidden="1">#REF!</definedName>
    <definedName name="BExGU6HTKLRZO8UOI3DTAM5RFDBA" hidden="1">#REF!</definedName>
    <definedName name="BExGUDDZXFFQHAF4UZF8ZB1HO7H6" hidden="1">#REF!</definedName>
    <definedName name="BExGUIBXBRHGM97ZX6GBA4ZDQ79C" hidden="1">#REF!</definedName>
    <definedName name="BExGUM8D91UNPCOO4TKP9FGX85TF" hidden="1">#REF!</definedName>
    <definedName name="BExGUPZ6NZ68L2EDDWJAMBIUVHKZ" hidden="1">#REF!</definedName>
    <definedName name="BExGUQF9N9FKI7S0H30WUAEB5LPD" hidden="1">#REF!</definedName>
    <definedName name="BExGUR6BA03XPBK60SQUW197GJ5X" hidden="1">#REF!</definedName>
    <definedName name="BExGUVIP60TA4B7X2PFGMBFUSKGX" hidden="1">#REF!</definedName>
    <definedName name="BExGUZKF06F209XL1IZWVJEQ82EE" hidden="1">#REF!</definedName>
    <definedName name="BExGV2EVT380QHD4AP2RL9MR8L5L" hidden="1">#REF!</definedName>
    <definedName name="BExGVLQV4WLYED6UCM4VDJMDIODS" hidden="1">#REF!</definedName>
    <definedName name="BExGVQE1PH4Q46QUDV9GXTDJHSBP" hidden="1">#REF!</definedName>
    <definedName name="BExGVQUBBCND7N6N8UAFSJ3XMO2K" hidden="1">#REF!</definedName>
    <definedName name="BExGVV6OOLDQ3TXZK51TTF3YX0WN" hidden="1">#REF!</definedName>
    <definedName name="BExGW0KVS7U0C87XFZ78QW991IEV" hidden="1">#REF!</definedName>
    <definedName name="BExGW2Z7AMPG6H9EXA9ML6EZVGGA" hidden="1">#REF!</definedName>
    <definedName name="BExGW4XE5DHK7GOPYX8TT51CSG15" hidden="1">#REF!</definedName>
    <definedName name="BExGW5Z3L0OX08J99L459WM06JKA" hidden="1">#REF!</definedName>
    <definedName name="BExGWABG5VT5XO1A196RK61AXA8C" hidden="1">#REF!</definedName>
    <definedName name="BExGWE2ENPKKCYNRTQY1QKPWFLXM" hidden="1">#REF!</definedName>
    <definedName name="BExGWEO0JDG84NYLEAV5NSOAGMJZ" hidden="1">#REF!</definedName>
    <definedName name="BExGWK7JDSL1M5WZ40HT9QXFJ1EM" hidden="1">#REF!</definedName>
    <definedName name="BExGWLEOC70Z8QAJTPT2PDHTNM4L" hidden="1">#REF!</definedName>
    <definedName name="BExGWNCXLCRTLBVMTXYJ5PHQI6SS" hidden="1">#REF!</definedName>
    <definedName name="BExGWTI0YD2LF2C6MIF0OB6ZIWO7" hidden="1">#REF!</definedName>
    <definedName name="BExGX6U988MCFIGDA1282F92U9AA" hidden="1">#REF!</definedName>
    <definedName name="BExGX7FTB1CKAT5HUW6H531FIY6I" hidden="1">#REF!</definedName>
    <definedName name="BExGX9DVACJQIZ4GH6YAD2A7F70O" hidden="1">#REF!</definedName>
    <definedName name="BExGXDVP2S2Y8Z8Q43I78RCIK3DD" hidden="1">#REF!</definedName>
    <definedName name="BExGXJ9W5JU7TT9S0BKL5Y6VVB39" hidden="1">#REF!</definedName>
    <definedName name="BExGXR7QM0F3N9OYEG8V5BZ8X5WD"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M8ENAT3UBFMSYCXQG8WWNVD" hidden="1">#REF!</definedName>
    <definedName name="BExGYMZGRR1O4VFUEQP4FPY9SFY6" hidden="1">#REF!</definedName>
    <definedName name="BExGYOS6TV2C72PLRFU8RP1I58GY" hidden="1">#REF!</definedName>
    <definedName name="BExGZ7NXZ0IBS44C2NZ9VMD6T6K2" hidden="1">#REF!</definedName>
    <definedName name="BExGZJ78ZWZCVHZ3BKEKFJZ6MAEO" hidden="1">#REF!</definedName>
    <definedName name="BExGZOLH2QV73J3M9IWDDPA62TP4" hidden="1">#REF!</definedName>
    <definedName name="BExGZP1PWGFKVVVN4YDIS22DZPCR" hidden="1">#REF!</definedName>
    <definedName name="BExGZTE5G7WSV7TYWM2Q9FW7YZUN" hidden="1">#REF!</definedName>
    <definedName name="BExH00L21GZX5YJJGVMOAWBERLP5" hidden="1">#REF!</definedName>
    <definedName name="BExH02ZD6VAY1KQLAQYBBI6WWIZB" hidden="1">#REF!</definedName>
    <definedName name="BExH08Z6LQCGGSGSAILMHX4X7JMD" hidden="1">#REF!</definedName>
    <definedName name="BExH0BTMHS9M9C5JSOE1DK83LRCJ" hidden="1">#REF!</definedName>
    <definedName name="BExH0KT9Z8HEVRRQRGQ8YHXRLIJA" hidden="1">#REF!</definedName>
    <definedName name="BExH0M0FDN12YBOCKL3XL2Z7T7Y8" hidden="1">#REF!</definedName>
    <definedName name="BExH0O9G06YPZ5TN9RYT326I1CP2" hidden="1">#REF!</definedName>
    <definedName name="BExH0WNJAKTJRCKMTX8O4KNMIIJM" hidden="1">#REF!</definedName>
    <definedName name="BExH12Y4WX542WI3ZEM15AK4UM9J" hidden="1">#REF!</definedName>
    <definedName name="BExH181KIGEHYN7U002O6RO1HZT7" hidden="1">#REF!</definedName>
    <definedName name="BExH1COQB2N3U6HS9ITOY40KC6JA" hidden="1">#REF!</definedName>
    <definedName name="BExH1FDTQXR9QQ31WDB7OPXU7MPT" hidden="1">#REF!</definedName>
    <definedName name="BExH1FOMEUIJNIDJAUY0ZQFBJSY9" hidden="1">#REF!</definedName>
    <definedName name="BExH1G4VNA3BFMF4QK35PGSBQJMB" hidden="1">#REF!</definedName>
    <definedName name="BExH1JFFHEBFX9BWJMNIA3N66R3Z" hidden="1">#REF!</definedName>
    <definedName name="BExH1UYUZFQ3NQ2E3UANIJDR9U8U" hidden="1">#REF!</definedName>
    <definedName name="BExH1Z0GIUSVTF2H1G1I3PDGBNK2" hidden="1">#REF!</definedName>
    <definedName name="BExH225UTM6S9FW4MUDZS7F1PQSH" hidden="1">#REF!</definedName>
    <definedName name="BExH22M34C4EGB2M8ES9K2NBZFIX" hidden="1">#REF!</definedName>
    <definedName name="BExH23271RF7AYZ542KHQTH68GQ7" hidden="1">#REF!</definedName>
    <definedName name="BExH25LUU6AHETNY34SBU5S7UOWE" hidden="1">'[20]10.08.4 -2008 Capital'!#REF!</definedName>
    <definedName name="BExH2EARUVJ0LN7IJXI0S3UWLQB2" hidden="1">#REF!</definedName>
    <definedName name="BExH2GJQR4JALNB314RY0LDI49VH" hidden="1">#REF!</definedName>
    <definedName name="BExH2JZR49T7644JFVE7B3N7RZM9" hidden="1">#REF!</definedName>
    <definedName name="BExH2UHF0QTJG107MULYB16WBJM9" hidden="1">#REF!</definedName>
    <definedName name="BExH2WKXV8X5S2GSBBTWGI0NLNAH" hidden="1">#REF!</definedName>
    <definedName name="BExH2XS1UFYFGU0S0EBXX90W2WE8"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HTQQA3RHXK08CNPZI42FVSA" hidden="1">#REF!</definedName>
    <definedName name="BExIGJBO8R13LV7CZ7C1YCP974NN" hidden="1">#REF!</definedName>
    <definedName name="BExIGWT86FPOEYTI8GXCGU5Y3KGK" hidden="1">#REF!</definedName>
    <definedName name="BExIHBHXA7E7VUTBVHXXXCH3A5CL" hidden="1">#REF!</definedName>
    <definedName name="BExIHBHXMSLC44C053SZXSYO7792" hidden="1">#REF!</definedName>
    <definedName name="BExIHPQCQTGEW8QOJVIQ4VX0P6DX" hidden="1">#REF!</definedName>
    <definedName name="BExII1F6IZ6R90QEXPQM797VHUO1" hidden="1">#REF!</definedName>
    <definedName name="BExII1KN91Q7DLW0UB7W2TJ5ACT9" hidden="1">#REF!</definedName>
    <definedName name="BExII50LI8I0CDOOZEMIVHVA2V95" hidden="1">#REF!</definedName>
    <definedName name="BExIIFCX8RFH3G7Q9DCH3HTE14VA"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DISZXEB5UAC55IINOQUBK6X" hidden="1">#REF!</definedName>
    <definedName name="BExIJFGZJ5ED9D6KAY4PGQYLELAX" hidden="1">#REF!</definedName>
    <definedName name="BExIJQK80ZEKSTV62E59AYJYUNLI" hidden="1">#REF!</definedName>
    <definedName name="BExIJRLX3M0YQLU1D5Y9V7HM5QNM" hidden="1">#REF!</definedName>
    <definedName name="BExIJRR7W9PHGSRPIHRCMIOQUEQQ" hidden="1">'[20]10.08.4 -2008 Capital'!#REF!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PRX2YB5WTLBU2ZIIDKTSZLB"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5T2MJ6DXYOSVERRYGMDV89B" hidden="1">#REF!</definedName>
    <definedName name="BExILAAXRTRAD18K74M6MGUEEPUM" hidden="1">#REF!</definedName>
    <definedName name="BExILG5F338C0FFLMVOKMKF8X5ZP" hidden="1">#REF!</definedName>
    <definedName name="BExILGQTQM0HOD0BJI90YO7GOIN3" hidden="1">#REF!</definedName>
    <definedName name="BExILT6PKNSR8V0R7UE4IRG590K6" hidden="1">'[20]10.08.2 - 2008 Expense'!#REF!</definedName>
    <definedName name="BExIM2RXHXBO63HBPUTHF775IIRY" hidden="1">#REF!</definedName>
    <definedName name="BExIM2RXYS5BGYBDMFLU1RE8039Z" hidden="1">#REF!</definedName>
    <definedName name="BExIM2X90EG7J3TG4STQ3J1OK4O0" hidden="1">'[20]10.08.5 - 2008 Capital - TDBU'!#REF!</definedName>
    <definedName name="BExIM9DBUB7ZGF4B20FVUO9QGOX2" hidden="1">#REF!</definedName>
    <definedName name="BExIMGK9Z94TFPWWZFMD10HV0IF6" hidden="1">#REF!</definedName>
    <definedName name="BExIMPEGKG18TELVC33T4OQTNBWC" hidden="1">#REF!</definedName>
    <definedName name="BExIN4OR435DL1US13JQPOQK8GD5" hidden="1">#REF!</definedName>
    <definedName name="BExINHQ27UK79IK88M14P1SXMGYY" hidden="1">#REF!</definedName>
    <definedName name="BExINI6A7H3KSFRFA6UBBDPKW37F" hidden="1">#REF!</definedName>
    <definedName name="BExINIMK8XC3JOBT2EXYFHHH52H0" hidden="1">#REF!</definedName>
    <definedName name="BExINLGZTO4C3BAICP3I2AXI0L3L" hidden="1">#REF!</definedName>
    <definedName name="BExINLX401ZKEGWU168DS4JUM2J6" hidden="1">#REF!</definedName>
    <definedName name="BExINMYYJO1FTV1CZF6O5XCFAMQX" hidden="1">#REF!</definedName>
    <definedName name="BExINP2H4KI05FRFV5PKZFE00HKO" hidden="1">#REF!</definedName>
    <definedName name="BExINT417AAWC51ZA8X4TDJCY0QV" hidden="1">#REF!</definedName>
    <definedName name="BExINT42RM5ESUGKCUN8IZFWEV0D" hidden="1">'[20]10.08.5 - 2008 Capital - TDBU'!#REF!</definedName>
    <definedName name="BExINZELBUXH0OXC3SAGC2RI7DXI" hidden="1">#REF!</definedName>
    <definedName name="BExINZELVWYGU876QUUZCIMXPBQC" hidden="1">#REF!</definedName>
    <definedName name="BExIOCQUQHKUU1KONGSDOLQTQEIC" hidden="1">#REF!</definedName>
    <definedName name="BExIOFL8Y5O61VLKTB4H20IJNWS1" hidden="1">#REF!</definedName>
    <definedName name="BExIOMBXRW5NS4ZPYX9G5QREZ5J6" hidden="1">#REF!</definedName>
    <definedName name="BExIOP121EZ0DOU3CLJVVRUIQPZP"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DLT8JYAMGE5HTN4D1YHZF3V" hidden="1">#REF!</definedName>
    <definedName name="BExIPG040Q08EWIWL6CAVR3GRI43" hidden="1">#REF!</definedName>
    <definedName name="BExIPKNFUDPDKOSH5GHDVNA8D66S" hidden="1">#REF!</definedName>
    <definedName name="BExIPMWA45QSRZBQJ7J5LE412D5J"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65DFEB0L9IMMF5X977SD" hidden="1">#REF!</definedName>
    <definedName name="BExIQBMDE1L6J4H27K1FMSHQKDSE" hidden="1">#REF!</definedName>
    <definedName name="BExIQE65LVXUOF3UZFO7SDHFJH22" hidden="1">#REF!</definedName>
    <definedName name="BExIQG9OO2KKBOWTMD1OXY36TEGA" hidden="1">#REF!</definedName>
    <definedName name="BExIQK0FRCT7UYOFPF6HXKEUARNJ" hidden="1">#REF!</definedName>
    <definedName name="BExIQX1XBB31HZTYEEVOBSE3C5A6" hidden="1">#REF!</definedName>
    <definedName name="BExIQY8VY7PMQS8M5UTSAF3MW1AA" hidden="1">#REF!</definedName>
    <definedName name="BExIQYP5T1TPAQYW7QU1Q98BKX7W" hidden="1">#REF!</definedName>
    <definedName name="BExIR2ALYRP9FW99DK2084J7IIDC" hidden="1">#REF!</definedName>
    <definedName name="BExIR8FQETPTQYW37DBVDWG3J4JW" hidden="1">#REF!</definedName>
    <definedName name="BExIRRBGTY01OQOI3U5SW59RFDFI" hidden="1">#REF!</definedName>
    <definedName name="BExIRRM8X5MMN15Q3SPFK13165ZR" hidden="1">'[20]10.08.5 - 2008 Capital - TDBU'!#REF!</definedName>
    <definedName name="BExIS4T0DRF57HYO7OGG72KBOFOI" hidden="1">#REF!</definedName>
    <definedName name="BExIS77BJDDK18PGI9DSEYZPIL7P" hidden="1">#REF!</definedName>
    <definedName name="BExIS8UME1A94FJH5YHFVEO8E03Z"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XVMB9A7MHHRJTQGWLTINL5K" hidden="1">#REF!</definedName>
    <definedName name="BExIT1MK8TBAK3SNP36A8FKDQSOK" hidden="1">#REF!</definedName>
    <definedName name="BExITBNYANV2S8KD56GOGCKW393R" hidden="1">#REF!</definedName>
    <definedName name="BExITENTNC8AZE7V0WRWRYW8HP0C" hidden="1">#REF!</definedName>
    <definedName name="BExITKI640SU7Y4KLZY9I1Z9R6TT" hidden="1">#REF!</definedName>
    <definedName name="BExITTSMS5QHJIV39IX8L172UTTU" hidden="1">#REF!</definedName>
    <definedName name="BExITU3FT317H7G8057DIO12TN7U" hidden="1">#REF!</definedName>
    <definedName name="BExITXE2V3RFP2CB0EZVVTMZFX7T" hidden="1">#REF!</definedName>
    <definedName name="BExIUAFCGGFQDEDMTXUYTTA3EYBT" hidden="1">#REF!</definedName>
    <definedName name="BExIUD4OJGH65NFNQ4VMCE3R4J1X" hidden="1">#REF!</definedName>
    <definedName name="BExIUKGWIPE992U6T8OUR0LZQDXK" hidden="1">#REF!</definedName>
    <definedName name="BExIUM46R6FW1PBJUL86BQVXB96X" hidden="1">#REF!</definedName>
    <definedName name="BExIUTB5OAAXYW0OFMP0PS40SPOB" hidden="1">#REF!</definedName>
    <definedName name="BExIUUT2MHIOV6R3WHA0DPM1KBKY" hidden="1">#REF!</definedName>
    <definedName name="BExIUY3RMHPHDAHQNA21GY3ZUTMU"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8AM80CS6E5TN6IATF33GV1V" hidden="1">#REF!</definedName>
    <definedName name="BExIVBFYNRU691AQPVWWPH7PG4PX" hidden="1">#REF!</definedName>
    <definedName name="BExIVC6WZMHRBRGIBUVX0CO2RK05" hidden="1">#REF!</definedName>
    <definedName name="BExIVCXWL6H5LD9DHDIA4F5U9TQL" hidden="1">#REF!</definedName>
    <definedName name="BExIVEL6GUMOY062S9PFOGOGJ1UX"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WB3SY3WRIVIOF988DNNODBOA" hidden="1">#REF!</definedName>
    <definedName name="BExIWB99CG0H52LRD6QWPN4L6DV2" hidden="1">#REF!</definedName>
    <definedName name="BExIWCGFM00Y1WAFPJT5KRD1K5XP" hidden="1">#REF!</definedName>
    <definedName name="BExIWG1W7XP9DFYYSZAIOSHM0QLQ" hidden="1">#REF!</definedName>
    <definedName name="BExIWH3KUK94B7833DD4TB0Y6KP9" hidden="1">#REF!</definedName>
    <definedName name="BExIWKE9MGIDWORBI43AWTUNYFAN" hidden="1">#REF!</definedName>
    <definedName name="BExIWLFXFUPVKEPUHWJYGEW9I7SQ" hidden="1">#REF!</definedName>
    <definedName name="BExIWNZR6BI167OK1PHT0XMDHSMS" hidden="1">#REF!</definedName>
    <definedName name="BExIWQ8KOCZ9G1137JOM03I28GP4" hidden="1">#REF!</definedName>
    <definedName name="BExIX34PM5DBTRHRQWP6PL6WIX88" hidden="1">#REF!</definedName>
    <definedName name="BExIX5OAP9KSUE5SIZCW9P39Q4WE" hidden="1">#REF!</definedName>
    <definedName name="BExIXB7UUMLUUU4G2KWA00VKHNEJ" hidden="1">#REF!</definedName>
    <definedName name="BExIXGRJPVJMUDGSG7IHPXPNO69B" hidden="1">#REF!</definedName>
    <definedName name="BExIXM5R87ZL3FHALWZXYCPHGX3E" hidden="1">#REF!</definedName>
    <definedName name="BExIXS036ZCKT2Z8XZKLZ8PFWQGL" hidden="1">#REF!</definedName>
    <definedName name="BExIXY5CF9PFM0P40AZ4U51TMWV0" hidden="1">#REF!</definedName>
    <definedName name="BExIYEXJBK8JDWIRSVV4RJSKZVV1" hidden="1">#REF!</definedName>
    <definedName name="BExIYI2RH0K4225XO970K2IQ1E79" hidden="1">#REF!</definedName>
    <definedName name="BExIYMPZ0KS2KOJFQAUQJ77L7701" hidden="1">#REF!</definedName>
    <definedName name="BExIYP9Q6FV9T0R9G3UDKLS4TTYX" hidden="1">#REF!</definedName>
    <definedName name="BExIYQ63QDPSPOEL1H0OP89YQTZH" hidden="1">'[20]10.08.2 - 2008 Expense'!#REF!</definedName>
    <definedName name="BExIYV9IMIVVVSZNL48E412WN7ZF" hidden="1">#REF!</definedName>
    <definedName name="BExIYWWSSNFJ49218D4EO9QWKL69" hidden="1">#REF!</definedName>
    <definedName name="BExIYZGLDQ1TN7BIIN4RLDP31GIM" hidden="1">#REF!</definedName>
    <definedName name="BExIZ4K0EZJK6PW3L8SVKTJFSWW9" hidden="1">#REF!</definedName>
    <definedName name="BExIZ5GDN6WSJ55BFCN2CC7G80L0" hidden="1">#REF!</definedName>
    <definedName name="BExIZ6YBLNY9O1BQC129VGDXCVNX" hidden="1">#REF!</definedName>
    <definedName name="BExIZAECOEZGBAO29QMV14E6XDIV" hidden="1">#REF!</definedName>
    <definedName name="BExIZKVXYD5O2JBU81F2UFJZLLSI" hidden="1">#REF!</definedName>
    <definedName name="BExIZPZDHC8HGER83WHCZAHOX7LK" hidden="1">#REF!</definedName>
    <definedName name="BExIZY2PUZ0OF9YKK1B13IW0VS6G" hidden="1">#REF!</definedName>
    <definedName name="BExJ08KBRR2XMWW3VZMPSQKXHZUH" hidden="1">#REF!</definedName>
    <definedName name="BExJ0DYJWXGE7DA39PYL3WM05U9O" hidden="1">#REF!</definedName>
    <definedName name="BExJ0MY8SY5J5V50H3UKE78ODTVB" hidden="1">#REF!</definedName>
    <definedName name="BExJ0YC98G37ML4N8FLP8D95EFRF" hidden="1">#REF!</definedName>
    <definedName name="BExJ1PWWYANUHL8A16ETV0RDAXC3" hidden="1">#REF!</definedName>
    <definedName name="BExKCDYKAEV45AFXHVHZZ62E5BM3" hidden="1">#REF!</definedName>
    <definedName name="BExKCJCRGT5SGXIHDQI24Z6J8GI4" hidden="1">#REF!</definedName>
    <definedName name="BExKDKO0W4AGQO1V7K6Q4VM750FT" hidden="1">#REF!</definedName>
    <definedName name="BExKDLF10G7W77J87QWH3ZGLUCLW" hidden="1">#REF!</definedName>
    <definedName name="BExKE0PBX3XGOUM78ZT54ALDAVSP" hidden="1">#REF!</definedName>
    <definedName name="BExKEFE0I3MT6ZLC4T1L9465HKTN" hidden="1">#REF!</definedName>
    <definedName name="BExKEK6O5BVJP4VY02FY7JNAZ6BT" hidden="1">#REF!</definedName>
    <definedName name="BExKEKXK6E6QX339ELPXDIRZSJE0" hidden="1">#REF!</definedName>
    <definedName name="BExKEOOIBMP7N8033EY2CJYCBX6H" hidden="1">#REF!</definedName>
    <definedName name="BExKEW0RR5LA3VC46A2BEOOMQE56" hidden="1">#REF!</definedName>
    <definedName name="BExKFA3VI1CZK21SM0N3LZWT9LA1" hidden="1">#REF!</definedName>
    <definedName name="BExKFHGARZIYPYRZWQNLP5VVCRE2" hidden="1">#REF!</definedName>
    <definedName name="BExKFINBFV5J2NFRCL4YUO3YF0ZE" hidden="1">#REF!</definedName>
    <definedName name="BExKFISRBFACTAMJSALEYMY66F6X" hidden="1">#REF!</definedName>
    <definedName name="BExKFOSK5DJ151C4E8544UWMYTOC" hidden="1">#REF!</definedName>
    <definedName name="BExKFY32BHV278YC2ID5UIB5O51K" hidden="1">#REF!</definedName>
    <definedName name="BExKFYJC4EVEV54F82K6VKP7Q3OU" hidden="1">#REF!</definedName>
    <definedName name="BExKG4IYHBKQQ8J8FN10GB2IKO33" hidden="1">#REF!</definedName>
    <definedName name="BExKG60XBDFYOF7ZU3F5US7CM2Y4" hidden="1">#REF!</definedName>
    <definedName name="BExKG6XA0DGM4VUMUE4NHHVYVJ0J"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RLRYB3OW56X3JCUII1OOS3K" hidden="1">#REF!</definedName>
    <definedName name="BExKGV77YH9YXIQTRKK2331QGYKF" hidden="1">#REF!</definedName>
    <definedName name="BExKH170S7VQ0NRNOWNT98XVEWUH" hidden="1">#REF!</definedName>
    <definedName name="BExKH3FTZ5VGTB86W9M4AB39R0G8" hidden="1">#REF!</definedName>
    <definedName name="BExKH3FV5U5O6XZM7STS3NZKQFGJ" hidden="1">#REF!</definedName>
    <definedName name="BExKHAMUH8NR3HRV0V6FHJE3ROLN" hidden="1">#REF!</definedName>
    <definedName name="BExKHCFKOWFHO2WW0N7Y5XDXEWAO" hidden="1">#REF!</definedName>
    <definedName name="BExKHIVLONZ46HLMR50DEXKEUNEP" hidden="1">#REF!</definedName>
    <definedName name="BExKHKDK2PRBCUJS8TEDP8K3VODQ" hidden="1">#REF!</definedName>
    <definedName name="BExKHPM9XA0ADDK7TUR0N38EXWEP" hidden="1">#REF!</definedName>
    <definedName name="BExKHWD5BOLP8DQJHOIBWHYCSY9W" hidden="1">#REF!</definedName>
    <definedName name="BExKI4076KXCDE5KXL79KT36OKLO" hidden="1">#REF!</definedName>
    <definedName name="BExKI45P8VH8M6QPIX8B2CFPOGZ3" hidden="1">#REF!</definedName>
    <definedName name="BExKI7LO70WYISR7Q0Y1ZDWO9M3B" hidden="1">#REF!</definedName>
    <definedName name="BExKIEN5C2YIQQSVLK8YO62XYJMM" hidden="1">#REF!</definedName>
    <definedName name="BExKIGQV6TXIZG039HBOJU62WP2U" hidden="1">#REF!</definedName>
    <definedName name="BExKILE008SF3KTAN8WML3XKI1NZ" hidden="1">#REF!</definedName>
    <definedName name="BExKINSBB6RS7I489QHMCOMU4Z2X" hidden="1">#REF!</definedName>
    <definedName name="BExKIU87ZKSOC2DYZWFK6SAK9I8E" hidden="1">#REF!</definedName>
    <definedName name="BExKJ449HLYX2DJ9UF0H9GTPSQ73" hidden="1">#REF!</definedName>
    <definedName name="BExKJELX2RUC8UEC56IZPYYZXHA7" hidden="1">#REF!</definedName>
    <definedName name="BExKJINMXS61G2TZEXCJAWVV4F57" hidden="1">#REF!</definedName>
    <definedName name="BExKJK5ME8KB7HA0180L7OUZDDGV" hidden="1">#REF!</definedName>
    <definedName name="BExKJN5IF0VMDILJ5K8ZENF2QYV1" hidden="1">#REF!</definedName>
    <definedName name="BExKJUSJPFUIK20FTVAFJWR2OUYX" hidden="1">#REF!</definedName>
    <definedName name="BExKK8VP5RS3D0UXZVKA37C4SYBP" hidden="1">#REF!</definedName>
    <definedName name="BExKKCRXE2B5CHO3044NF9QAKPIW" hidden="1">#REF!</definedName>
    <definedName name="BExKKIM9NPF6B3SPMPIQB27HQME4" hidden="1">#REF!</definedName>
    <definedName name="BExKKIX1BCBQ4R3K41QD8NTV0OV0" hidden="1">#REF!</definedName>
    <definedName name="BExKKKV82VW7RLX4HE7NYZULP4I5" hidden="1">#REF!</definedName>
    <definedName name="BExKKLGTZTV7J4XD4AGDM4UEZFTY" hidden="1">#REF!</definedName>
    <definedName name="BExKKQ3ZWADYV03YHMXDOAMU90EB" hidden="1">#REF!</definedName>
    <definedName name="BExKKRWPS7N7KUY6X06X0TEINQM6" hidden="1">#REF!</definedName>
    <definedName name="BExKKUGD2HMJWQEYZ8H3X1BMXFS9" hidden="1">#REF!</definedName>
    <definedName name="BExKKX05KCZZZPKOR1NE5A8RGVT4" hidden="1">#REF!</definedName>
    <definedName name="BExKKX5GX2R75C9E5OJC8AEQ02WR" hidden="1">#REF!</definedName>
    <definedName name="BExKLD6S9L66QYREYHBE5J44OK7X" hidden="1">#REF!</definedName>
    <definedName name="BExKLEZK32L28GYJWVO63BZ5E1JD" hidden="1">#REF!</definedName>
    <definedName name="BExKLHTYKCAWH7WCYP78L3516NDH" hidden="1">#REF!</definedName>
    <definedName name="BExKLLKVVHT06LA55JB2FC871DC5" hidden="1">#REF!</definedName>
    <definedName name="BExKMFUOVKD6ZRRWMW0FAANYOY14" hidden="1">'[20]10.08.4 -2008 Capital'!#REF!</definedName>
    <definedName name="BExKMM52P2JTD826GL7EUFZ2GOWA" hidden="1">#REF!</definedName>
    <definedName name="BExKMWBX4EH3EYJ07UFEM08NB40Z" hidden="1">#REF!</definedName>
    <definedName name="BExKNBGV2IR3S7M0BX4810KZB4V3" hidden="1">#REF!</definedName>
    <definedName name="BExKNCTBZTSY3MO42VU5PLV6YUHZ" hidden="1">#REF!</definedName>
    <definedName name="BExKNGV2YY749C42AQ2T9QNIE5C3" hidden="1">#REF!</definedName>
    <definedName name="BExKNSP7EUXMQ7HQ1I4UI51T620P"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BVQIBD5QN64WI0VMWG8ECVY" hidden="1">#REF!</definedName>
    <definedName name="BExKODIZGWW2EQD0FEYW6WK6XLCM" hidden="1">#REF!</definedName>
    <definedName name="BExKOPO2HPWVQGAKW8LOZMPIDEFG" hidden="1">#REF!</definedName>
    <definedName name="BExKOU0G4S03BPJYQJ7Q6BXA1XZE" hidden="1">#REF!</definedName>
    <definedName name="BExKP1NNUBCM89W1AWCQ4GYT46VL" hidden="1">'[20]10.08.4 -2008 Capital'!#REF!</definedName>
    <definedName name="BExKPEZP0QTKOTLIMMIFSVTHQEEK" hidden="1">#REF!</definedName>
    <definedName name="BExKPJXT3SWOS15NRMD9RAD4AXOC" hidden="1">#REF!</definedName>
    <definedName name="BExKPLFRCAYNO7ZNGISMPGFFXB00" hidden="1">#REF!</definedName>
    <definedName name="BExKPLQJX0HJ8OTXBXH9IC9J2V0W" hidden="1">#REF!</definedName>
    <definedName name="BExKPN8C7GN36ZJZHLOB74LU6KT0" hidden="1">#REF!</definedName>
    <definedName name="BExKPUKRNDWTKQ8SV8FLABPPXTJK" hidden="1">#REF!</definedName>
    <definedName name="BExKPX9VZ1J5021Q98K60HMPJU58" hidden="1">#REF!</definedName>
    <definedName name="BExKQJGAAWNM3NT19E9I0CQDBTU0" hidden="1">#REF!</definedName>
    <definedName name="BExKQM5GJ1ZN5REKFE7YVBQ0KXWF" hidden="1">#REF!</definedName>
    <definedName name="BExKQOEA7HV9U5DH9C8JXFD62EKH" hidden="1">#REF!</definedName>
    <definedName name="BExKQQ71278061G7ZFYGPWOMOMY2" hidden="1">#REF!</definedName>
    <definedName name="BExKQR8NYY6S7G0RNG3W5UHF26LU" hidden="1">#REF!</definedName>
    <definedName name="BExKQRUAOHG635WYE6STI4YHGJPE" hidden="1">#REF!</definedName>
    <definedName name="BExKQTXRG3ECU8NT47UR7643LO5G" hidden="1">#REF!</definedName>
    <definedName name="BExKQVL7HPOIZ4FHANDFMVOJLEPR" hidden="1">#REF!</definedName>
    <definedName name="BExKR1VS7ERDDF8HXB3WTPYEUCIU" hidden="1">#REF!</definedName>
    <definedName name="BExKR32XG1WY77WDT8KW9FJPGQTU" hidden="1">#REF!</definedName>
    <definedName name="BExKR510GA0MUAKSG4OVIQ26I0BG" hidden="1">#REF!</definedName>
    <definedName name="BExKR8RZSEHW184G0Z56B4EGNU72" hidden="1">#REF!</definedName>
    <definedName name="BExKRVUSQ6PA7ZYQSTEQL3X7PB9P" hidden="1">#REF!</definedName>
    <definedName name="BExKRY3KZ7F7RB2KH8HXSQ85IEQO" hidden="1">#REF!</definedName>
    <definedName name="BExKSA37DZTCK6H13HPIKR0ZFVL8" hidden="1">#REF!</definedName>
    <definedName name="BExKSFMOMSZYDE0WNC94F40S6636" hidden="1">#REF!</definedName>
    <definedName name="BExKSHQ9K79S8KYUWIV5M5LAHHF1" hidden="1">#REF!</definedName>
    <definedName name="BExKSIS3VA1NCEFCZZSIK8B3YIBZ" hidden="1">#REF!</definedName>
    <definedName name="BExKSJTWG9L3FCX8FLK4EMUJMF27" hidden="1">#REF!</definedName>
    <definedName name="BExKSLH6QVG81B35VZ8FUSPBKTD5" hidden="1">#REF!</definedName>
    <definedName name="BExKSRX3BUJY78UHYYZJVTVLMZVP" hidden="1">#REF!</definedName>
    <definedName name="BExKSU0MKNAVZYYPKCYTZDWQX4R8" hidden="1">#REF!</definedName>
    <definedName name="BExKSUBFNA2CM15GD0QR99POCR5I" hidden="1">#REF!</definedName>
    <definedName name="BExKSV7ROT5B5BVJ3G19JSC85BAD" hidden="1">#REF!</definedName>
    <definedName name="BExKSX60G1MUS689FXIGYP2F7C62" hidden="1">#REF!</definedName>
    <definedName name="BExKT2UZ7Y2VWF5NQE18SJRLD2RN" hidden="1">#REF!</definedName>
    <definedName name="BExKT3GJFNGAM09H5F615E36A38C" hidden="1">#REF!</definedName>
    <definedName name="BExKT9AWCJUL6FVVYMI7NGFTAEEG" hidden="1">#REF!</definedName>
    <definedName name="BExKTQZGN8GI3XGSEXMPCCA3S19H" hidden="1">#REF!</definedName>
    <definedName name="BExKTSBXGP8YGSN5UO0FUHVXT92J" hidden="1">#REF!</definedName>
    <definedName name="BExKTUKYYU0F6TUW1RXV24LRAZFE" hidden="1">#REF!</definedName>
    <definedName name="BExKU3FBLHQBIUTN6XEZW5GC9OG1" hidden="1">#REF!</definedName>
    <definedName name="BExKU3KMPVWH483Q5TP8K2H0S2L4" hidden="1">#REF!</definedName>
    <definedName name="BExKU82I99FEUIZLODXJDOJC96CQ" hidden="1">#REF!</definedName>
    <definedName name="BExKU9EXMNZKVJV6GSO4XEI3YCWM" hidden="1">#REF!</definedName>
    <definedName name="BExKUDM0DFSCM3D91SH0XLXJSL18" hidden="1">#REF!</definedName>
    <definedName name="BExKUGGKEOHX3EEPQ7NGSZWZ8UPA" hidden="1">#REF!</definedName>
    <definedName name="BExKULEKJLA77AUQPDUHSM94Y76Z" hidden="1">#REF!</definedName>
    <definedName name="BExKUPAT7VWF9ZS0PSYAV71U4N72" hidden="1">'[20]10.08.5 - 2008 Capital - TDBU'!#REF!</definedName>
    <definedName name="BExKV08R85MKI3MAX9E2HERNQUNL" hidden="1">#REF!</definedName>
    <definedName name="BExKV334XOSQSXAYPE1ZFCWHR4J8" hidden="1">#REF!</definedName>
    <definedName name="BExKV4AAUNNJL5JWD7PX6BFKVS6O" hidden="1">#REF!</definedName>
    <definedName name="BExKV6J9WVQH09L0UOV4PHTLKXRK" hidden="1">#REF!</definedName>
    <definedName name="BExKVDVK6HN74GQPTXICP9BFC8CF" hidden="1">#REF!</definedName>
    <definedName name="BExKVFZ3ZZGIC1QI8XN6BYFWN0ZY" hidden="1">#REF!</definedName>
    <definedName name="BExKVG4KGO28KPGTAFL1R8TTZ10N" hidden="1">#REF!</definedName>
    <definedName name="BExKVQRICZRKMKC3XFBPYJM79KT1" hidden="1">#REF!</definedName>
    <definedName name="BExKW0CSH7DA02YSNV64PSEIXB2P" hidden="1">#REF!</definedName>
    <definedName name="BExKW61SUXF65SCFWSZUR9GUOOMH" hidden="1">#REF!</definedName>
    <definedName name="BExM9NUG3Q31X01AI9ZJCZIX25CS" hidden="1">#REF!</definedName>
    <definedName name="BExM9OG182RP30MY23PG49LVPZ1C" hidden="1">#REF!</definedName>
    <definedName name="BExMA64MW1S18NH8DCKPCCEI5KCB" hidden="1">#REF!</definedName>
    <definedName name="BExMAAMGWSV264QND3PEEFNT51OK" hidden="1">#REF!</definedName>
    <definedName name="BExMAC4FBX1U0Y3998JERGS9KL2T" hidden="1">#REF!</definedName>
    <definedName name="BExMAIF09XQ94J83IAH3DFXTENQV" hidden="1">#REF!</definedName>
    <definedName name="BExMALEWFUEM8Y686IT03ECURUBR" hidden="1">#REF!</definedName>
    <definedName name="BExMAR3XSK6RSFLHP7ZX1EWGHASI" hidden="1">#REF!</definedName>
    <definedName name="BExMAXJS82ZJ8RS22VLE0V0LDUII" hidden="1">#REF!</definedName>
    <definedName name="BExMB4QRS0R3MTB4CMUHFZ84LNZQ" hidden="1">#REF!</definedName>
    <definedName name="BExMBC35WKQY5CWQJLV4D05O6971" hidden="1">#REF!</definedName>
    <definedName name="BExMBFTZV4Q1A5KG25C1N9PHQNSW" hidden="1">#REF!</definedName>
    <definedName name="BExMBK6ISK3U7KHZKUJXIDKGF6VW" hidden="1">#REF!</definedName>
    <definedName name="BExMBMVGO0XJ71IWHILW9QA74NPG" hidden="1">#REF!</definedName>
    <definedName name="BExMBYPQDG9AYDQ5E8IECVFREPO6" hidden="1">[21]Table!#REF!</definedName>
    <definedName name="BExMBZ5YTPW7PFDUD2A9VUJ4HTNH" hidden="1">#REF!</definedName>
    <definedName name="BExMBZM2XYYERB8X75SWZCZRQTT3"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GUFAIU47IPVOIVWOZPLSX79" hidden="1">#REF!</definedName>
    <definedName name="BExMCMZOEYWVOOJ98TBHTTCS7XB8" hidden="1">#REF!</definedName>
    <definedName name="BExMCQQH8CGFPPPG70D6VV4J3XR6" hidden="1">#REF!</definedName>
    <definedName name="BExMCS8EF2W3FS9QADNKREYSI8P0" hidden="1">#REF!</definedName>
    <definedName name="BExMCUS7GSOM96J0HJ7EH0FFM2AC" hidden="1">#REF!</definedName>
    <definedName name="BExMCYTT6TVDWMJXO1NZANRTVNAN"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PI2FVMORSWDDCVAJ85WYAYO" hidden="1">#REF!</definedName>
    <definedName name="BExMDUWB7VWHFFR266QXO46BNV2S" hidden="1">#REF!</definedName>
    <definedName name="BExME2U47N8LZG0BPJ49ANY5QVV2" hidden="1">#REF!</definedName>
    <definedName name="BExME5OOQT5THEZMTKUDCTJQJ75P" hidden="1">#REF!</definedName>
    <definedName name="BExME88DH5DUKMUFI9FNVECXFD2E" hidden="1">#REF!</definedName>
    <definedName name="BExME9A7MOGAK7YTTQYXP5DL6VYA" hidden="1">#REF!</definedName>
    <definedName name="BExMEIF7MG94HDIP9UUN2B1R7AP9" hidden="1">#REF!</definedName>
    <definedName name="BExMEOV9YFRY5C3GDLU60GIX10BY" hidden="1">#REF!</definedName>
    <definedName name="BExMEQ7OI6NAP3UP3UX0O5JKS0DV" hidden="1">#REF!</definedName>
    <definedName name="BExMEY09ESM4H2YGKEQQRYUD114R" hidden="1">#REF!</definedName>
    <definedName name="BExMF4G4IUPQY1Y5GEY5N3E04CL6" hidden="1">#REF!</definedName>
    <definedName name="BExMF5I0YYHYSHHGNQEI50YPTUFU" hidden="1">#REF!</definedName>
    <definedName name="BExMF9UIGYMOAQK0ELUWP0S0HZZY" hidden="1">#REF!</definedName>
    <definedName name="BExMFDLBSWFMRDYJ2DZETI3EXKN2" hidden="1">#REF!</definedName>
    <definedName name="BExMFLDTMRTCHKA37LQW67BG8D5C" hidden="1">#REF!</definedName>
    <definedName name="BExMFYPXA6CPPQEIQCZVJ1O8CC3D" hidden="1">#REF!</definedName>
    <definedName name="BExMG3IJ4BTO1ISLMJY91RJVU21M" hidden="1">#REF!</definedName>
    <definedName name="BExMG9NSK30KD01QX0UBN2VNRTG4" hidden="1">#REF!</definedName>
    <definedName name="BExMGD99CUH3CN5F5OWTFJPXIOC5" hidden="1">#REF!</definedName>
    <definedName name="BExMGG3PFIHPHX7NXB7HDFI3N12L" hidden="1">#REF!</definedName>
    <definedName name="BExMGGUQP0X7T5PIESJE86819NLZ" hidden="1">#REF!</definedName>
    <definedName name="BExMH3H9TW5TJCNU5Z1EWXP3BAEP" hidden="1">#REF!</definedName>
    <definedName name="BExMHOWPB34KPZ76M2KIX2C9R2VB" hidden="1">#REF!</definedName>
    <definedName name="BExMHSSYC6KVHA3QDTSYPN92TWMI" hidden="1">#REF!</definedName>
    <definedName name="BExMI0WA793SF41LQ40A28U8OXQY" hidden="1">#REF!</definedName>
    <definedName name="BExMI3AJ9477KDL4T9DHET4LJJTW" hidden="1">#REF!</definedName>
    <definedName name="BExMI58NHPZ1UTOZCYFOQPS8I7WN" hidden="1">#REF!</definedName>
    <definedName name="BExMI6L9KX05GAK523JFKICJMTA5" hidden="1">#REF!</definedName>
    <definedName name="BExMI6QQ20XHD0NWJUN741B37182" hidden="1">#REF!</definedName>
    <definedName name="BExMI7MYLMINF9AC59CYYVFGQJAY" hidden="1">#REF!</definedName>
    <definedName name="BExMI8JB94SBD9EMNJEK7Y2T6GYU" hidden="1">#REF!</definedName>
    <definedName name="BExMI8OS85YTW3KYVE4YD0R7Z6UV" hidden="1">#REF!</definedName>
    <definedName name="BExMIBOOZU40JS3F89OMPSRCE9MM" hidden="1">#REF!</definedName>
    <definedName name="BExMIHJ01IVQHPV5ZNO9UPQB64N8" hidden="1">#REF!</definedName>
    <definedName name="BExMIIQ5MBWSIHTFWAQADXMZC22Q" hidden="1">#REF!</definedName>
    <definedName name="BExMIL4I2GE866I25CR5JBLJWJ6A" hidden="1">#REF!</definedName>
    <definedName name="BExMIRKIPF27SNO82SPFSB3T5U17" hidden="1">#REF!</definedName>
    <definedName name="BExMITILFEELDXT62AREXCM0DX4R" hidden="1">#REF!</definedName>
    <definedName name="BExMIV0KC8555D5E42ZGWG15Y0MO" hidden="1">#REF!</definedName>
    <definedName name="BExMIZT6AN7E6YMW2S87CTCN2UXH" hidden="1">#REF!</definedName>
    <definedName name="BExMJ03XNEEQE05W28YBDN4G56JD" hidden="1">#REF!</definedName>
    <definedName name="BExMJ15T9F3475M0896SG60TN0SR" hidden="1">#REF!</definedName>
    <definedName name="BExMJ39CRE4I6SJI19LKWDKX3OQ2" hidden="1">#REF!</definedName>
    <definedName name="BExMJC8UI1MMXIJR29O1IWETLHH6" hidden="1">#REF!</definedName>
    <definedName name="BExMJNC8ZFB9DRFOJ961ZAJ8U3A8" hidden="1">#REF!</definedName>
    <definedName name="BExMJSA6JY35531TSI8ZQP6U7CDE" hidden="1">#REF!</definedName>
    <definedName name="BExMJTBV8A3D31W2IQHP9RDFPPHQ" hidden="1">#REF!</definedName>
    <definedName name="BExMK2RTXN4QJWEUNX002XK8VQP8" hidden="1">#REF!</definedName>
    <definedName name="BExMK3YZF17HAMXX3PO2KP6S46ZU" hidden="1">#REF!</definedName>
    <definedName name="BExMKBGQDUZ8AWXYHA3QVMSDVZ3D" hidden="1">#REF!</definedName>
    <definedName name="BExMKBM1467553LDFZRRKVSHN374" hidden="1">#REF!</definedName>
    <definedName name="BExMKGK5FJUC0AU8MABRGDC5ZM70" hidden="1">#REF!</definedName>
    <definedName name="BExMKISYVO6POIGSJWIW3PHDYL45" hidden="1">#REF!</definedName>
    <definedName name="BExMKSP1VOPPTKX4WEPT3LUKE8WQ"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2VXA0E0WCJ13O00WFMOW4RI" hidden="1">#REF!</definedName>
    <definedName name="BExML3XQNDIMX55ZCHHXKUV3D6E6" hidden="1">#REF!</definedName>
    <definedName name="BExML5QGSWHLI18BGY4CGOTD3UWH" hidden="1">#REF!</definedName>
    <definedName name="BExML6MTWMIEAK6NWSBVYN98A7G9"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844A9KG2DK921WGK4O9YPZ" hidden="1">#REF!</definedName>
    <definedName name="BExMMQIUVPCOBISTEJJYNCCLUCPY" hidden="1">#REF!</definedName>
    <definedName name="BExMMSH37SF6GV4N9O9EW1APAZ1E" hidden="1">#REF!</definedName>
    <definedName name="BExMMTIXETA5VAKBSOFDD5SRU887" hidden="1">#REF!</definedName>
    <definedName name="BExMMV0P6P5YS3C35G0JYYHI7992" hidden="1">#REF!</definedName>
    <definedName name="BExMN1WVXE52MEF2NT3IVTY8KJQM" hidden="1">#REF!</definedName>
    <definedName name="BExMN2IH1J3S3D19MIV7YYZMS9DV" hidden="1">#REF!</definedName>
    <definedName name="BExMNAWJNSZ1W6QTQUX8O56Y0NF2" hidden="1">'[20]10.08.5 - 2008 Capital - TDBU'!#REF!</definedName>
    <definedName name="BExMNDR4V2VG5RFZDGTAGD3Q9PPG"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O9IOWKTWHO8LQJJQI5P3INWY" hidden="1">#REF!</definedName>
    <definedName name="BExMOI29DOEK5R1A5QZPUDKF7N6T" hidden="1">#REF!</definedName>
    <definedName name="BExMOIYOIL4KOXZBI7MJYXPIV1QJ" hidden="1">#REF!</definedName>
    <definedName name="BExMORI2ZA9JU0J28GT1ZAXP5A9C"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PT9KA5ZL7QPEO8EJSGDXUSF6"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QHUEHGF2FS4LCB0THFELGDI" hidden="1">#REF!</definedName>
    <definedName name="BExMRRJNUMGRSDD5GGKKGEIZ6FTS" hidden="1">#REF!</definedName>
    <definedName name="BExMRU3ACIU0RD2BNWO55LH5U2BR" hidden="1">#REF!</definedName>
    <definedName name="BExMS86DS3IHF2GL3USMAG2JZHWC" hidden="1">#REF!</definedName>
    <definedName name="BExMSCO8TZ680ZEYN2WP0KB738IZ" hidden="1">#REF!</definedName>
    <definedName name="BExMSQRCC40AP8BDUPL2I2DNC210" hidden="1">#REF!</definedName>
    <definedName name="BExO4J9LR712G00TVA82VNTG8O7H" hidden="1">#REF!</definedName>
    <definedName name="BExO4WGD4T7PXNGQYFD65V3BP906" hidden="1">'[20]10.08.5 - 2008 Capital - TDBU'!#REF!</definedName>
    <definedName name="BExO55G2KVZ7MIJ30N827CLH0I2A" hidden="1">#REF!</definedName>
    <definedName name="BExO5A8PZD9EUHC5CMPU6N3SQ15L" hidden="1">#REF!</definedName>
    <definedName name="BExO5XMAHL7CY3X0B1OPKZ28DCJ5" hidden="1">#REF!</definedName>
    <definedName name="BExO64NREBN75DKW0OMYAUWYVY5S" hidden="1">#REF!</definedName>
    <definedName name="BExO66LZJKY4PTQVREELI6POS4AY" hidden="1">#REF!</definedName>
    <definedName name="BExO6LLHCYTF7CIVHKAO0NMET14Q" hidden="1">#REF!</definedName>
    <definedName name="BExO6QE36OX39618EFGY819YKS0N" hidden="1">#REF!</definedName>
    <definedName name="BExO6Y6LB0P6L4JTH4J6TCB4OHW8" hidden="1">#REF!</definedName>
    <definedName name="BExO7OUQS3XTUQ2LDKGQ8AAQ3OJJ" hidden="1">#REF!</definedName>
    <definedName name="BExO7RUSODZC2NQZMT2AFSMV2ONF" hidden="1">#REF!</definedName>
    <definedName name="BExO7VLLWHHV7J25Z3RPF2PK6D8H" hidden="1">#REF!</definedName>
    <definedName name="BExO7WNA0JRE553ALPEZODW1ICID" hidden="1">#REF!</definedName>
    <definedName name="BExO85HMYXZJ7SONWBKKIAXMCI3C" hidden="1">#REF!</definedName>
    <definedName name="BExO863922O4PBGQMUNEQKGN3K96" hidden="1">#REF!</definedName>
    <definedName name="BExO89ZIOXN0HOKHY24F7HDZ87UT" hidden="1">#REF!</definedName>
    <definedName name="BExO8BXK76C9VFPKRARWMK6YTJ6O" hidden="1">#REF!</definedName>
    <definedName name="BExO8CDTBCABLEUD6PE2UM2EZ6C4" hidden="1">#REF!</definedName>
    <definedName name="BExO8I85NBW303RBA7RZM8Q42KKU" hidden="1">#REF!</definedName>
    <definedName name="BExO8IZ05ZG0XVOL3W41KBQE176A" hidden="1">#REF!</definedName>
    <definedName name="BExO8SK9JB6X989C2E50VDFI9589" hidden="1">#REF!</definedName>
    <definedName name="BExO8SPR4QWYLQRJDDPI2HTYU64C" hidden="1">#REF!</definedName>
    <definedName name="BExO8UTAGQWDBQZEEF4HUNMLQCVU" hidden="1">#REF!</definedName>
    <definedName name="BExO8ZWPPH977G7OJO9G8JR25ZG1" hidden="1">#REF!</definedName>
    <definedName name="BExO937E20IHMGQOZMECL3VZC7OX" hidden="1">#REF!</definedName>
    <definedName name="BExO94UTJKQQ7TJTTJRTSR70YVJC" hidden="1">#REF!</definedName>
    <definedName name="BExO9AZXF5CN7MTM11IM5SV2RXHY" hidden="1">#REF!</definedName>
    <definedName name="BExO9J3A438976RXIUX5U9SU5T55" hidden="1">#REF!</definedName>
    <definedName name="BExO9RS5RXFJ1911HL3CCK6M74EP" hidden="1">#REF!</definedName>
    <definedName name="BExO9SDRI1M6KMHXSG3AE5L0F2U3" hidden="1">#REF!</definedName>
    <definedName name="BExO9V2U2YXAY904GYYGU6TD8Y7M" hidden="1">#REF!</definedName>
    <definedName name="BExOAQ3GKCT7YZW1EMVU3EILSZL2" hidden="1">#REF!</definedName>
    <definedName name="BExOAULC4L2CQJSFPGMEJUUTI5B1" hidden="1">#REF!</definedName>
    <definedName name="BExOAZU2Y521ZUPN4R2HWBIUQKKR" hidden="1">#REF!</definedName>
    <definedName name="BExOB9KT2THGV4SPLDVFTFXS4B14" hidden="1">#REF!</definedName>
    <definedName name="BExOBEZ0IE2WBEYY3D3CMRI72N1K"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XURJP8XL4VX0LAH1M4VR4VL" hidden="1">#REF!</definedName>
    <definedName name="BExOBYAVUCQ0IGM0Y6A75QHP0Q1A" hidden="1">#REF!</definedName>
    <definedName name="BExOC3UEHB1CZNINSQHZANWJYKR8" hidden="1">#REF!</definedName>
    <definedName name="BExOCBSF3XGO9YJ23LX2H78VOUR7" hidden="1">#REF!</definedName>
    <definedName name="BExOCHBYK42SX24MJ239H6G9OJ8E" hidden="1">#REF!</definedName>
    <definedName name="BExOCKXFMOW6WPFEVX1I7R7FNDSS" hidden="1">#REF!</definedName>
    <definedName name="BExOCYEXOB95DH5NOB0M5NOYX398" hidden="1">#REF!</definedName>
    <definedName name="BExOD4ERMDMFD8X1016N4EXOUR0S" hidden="1">#REF!</definedName>
    <definedName name="BExOD55RS7BQUHRQ6H3USVGKR0P7" hidden="1">#REF!</definedName>
    <definedName name="BExOD7UQ6G3P86ZLZV0GY79H7VLL" hidden="1">#REF!</definedName>
    <definedName name="BExODEWDDEABM4ZY3XREJIBZ8IVP" hidden="1">#REF!</definedName>
    <definedName name="BExODNLAA1L7WQ9ZQX6A1ZOXK9VR" hidden="1">#REF!</definedName>
    <definedName name="BExODZFEIWV26E8RFU7XQYX1J458" hidden="1">#REF!</definedName>
    <definedName name="BExOEBKG55EROA2VL360A06LKASE" hidden="1">#REF!</definedName>
    <definedName name="BExOED2F7B5GEHKVIWGRV2BCDE2Y" hidden="1">#REF!</definedName>
    <definedName name="BExOERG5LWXYYEN1DY1H2FWRJS9T" hidden="1">#REF!</definedName>
    <definedName name="BExOEV1S6JJVO5PP4BZ20SNGZR7D" hidden="1">#REF!</definedName>
    <definedName name="BExOF2U4Y5JYM0GUBGC0U2UH931Y" hidden="1">#REF!</definedName>
    <definedName name="BExOF6VWODFNH2HUFTQI5L0UHNQ9" hidden="1">'[20]10.08.5 - 2008 Capital - TDBU'!#REF!</definedName>
    <definedName name="BExOFEDNCYI2TPTMQ8SJN3AW4YMF" hidden="1">#REF!</definedName>
    <definedName name="BExOFGRSPF8UTG0K1OGA8LX12P37" hidden="1">#REF!</definedName>
    <definedName name="BExOFVLXVD6RVHSQO8KZOOACSV24" hidden="1">#REF!</definedName>
    <definedName name="BExOG2SW3XOGP9VAPQ3THV3VWV12" hidden="1">#REF!</definedName>
    <definedName name="BExOG45J81K4OPA40KW5VQU54KY3" hidden="1">#REF!</definedName>
    <definedName name="BExOGBXX51PO4FXDL42WFPKYU6Y9" hidden="1">#REF!</definedName>
    <definedName name="BExOGFE2SCL8HHT4DFAXKLUTJZOG" hidden="1">#REF!</definedName>
    <definedName name="BExOGT6D0LJ3C22RDW8COECKB1J5" hidden="1">#REF!</definedName>
    <definedName name="BExOGTMI1HT31M1RGWVRAVHAK7DE" hidden="1">#REF!</definedName>
    <definedName name="BExOGXO9JE5XSE9GC3I6O21UEKAO" hidden="1">#REF!</definedName>
    <definedName name="BExOH9ICZ13C1LAW8OTYTR9S7ZP3" hidden="1">#REF!</definedName>
    <definedName name="BExOHCI9MFNF9Y2P8D4LJGJ5B5CB" hidden="1">#REF!</definedName>
    <definedName name="BExOHL75H3OT4WAKKPUXIVXWFVDS" hidden="1">#REF!</definedName>
    <definedName name="BExOHLHXXJL6363CC082M9M5VVXQ" hidden="1">#REF!</definedName>
    <definedName name="BExOHNAO5UDXSO73BK2ARHWKS90Y" hidden="1">#REF!</definedName>
    <definedName name="BExOHNLFZGEVXCTJ9CWMJJS7C98A" hidden="1">#REF!</definedName>
    <definedName name="BExOHR1G1I9A9CI1HG94EWBLWNM2" hidden="1">#REF!</definedName>
    <definedName name="BExOHTQPP8LQ98L6PYUI6QW08YID" hidden="1">#REF!</definedName>
    <definedName name="BExOHX6Q6NJI793PGX59O5EKTP4G" hidden="1">#REF!</definedName>
    <definedName name="BExOI5VMTHH7Y8MQQ1N635CHYI0P" hidden="1">#REF!</definedName>
    <definedName name="BExOIEVCP4Y6VDS23AK84MCYYHRT" hidden="1">#REF!</definedName>
    <definedName name="BExOIHPQIXR0NDR5WD01BZKPKEO3" hidden="1">#REF!</definedName>
    <definedName name="BExOIK437LIDQQW9LPBD4ZIP504X" hidden="1">#REF!</definedName>
    <definedName name="BExOIM7L0Z3LSII9P7ZTV4KJ8RMA" hidden="1">#REF!</definedName>
    <definedName name="BExOIRR9MU1G575D1ZA3HFPLOPHO" hidden="1">#REF!</definedName>
    <definedName name="BExOIWJVMJ6MG6JC4SPD1L00OHU1" hidden="1">#REF!</definedName>
    <definedName name="BExOIYCN8Z4JK3OOG86KYUCV0ME8" hidden="1">#REF!</definedName>
    <definedName name="BExOJ1HV93EOH7BOVAII53VPS2G2" hidden="1">#REF!</definedName>
    <definedName name="BExOJ3AKZ9BCBZT3KD8WMSLK6MN2" hidden="1">#REF!</definedName>
    <definedName name="BExOJ3FWAWMR29DR11VER2OQPUJT" hidden="1">#REF!</definedName>
    <definedName name="BExOJ7XQK71I4YZDD29AKOOWZ47E" hidden="1">#REF!</definedName>
    <definedName name="BExOJM0W6XGSW5MXPTTX0GNF6SFT" hidden="1">#REF!</definedName>
    <definedName name="BExOJXEUJJ9SYRJXKYYV2NCCDT2R" hidden="1">#REF!</definedName>
    <definedName name="BExOK0EQYM9JUMAGWOUN7QDH7VMZ" hidden="1">#REF!</definedName>
    <definedName name="BExOK4WM9O7QNG6O57FOASI5QSN1" hidden="1">#REF!</definedName>
    <definedName name="BExOK6EKT2189GVNUAT82OZYA3XB" hidden="1">#REF!</definedName>
    <definedName name="BExOKFUDO7FXT8ZXISPIKAJYI0CO" hidden="1">#REF!</definedName>
    <definedName name="BExOKI3C3DWTNF6PRKG2XY34A3JA" hidden="1">#REF!</definedName>
    <definedName name="BExOKKHOPWUVRJGQJ5ONR2U40JX8"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ICXFHJLILCJVFMJE5MGGWKR" hidden="1">#REF!</definedName>
    <definedName name="BExOLOI0WJS3QC12I3ISL0D9AWOF" hidden="1">#REF!</definedName>
    <definedName name="BExOLUCCA6OM4TBUAJHS6O1UU6TO" hidden="1">#REF!</definedName>
    <definedName name="BExOLYZNG5RBD0BTS1OEZJNU92Q5" hidden="1">#REF!</definedName>
    <definedName name="BExOM3HIJ3UZPOKJI68KPBJAHPDC" hidden="1">#REF!</definedName>
    <definedName name="BExOM8VPAS5WZAM0QNYW8ZY56VAP" hidden="1">#REF!</definedName>
    <definedName name="BExOMKPURE33YQ3K1JG9NVQD4W49" hidden="1">#REF!</definedName>
    <definedName name="BExOMP7NGCLUNFK50QD2LPKRG078" hidden="1">#REF!</definedName>
    <definedName name="BExOMU0A6XMY48SZRYL4WQZD13BI" hidden="1">#REF!</definedName>
    <definedName name="BExOMVT0HSNC59DJP4CLISASGHKL" hidden="1">#REF!</definedName>
    <definedName name="BExON0AX35F2SI0UCVMGWGVIUNI3" hidden="1">#REF!</definedName>
    <definedName name="BExON41U4296DV3DPG6I5EF3OEYF" hidden="1">#REF!</definedName>
    <definedName name="BExONB3A7CO4YD8RB41PHC93BQ9M" hidden="1">#REF!</definedName>
    <definedName name="BExONDSE2SJ2Q00MS22HA9D59305" hidden="1">#REF!</definedName>
    <definedName name="BExONFQH6UUXF8V0GI4BRIST9RFO" hidden="1">#REF!</definedName>
    <definedName name="BExONIL31DZWU7IFVN3VV0XTXJA1" hidden="1">#REF!</definedName>
    <definedName name="BExONJ1BU17R0F5A2UP1UGJBOGKS" hidden="1">#REF!</definedName>
    <definedName name="BExONNZ9VMHVX3J6NLNJY7KZA61O" hidden="1">#REF!</definedName>
    <definedName name="BExONRQ1BAA4F3TXP2MYQ4YCZ09S" hidden="1">#REF!</definedName>
    <definedName name="BExOO0EYS79NAIW0WEELRXCYS9GK" hidden="1">'[20]10.08.3 - 2008 Expense - TDBU'!#REF!</definedName>
    <definedName name="BExOO1WWIZSGB0YTGKESB45TSVMZ" hidden="1">#REF!</definedName>
    <definedName name="BExOO4B8FPAFYPHCTYTX37P1TQM5" hidden="1">#REF!</definedName>
    <definedName name="BExOO5D2QZREOU0YQCGPBXBS4YQ1" hidden="1">#REF!</definedName>
    <definedName name="BExOO6ERU9G120RGLKYWC09LZ5RE" hidden="1">#REF!</definedName>
    <definedName name="BExOO824YWJ12GSXLC07K7266C14" hidden="1">#REF!</definedName>
    <definedName name="BExOOIULUDOJRMYABWV5CCL906X6" hidden="1">#REF!</definedName>
    <definedName name="BExOOLE93DKM88V3PQ8ELSMZCHUA" hidden="1">#REF!</definedName>
    <definedName name="BExOOTN0KTXJCL7E476XBN1CJ553"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FD6KISGYU1JWEQ4G243ZPVD" hidden="1">#REF!</definedName>
    <definedName name="BExQ1OYH5SW4PG5JI8ED4NJN4422" hidden="1">#REF!</definedName>
    <definedName name="BExQ29C73XR33S3668YYSYZAIHTG" hidden="1">#REF!</definedName>
    <definedName name="BExQ2D8FO6F5AOMJ5FJODJ81T8C3" hidden="1">#REF!</definedName>
    <definedName name="BExQ2FS228IUDUP2023RA1D4AO4C" hidden="1">#REF!</definedName>
    <definedName name="BExQ2L0XYWLY9VPZWXYYFRIRQRJ1" hidden="1">#REF!</definedName>
    <definedName name="BExQ2M841F5Z1BQYR8DG5FKK0LIU" hidden="1">#REF!</definedName>
    <definedName name="BExQ2V7SO1UTLMJ1NFVRKDOOQAP2" hidden="1">#REF!</definedName>
    <definedName name="BExQ300G8I8TK45A0MVHV15422EU" hidden="1">#REF!</definedName>
    <definedName name="BExQ39R28MXSG2SEV956F0KZ20AN" hidden="1">#REF!</definedName>
    <definedName name="BExQ3D1P3M5Z3HLMEZ17E0BLEE4U" hidden="1">#REF!</definedName>
    <definedName name="BExQ3D1PQ0OOWP5T1D37RLPA9BFX" hidden="1">#REF!</definedName>
    <definedName name="BExQ3LW3GD5LUIS2HB4C1TEJJP2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52HF7N1HYPXJXQ8WD6SOWUV" hidden="1">#REF!</definedName>
    <definedName name="BExQ499KBJ5W7A1G293A0K14EVQB" hidden="1">#REF!</definedName>
    <definedName name="BExQ4BTBSHPHVEDRCXC2ROW8PLFC" hidden="1">#REF!</definedName>
    <definedName name="BExQ4DGKF54SRKQUTUT4B1CZSS62" hidden="1">#REF!</definedName>
    <definedName name="BExQ4FV23PRA8ZOTVPNAWYTCYRR2" hidden="1">#REF!</definedName>
    <definedName name="BExQ4KSYQQLLYN7NYUBF7WND3ACX"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DQ4DQOLJ6KAS500VUBF9OTL" hidden="1">#REF!</definedName>
    <definedName name="BExQ5DVF3U6CH0PO809ZFLIE9A0F" hidden="1">'[20]10.08.2 - 2008 Expense'!#REF!</definedName>
    <definedName name="BExQ5IO89JL1G3PO02VX1LHZHLZ1" hidden="1">#REF!</definedName>
    <definedName name="BExQ5KX3Z668H1KUCKZ9J24HUQ1F" hidden="1">#REF!</definedName>
    <definedName name="BExQ5SPMSOCJYLAY20NB5A6O32RE" hidden="1">#REF!</definedName>
    <definedName name="BExQ5UICMGTMK790KTLK49MAGXRC" hidden="1">#REF!</definedName>
    <definedName name="BExQ5UID6Y8WYNRD669UN70IZT91" hidden="1">#REF!</definedName>
    <definedName name="BExQ5VEOVW4SMWTX520KZ3TVUW0I" hidden="1">#REF!</definedName>
    <definedName name="BExQ5VEQEIJO7YY80OJTA3XRQYJ9" hidden="1">#REF!</definedName>
    <definedName name="BExQ5Y3SSM2ICJCUN3XZ10VMPD4D" hidden="1">#REF!</definedName>
    <definedName name="BExQ5YUUK9FD0QGTY4WD0W90O7OL" hidden="1">#REF!</definedName>
    <definedName name="BExQ631QZYS8VO7HE6HNP34CEOR2" hidden="1">#REF!</definedName>
    <definedName name="BExQ63793YQ9BH7JLCNRIATIGTRG" hidden="1">#REF!</definedName>
    <definedName name="BExQ6CN1EF2UPZ57ZYMGK8TUJQSS" hidden="1">#REF!</definedName>
    <definedName name="BExQ6M2YXJ8AMRJF3QGHC40ADAHZ" hidden="1">#REF!</definedName>
    <definedName name="BExQ6M8APM0TVP9WQAFVTB8N0NXA" hidden="1">#REF!</definedName>
    <definedName name="BExQ6M8B0X44N9TV56ATUVHGDI00" hidden="1">#REF!</definedName>
    <definedName name="BExQ6POH065GV0I74XXVD0VUPBJW" hidden="1">#REF!</definedName>
    <definedName name="BExQ6R0YG1HMF8DVPFMIHIOUSMVE" hidden="1">#REF!</definedName>
    <definedName name="BExQ6WV9KPSMXPPLGZ3KK4WNYTHU" hidden="1">#REF!</definedName>
    <definedName name="BExQ6Z48UU3475XVS5MSB61Y2LTN" hidden="1">'[20]10.08.5 - 2008 Capital - TDBU'!#REF!</definedName>
    <definedName name="BExQ783XTMM2A9I3UKCFWJH1PP2N" hidden="1">#REF!</definedName>
    <definedName name="BExQ79LX01ZPQB8EGD1ZHR2VK2H3" hidden="1">#REF!</definedName>
    <definedName name="BExQ7AT1ON4L7W584EXCOXCQ8AF8"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NJJ5I2EFVEHCKSRF7BAOJX8" hidden="1">#REF!</definedName>
    <definedName name="BExQ7OLEEXKKDJBY2RBEALGCVGC3" hidden="1">#REF!</definedName>
    <definedName name="BExQ7XL2Q1GVUFL1F9KK0K0EXMWG" hidden="1">#REF!</definedName>
    <definedName name="BExQ804OMLOOLGJAZ76PFIUFBWIX" hidden="1">#REF!</definedName>
    <definedName name="BExQ834L4O72YNJYUPLVXEJ7K3BU"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DX1FNZIJVRD63724J6NDCOG" hidden="1">#REF!</definedName>
    <definedName name="BExQ8G0K46ZORA0QVQTDI7Z8LXGF" hidden="1">#REF!</definedName>
    <definedName name="BExQ8O3WEU8HNTTGKTW5T0QSKCLP" hidden="1">#REF!</definedName>
    <definedName name="BExQ8PWMBELWDMVC65RE0VV0PKJ2" hidden="1">#REF!</definedName>
    <definedName name="BExQ8XEDA0NG4CETTWK2XL8XZWLT" hidden="1">#REF!</definedName>
    <definedName name="BExQ8ZCEDBOBJA3D9LDP5TU2WYGR" hidden="1">#REF!</definedName>
    <definedName name="BExQ94LAW6MAQBWY25WTBFV5PPZJ" hidden="1">#REF!</definedName>
    <definedName name="BExQ97QIPOSSRK978N8P234Y1XA4" hidden="1">#REF!</definedName>
    <definedName name="BExQ9E6FBAXTHGF3RXANFIA77GXP" hidden="1">#REF!</definedName>
    <definedName name="BExQ9F2YH4UUCCMQITJ475B3S3NP" hidden="1">#REF!</definedName>
    <definedName name="BExQ9KX9734KIAK7IMRLHCPYDHO2" hidden="1">#REF!</definedName>
    <definedName name="BExQ9L81FF4I7816VTPFBDWVU4CW" hidden="1">#REF!</definedName>
    <definedName name="BExQ9M4E2ACZOWWWP1JJIQO8AHUM" hidden="1">#REF!</definedName>
    <definedName name="BExQ9R7UV4VT86NLRFAY9CP2M3CL" hidden="1">#REF!</definedName>
    <definedName name="BExQ9UTANMJCK7LJ4OQMD6F2Q01L" hidden="1">#REF!</definedName>
    <definedName name="BExQ9ZLYHWABXAA9NJDW8ZS0UQ9P" hidden="1">[21]Table!#REF!</definedName>
    <definedName name="BExQA324HSCK40ENJUT9CS9EC71B" hidden="1">#REF!</definedName>
    <definedName name="BExQA55GY0STSNBWQCWN8E31ZXCS" hidden="1">#REF!</definedName>
    <definedName name="BExQA6Y7SIFO3MVYCQACIZ6YV0WS" hidden="1">#REF!</definedName>
    <definedName name="BExQA9HZIN9XEMHEEVHT99UU9Z82" hidden="1">#REF!</definedName>
    <definedName name="BExQAELFYH92K8CJL155181UDORO" hidden="1">#REF!</definedName>
    <definedName name="BExQAG8PP8R5NJKNQD1U4QOSD6X5" hidden="1">#REF!</definedName>
    <definedName name="BExQATFG0VP9HTVNMWL5T6B3N3IP" hidden="1">#REF!</definedName>
    <definedName name="BExQAYDITUO5K8A2FQRB0H1O4I4E" hidden="1">#REF!</definedName>
    <definedName name="BExQBDICMZTSA1X73TMHNO4JSFLN" hidden="1">#REF!</definedName>
    <definedName name="BExQBEER6CRCRPSSL61S0OMH57ZA" hidden="1">#REF!</definedName>
    <definedName name="BExQBIGGY5TXI2FJVVZSLZ0LTZYH" hidden="1">#REF!</definedName>
    <definedName name="BExQBM1RUSIQ85LLMM2159BYDPIP" hidden="1">#REF!</definedName>
    <definedName name="BExQBPSOZ47V81YAEURP0NQJNTJH" hidden="1">#REF!</definedName>
    <definedName name="BExQBZZKW056AXUH7L35UYMATHNR" hidden="1">#REF!</definedName>
    <definedName name="BExQC5TWT21CGBKD0IHAXTIN2QB8" hidden="1">#REF!</definedName>
    <definedName name="BExQC94JL9F5GW4S8DQCAF4WB2DA" hidden="1">#REF!</definedName>
    <definedName name="BExQCDH4D9DTA02ITMHNTDANJREJ" hidden="1">#REF!</definedName>
    <definedName name="BExQCKTD8AT0824LGWREXM1B5D1X" hidden="1">#REF!</definedName>
    <definedName name="BExQCOV3MAQPJ038UJX6SNODPAZU" hidden="1">#REF!</definedName>
    <definedName name="BExQD571YWOXKR2SX85K5MKQ0AO2" hidden="1">#REF!</definedName>
    <definedName name="BExQD8SK7Y1Y0AYWI0WMF0ET8HR1" hidden="1">#REF!</definedName>
    <definedName name="BExQDB6VCHN8PNX8EA6JNIEQ2JC2" hidden="1">#REF!</definedName>
    <definedName name="BExQDE1B6U2Q9B73KBENABP71YM1" hidden="1">#REF!</definedName>
    <definedName name="BExQDG4YSI6HR3RI4SO2KWMGKUPB" hidden="1">#REF!</definedName>
    <definedName name="BExQDGQCN7ZW41QDUHOBJUGQAX40" hidden="1">#REF!</definedName>
    <definedName name="BExQE73VMCL6FGT6439XK03B088Y" hidden="1">#REF!</definedName>
    <definedName name="BExQEC7BRIJ30PTU3UPFOIP2HPE3" hidden="1">#REF!</definedName>
    <definedName name="BExQELXVICMMT0JFDWUW1L3I335X" hidden="1">#REF!</definedName>
    <definedName name="BExQEMUA4HEFM4OVO8M8MA8PIAW1" hidden="1">#REF!</definedName>
    <definedName name="BExQEQ4XZQFIKUXNU9H7WE7AMZ1U" hidden="1">#REF!</definedName>
    <definedName name="BExQERHKUGD73UH278HHQULBSG9M" hidden="1">#REF!</definedName>
    <definedName name="BExQESZI930ZHFKIRJ3TMK3X27PH" hidden="1">#REF!</definedName>
    <definedName name="BExQEY88PESL76JUL4GA11W8IHFE" hidden="1">#REF!</definedName>
    <definedName name="BExQF1OEB07CRAP6ALNNMJNJ3P2D" hidden="1">#REF!</definedName>
    <definedName name="BExQF9X2AQPFJZTCHTU5PTTR0JAH"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FZZRMR5PQTR0X833N3LRX6ZL" hidden="1">#REF!</definedName>
    <definedName name="BExQG8TYRD2G42UA5ZPCRLNKUDMX" hidden="1">#REF!</definedName>
    <definedName name="BExQGO48J9MPCDQ96RBB9UN9AIGT" hidden="1">#REF!</definedName>
    <definedName name="BExQGSBB6MJWDW7AYWA0MSFTXKRR" hidden="1">#REF!</definedName>
    <definedName name="BExQGV5VQ04IFVBYEFOZQHKJ561J" hidden="1">#REF!</definedName>
    <definedName name="BExQGVB7GL4W9291MCCPQ46Z66C1" hidden="1">#REF!</definedName>
    <definedName name="BExQH0UURAJ13AVO5UI04HSRGVYW" hidden="1">#REF!</definedName>
    <definedName name="BExQH6ZZY0NR8SE48PSI9D0CU1TC"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XDHUYC4Q1EIPVGT5YX2JZL4" hidden="1">#REF!</definedName>
    <definedName name="BExQHZBHVN2L4HC7ACTR73T5OCV0" hidden="1">#REF!</definedName>
    <definedName name="BExQI5M37YD0WH3DQITAZHZBB115" hidden="1">#REF!</definedName>
    <definedName name="BExQI7V42EHAI28LLDLOQJ1ETBBF" hidden="1">#REF!</definedName>
    <definedName name="BExQI85V9TNLDJT5LTRZS10Y26SG" hidden="1">#REF!</definedName>
    <definedName name="BExQIAPKHVEV8CU1L3TTHJW67FJ5" hidden="1">#REF!</definedName>
    <definedName name="BExQIBB4I3Z6AUU0HYV1DHRS13M4" hidden="1">#REF!</definedName>
    <definedName name="BExQIBWPAXU7HJZLKGJZY3EB7MIS" hidden="1">#REF!</definedName>
    <definedName name="BExQIEB09IBJU22LBRVC4SFL687J" hidden="1">#REF!</definedName>
    <definedName name="BExQIJUJOU8IYLVQCFMPTADHZ9J7" hidden="1">#REF!</definedName>
    <definedName name="BExQIS8O6R36CI01XRY9ISM99TW9" hidden="1">#REF!</definedName>
    <definedName name="BExQIVJB9MJ25NDUHTCVMSODJY2C" hidden="1">#REF!</definedName>
    <definedName name="BExQJ2KYENKJB760H4Z8NV8Z08WT" hidden="1">#REF!</definedName>
    <definedName name="BExQJ4DQ84ZQCB1WU62YHO0XEQSV" hidden="1">#REF!</definedName>
    <definedName name="BExQJBF7LAX128WR7VTMJC88ZLPG" hidden="1">#REF!</definedName>
    <definedName name="BExQJEVCKX6KZHNCLYXY7D0MX5KN" hidden="1">#REF!</definedName>
    <definedName name="BExQJJYSDX8B0J1QGF2HL071KKA3" hidden="1">#REF!</definedName>
    <definedName name="BExQJQPFM9GN0NWOW73O5VE3NTJO" hidden="1">#REF!</definedName>
    <definedName name="BExQK1HV6SQQ7CP8H8IUKI9TYXTD" hidden="1">#REF!</definedName>
    <definedName name="BExQK3LE5CSBW1E4H4KHW548FL2R" hidden="1">#REF!</definedName>
    <definedName name="BExQKG6LD6PLNDGNGO9DJXY865BR" hidden="1">#REF!</definedName>
    <definedName name="BExQKKDMM6UNMDK33ZZN3QBP6TN6" hidden="1">#REF!</definedName>
    <definedName name="BExQKP6ANI278H3LT3CHFIOFPQDR"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K9RAHMM0ZLTNSK7A4LDC42D" hidden="1">#REF!</definedName>
    <definedName name="BExRZOGSR69INI6GAEPHDWSNK5Q4" hidden="1">#REF!</definedName>
    <definedName name="BExS017FU4YOHE3YTW15EQ9ZTN1Y" hidden="1">#REF!</definedName>
    <definedName name="BExS0ASQBKRTPDWFK0KUDFOS9LE5" hidden="1">#REF!</definedName>
    <definedName name="BExS0GHQUF6YT0RU3TKDEO8CSJYB" hidden="1">#REF!</definedName>
    <definedName name="BExS0K8IHC45I78DMZBOJ1P13KQA" hidden="1">#REF!</definedName>
    <definedName name="BExS14X03J9K12GCDNGZI9AZKE9C" hidden="1">#REF!</definedName>
    <definedName name="BExS152B2LFCRAUHSLI5T6QRNII0" hidden="1">#REF!</definedName>
    <definedName name="BExS15IJV0WW662NXQUVT3FGP4ST"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F6B4ZUF3VZLI4G6LJ3BF38" hidden="1">#REF!</definedName>
    <definedName name="BExS2QB5FS5LYTFYO4BROTWG3OV5" hidden="1">#REF!</definedName>
    <definedName name="BExS2TLU1HONYV6S3ZD9T12D7CIG" hidden="1">#REF!</definedName>
    <definedName name="BExS318UV9I2FXPQQWUKKX00QLPJ" hidden="1">#REF!</definedName>
    <definedName name="BExS3KQ6RJB21YELK7Z4KFN2CQPS" hidden="1">#REF!</definedName>
    <definedName name="BExS3LBS0SMTHALVM4NRI1BAV1NP" hidden="1">#REF!</definedName>
    <definedName name="BExS3MTQ75VBXDGEBURP6YT8RROE" hidden="1">#REF!</definedName>
    <definedName name="BExS3OMGYO0DFN5186UFKEXZ2RX3" hidden="1">#REF!</definedName>
    <definedName name="BExS3PO59RQLS7HO1A6UIPRZX70V" hidden="1">#REF!</definedName>
    <definedName name="BExS3SDERJ27OER67TIGOVZU13A2" hidden="1">#REF!</definedName>
    <definedName name="BExS46R5WDNU5KL04FKY5LHJUCB8" hidden="1">#REF!</definedName>
    <definedName name="BExS46WMSMYP0MQ9GHLZM5ON641L" hidden="1">#REF!</definedName>
    <definedName name="BExS4ASWKM93XA275AXHYP8AG6SU" hidden="1">#REF!</definedName>
    <definedName name="BExS4JN3Y6SVBKILQK0R9HS45Y52" hidden="1">#REF!</definedName>
    <definedName name="BExS4P6S41O6Z6BED77U3GD9PNH1" hidden="1">#REF!</definedName>
    <definedName name="BExS4WOJWBEF6OH97BLAVUD3TQ7R" hidden="1">#REF!</definedName>
    <definedName name="BExS51H0N51UT0FZOPZRCF1GU063" hidden="1">#REF!</definedName>
    <definedName name="BExS54X72TJFC41FJK72MLRR2OO7" hidden="1">#REF!</definedName>
    <definedName name="BExS59F0PA1V2ZC7S5TN6IT41SXP" hidden="1">#REF!</definedName>
    <definedName name="BExS5DRER9US6NXY9ATYT41KZII3" hidden="1">#REF!</definedName>
    <definedName name="BExS5L3TGB8JVW9ROYWTKYTUPW27" hidden="1">#REF!</definedName>
    <definedName name="BExS5UP3NQ1QY0PMIO69O2J1JRQX" hidden="1">#REF!</definedName>
    <definedName name="BExS64QH0TK7BFMOHTRNM3DTXCZ5" hidden="1">'[20]10.08.2 - 2008 Expense'!#REF!</definedName>
    <definedName name="BExS668EZXO8KT71OK13TBL2MYVF" hidden="1">#REF!</definedName>
    <definedName name="BExS6GKQ96EHVLYWNJDWXZXUZW90" hidden="1">#REF!</definedName>
    <definedName name="BExS6ITKSZFRR01YD5B0F676SYN7" hidden="1">#REF!</definedName>
    <definedName name="BExS6M4AG8VGSMFGJXMMJ6YYATZI" hidden="1">'[20]10.08.5 - 2008 Capital - TDBU'!#REF!</definedName>
    <definedName name="BExS6N0LI574IAC89EFW6CLTCQ33" hidden="1">#REF!</definedName>
    <definedName name="BExS6WRDBF3ST86ZOBBUL3GTCR11" hidden="1">#REF!</definedName>
    <definedName name="BExS6XNRKR0C3MTA0LV5B60UB908" hidden="1">#REF!</definedName>
    <definedName name="BExS743NAKMEAA4255AJCZWPVQD5" hidden="1">#REF!</definedName>
    <definedName name="BExS7EQLZPAVX5ZPW27ZJHFHXJWR" hidden="1">#REF!</definedName>
    <definedName name="BExS7J348DNX760P5D4N9N72C1H1" hidden="1">#REF!</definedName>
    <definedName name="BExS7OMMB9XYX3CR9NYR0OI0B6YV"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BPG5A0GR5AO1U951NDGGR0L" hidden="1">#REF!</definedName>
    <definedName name="BExS8GSUS17UY50TEM2AWF36BR9Z" hidden="1">#REF!</definedName>
    <definedName name="BExS8HJRBVG0XI6PWA9KTMJZMQXK" hidden="1">#REF!</definedName>
    <definedName name="BExS8PN4E1L5NH0OOKX0SGAV052X" hidden="1">#REF!</definedName>
    <definedName name="BExS8R51C8RM2FS6V6IRTYO9GA4A" hidden="1">#REF!</definedName>
    <definedName name="BExS8WDX408F60MH1X9B9UZ2H4R7" hidden="1">#REF!</definedName>
    <definedName name="BExS8Z2W2QEC3MH0BZIYLDFQNUIP" hidden="1">#REF!</definedName>
    <definedName name="BExS8Z8DJ9GSBTJQBINLMFIRTKJ2" hidden="1">#REF!</definedName>
    <definedName name="BExS92DKGRFFCIA9C0IXDOLO57EP" hidden="1">#REF!</definedName>
    <definedName name="BExS95DMT99CLDFYVR0MMS5QFQ4O"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MWR7YEFZL0UO24FU8UDGAXH" hidden="1">#REF!</definedName>
    <definedName name="BExS9WI0A6PSEB8N9GPXF2Z7MWHM" hidden="1">#REF!</definedName>
    <definedName name="BExSA5HP306TN9XJS0TU619DLRR7" hidden="1">#REF!</definedName>
    <definedName name="BExSA6U57AKWU3K9W6DLF75569X0" hidden="1">#REF!</definedName>
    <definedName name="BExSA8HLXG7TQJAREJXZWXCKKLYT"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3CYILY5VM7EWWCYC2RHW5GS" hidden="1">'[20]10.08.3 - 2008 Expense - TDBU'!#REF!</definedName>
    <definedName name="BExSB4JYKQ3MINI7RAYK5M8BLJDC" hidden="1">#REF!</definedName>
    <definedName name="BExSB6NLRVUI2GHH9VI5V6MY8ZL7" hidden="1">#REF!</definedName>
    <definedName name="BExSBMOS41ZRLWYLOU29V6Y7YORR"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HUQZ2HFEWS54X67DIS8OSXZ" hidden="1">#REF!</definedName>
    <definedName name="BExSCOG41SKKG4GYU76WRWW1CTE6" hidden="1">#REF!</definedName>
    <definedName name="BExSCPN9MLJYMCCD3AD6AGFMBBGA"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P5Y04WWMX2WWRITWOX8R5I9" hidden="1">#REF!</definedName>
    <definedName name="BExSDSB5WUA2A09DZ1ZPZH3J8VFL" hidden="1">#REF!</definedName>
    <definedName name="BExSDSGM203BJTNS9MKCBX453HMD" hidden="1">#REF!</definedName>
    <definedName name="BExSDT20XUFXTDM37M148AXAP7HN" hidden="1">#REF!</definedName>
    <definedName name="BExSEEHK1VLWD7JBV9SVVVIKQZ3I" hidden="1">#REF!</definedName>
    <definedName name="BExSEJKZLX37P3V33TRTFJ30BFRK" hidden="1">#REF!</definedName>
    <definedName name="BExSENBSLP026IKXG2AS0SKST99F" hidden="1">#REF!</definedName>
    <definedName name="BExSEP9UVOAI6TMXKNK587PQ3328" hidden="1">#REF!</definedName>
    <definedName name="BExSERZ34ETZF8OI93MYIVZX4RDV" hidden="1">#REF!</definedName>
    <definedName name="BExSF07QFLZCO4P6K6QF05XG7PH1" hidden="1">#REF!</definedName>
    <definedName name="BExSF85QVM8XVOYH429ITJC8TA5Q" hidden="1">#REF!</definedName>
    <definedName name="BExSFELNPJYUZX393PKWKNNZYV1N" hidden="1">#REF!</definedName>
    <definedName name="BExSFHAQ0VN5PU9GULAPYTQ4HKW8" hidden="1">#REF!</definedName>
    <definedName name="BExSFIY63CMZLHHLQETZ2HFOHW52" hidden="1">#REF!</definedName>
    <definedName name="BExSFJ8ZAGQ63A4MVMZRQWLVRGQ5" hidden="1">#REF!</definedName>
    <definedName name="BExSFKQRST2S9KXWWLCXYLKSF4G1" hidden="1">#REF!</definedName>
    <definedName name="BExSFLHT3DWP12GA4DDKMCK3E4F9" hidden="1">'[20]10.08.2 - 2008 Expense'!#REF!</definedName>
    <definedName name="BExSFYDRRTAZVPXRWUF5PDQ97WFF" hidden="1">#REF!</definedName>
    <definedName name="BExSFZVPFTXA3F0IJ2NGH1GXX9R7"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EPODWLV8HDBVY76N01S70YZ" hidden="1">#REF!</definedName>
    <definedName name="BExSGLB2URTLBCKBB4Y885W925F2" hidden="1">#REF!</definedName>
    <definedName name="BExSGOAYG73SFWOPAQV80P710GID" hidden="1">#REF!</definedName>
    <definedName name="BExSGOWJHRW7FWKLO2EHUOOGHNAF" hidden="1">#REF!</definedName>
    <definedName name="BExSGOWJTAP41ZV5Q23H7MI9C76W" hidden="1">#REF!</definedName>
    <definedName name="BExSGP7BU5UM9A7AOHIGT50GZN74" hidden="1">'[20]10.08.2 - 2008 Expense'!#REF!</definedName>
    <definedName name="BExSGR5JQVX2HQ0PKCGZNSSUM1RV" hidden="1">#REF!</definedName>
    <definedName name="BExSGVHX69GJZHD99DKE4RZ042B1" hidden="1">#REF!</definedName>
    <definedName name="BExSGZJO4J4ZO04E2N2ECVYS9DEZ" hidden="1">#REF!</definedName>
    <definedName name="BExSHAHFHS7MMNJR8JPVABRGBVIT" hidden="1">#REF!</definedName>
    <definedName name="BExSHFA0PJ5TS0LF5C5VDPKMSUP8"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HVRHZDFJHSWEWWYO8PK8UC27" hidden="1">#REF!</definedName>
    <definedName name="BExSI0K2YL3HTCQAD8A7TR4QCUR6" hidden="1">#REF!</definedName>
    <definedName name="BExSIFUDNRWXWIWNGCCFOOD8WIAZ" hidden="1">#REF!</definedName>
    <definedName name="BExTTWD2PGX3Y9FR5F2MRNLY1DIY"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hidden="1">[21]Table!#REF!</definedName>
    <definedName name="BExTV67VIM8PV6KO253M4DUBJQLC" hidden="1">#REF!</definedName>
    <definedName name="BExTVELZCF2YA5L6F23BYZZR6WHF" hidden="1">#REF!</definedName>
    <definedName name="BExTVGPIQZ99YFXUC8OONUX5BD42" hidden="1">#REF!</definedName>
    <definedName name="BExTVLNG9KX2WVJZRHW6SQVAV80G" hidden="1">#REF!</definedName>
    <definedName name="BExTVOSUIF74AWLLP1Y2PW2T8R4L" hidden="1">#REF!</definedName>
    <definedName name="BExTVYE49EIPTW7ZG5F30RHCYXWI" hidden="1">#REF!</definedName>
    <definedName name="BExTVZQLP9VFLEYQ9280W13X7E8K" hidden="1">#REF!</definedName>
    <definedName name="BExTW4U1EFP1ZS3Q099D6OFYZ4PO" hidden="1">#REF!</definedName>
    <definedName name="BExTWB4LA1PODQOH4LDTHQKBN16K" hidden="1">#REF!</definedName>
    <definedName name="BExTWEQ3PHIFDCWHG4QVX0626J8L" hidden="1">#REF!</definedName>
    <definedName name="BExTWFMEUL2NCM0LIAELE18IZ3TQ" hidden="1">#REF!</definedName>
    <definedName name="BExTWH9QHMKXVF1R0QG6TJ2154QV" hidden="1">#REF!</definedName>
    <definedName name="BExTWHVADLJCCNEWMD928MM0SUBX" hidden="1">#REF!</definedName>
    <definedName name="BExTWI0Q8AWXUA3ZN7I5V3QK2KM1" hidden="1">#REF!</definedName>
    <definedName name="BExTWJTIA3WUW1PUWXAOP9O8NKLZ" hidden="1">#REF!</definedName>
    <definedName name="BExTWP7ODVVVOXUAS0T4KNY9E7XN" hidden="1">#REF!</definedName>
    <definedName name="BExTWTEREH1W943SZJSXS6AZCXLO" hidden="1">#REF!</definedName>
    <definedName name="BExTWW95OX07FNA01WF5MSSSFQLX" hidden="1">#REF!</definedName>
    <definedName name="BExTX476KI0RNB71XI5TYMANSGBG" hidden="1">#REF!</definedName>
    <definedName name="BExTXFQI2GZRV54ZHPCYUHMPUDGG" hidden="1">#REF!</definedName>
    <definedName name="BExTXJ6HBAIXMMWKZTJNFDYVZCAY" hidden="1">#REF!</definedName>
    <definedName name="BExTXT812NQT8GAEGH738U29BI0D" hidden="1">#REF!</definedName>
    <definedName name="BExTXWIP2TFPTQ76NHFOB72NICRZ" hidden="1">#REF!</definedName>
    <definedName name="BExTXZ7U13BQKYC9T78TWXRCE6L6" hidden="1">#REF!</definedName>
    <definedName name="BExTY5T62H651VC86QM4X7E28JVA" hidden="1">#REF!</definedName>
    <definedName name="BExTYHCJJ2NWRM1RV59FYR41534U" hidden="1">#REF!</definedName>
    <definedName name="BExTYKCEFJ83LZM95M1V7CSFQVEA" hidden="1">#REF!</definedName>
    <definedName name="BExTYL3GR8LX1FWLOOBTAZQOOO7D" hidden="1">'[20]10.08.4 -2008 Capital'!#REF!</definedName>
    <definedName name="BExTYLUCLWGGQOEPH6W91DIYL3RQ" hidden="1">#REF!</definedName>
    <definedName name="BExTYOZQGNRDMMFZOG8515WQDGU3" hidden="1">'[20]10.08.5 - 2008 Capital - TDBU'!#REF!</definedName>
    <definedName name="BExTYPLA9N640MFRJJQPKXT7P88M" hidden="1">#REF!</definedName>
    <definedName name="BExTYQMZFH06S0SMRP98OBQF34G8" hidden="1">#REF!</definedName>
    <definedName name="BExTZ7F71SNTOX4LLZCK5R9VUMIJ" hidden="1">#REF!</definedName>
    <definedName name="BExTZ8GX3F0K1UBDQ5Y9BYXK1Z6F" hidden="1">#REF!</definedName>
    <definedName name="BExTZ8X5G9S3PA4FPSNK7T69W7QT" hidden="1">#REF!</definedName>
    <definedName name="BExTZ97Y0RMR8V5BI9F2H4MFB77O" hidden="1">#REF!</definedName>
    <definedName name="BExTZ97YR84DZ8QVX5145UPYSRH1"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BFKP4UL0TQC5B09T8C2BO3W" hidden="1">#REF!</definedName>
    <definedName name="BExU0CXIZZF3DKCNKF3AHXAPONZC"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XB6XCXI4SZ92YEUFMW4TAXF"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HV15JIOYOXDDJLCPQWUF8Y" hidden="1">#REF!</definedName>
    <definedName name="BExU1GXUTLRPJN4MRINLAPHSZQFG" hidden="1">#REF!</definedName>
    <definedName name="BExU1IL9AOHFO85BZB6S60DK3N8H" hidden="1">#REF!</definedName>
    <definedName name="BExU1NOPS09CLFZL1O31RAF9BQNQ" hidden="1">#REF!</definedName>
    <definedName name="BExU1P6H60U4RWZFX1HYXV8Z6KI7" hidden="1">#REF!</definedName>
    <definedName name="BExU1PH9MOEX1JZVZ3D5M9DXB191" hidden="1">#REF!</definedName>
    <definedName name="BExU1QZEEKJA35IMEOLOJ3ODX0ZA" hidden="1">#REF!</definedName>
    <definedName name="BExU1VRURIWWVJ95O40WA23LMTJD" hidden="1">#REF!</definedName>
    <definedName name="BExU24M8MKBQNO1RXU0IQ2PBN3F1" hidden="1">#REF!</definedName>
    <definedName name="BExU2M5CK6XK55UIHDVYRXJJJRI4" hidden="1">#REF!</definedName>
    <definedName name="BExU2T1JA8VA37QX2DVLJLQAUW7W" hidden="1">#REF!</definedName>
    <definedName name="BExU2TXVT25ZTOFQAF6CM53Z1RLF" hidden="1">#REF!</definedName>
    <definedName name="BExU2XZLYIU19G7358W5T9E87AFR" hidden="1">#REF!</definedName>
    <definedName name="BExU33OMH5JZ904ICANETZ08X20J" hidden="1">#REF!</definedName>
    <definedName name="BExU3B66MCKJFSKT3HL8B5EJGVX0" hidden="1">#REF!</definedName>
    <definedName name="BExU3FIQME8CY7AIZPHINOQE8U4S" hidden="1">#REF!</definedName>
    <definedName name="BExU3UNI9NR1RNZR07NSLSZMDOQQ" hidden="1">#REF!</definedName>
    <definedName name="BExU401R18N6XKZKL7CNFOZQCM14" hidden="1">#REF!</definedName>
    <definedName name="BExU42QVGY7TK39W1BIN6CDRG2OE" hidden="1">#REF!</definedName>
    <definedName name="BExU44P2AEX6PD8VC4ISCROUCQSP"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QVOMTUDXRKDNWMMIRSYHD" hidden="1">'[20]10.08.2 - 2008 Expense'!#REF!</definedName>
    <definedName name="BExU4I148DA7PRCCISLWQ6ABXFK6" hidden="1">#REF!</definedName>
    <definedName name="BExU4L101H2KQHVKCKQ4PBAWZV6K" hidden="1">#REF!</definedName>
    <definedName name="BExU4NA00RRRBGRT6TOB0MXZRCRZ" hidden="1">#REF!</definedName>
    <definedName name="BExU51IFNZXPBDES28457LR8X60M" hidden="1">#REF!</definedName>
    <definedName name="BExU529I6YHVOG83TJHWSILIQU1S" hidden="1">#REF!</definedName>
    <definedName name="BExU57YCIKPRD8QWL6EU0YR3NG3J" hidden="1">#REF!</definedName>
    <definedName name="BExU5DSTBWXLN6E59B757KRWRI6E" hidden="1">#REF!</definedName>
    <definedName name="BExU5TDWM8NNDHYPQ7OQODTQ368A" hidden="1">#REF!</definedName>
    <definedName name="BExU5UQD0ZEWKNYDL4KL8VFIMNVH"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MF1ZVPDHOSMCAXOSYICHZ4I" hidden="1">#REF!</definedName>
    <definedName name="BExU7O2BJ6D5YCKEL6FD2EFCWYRX" hidden="1">#REF!</definedName>
    <definedName name="BExU7PKGGTU90XX4CKU6M5W0HTLN" hidden="1">#REF!</definedName>
    <definedName name="BExU7Q0JS9YIUKUPNSSAIDK2KJAV" hidden="1">#REF!</definedName>
    <definedName name="BExU7XNR6I6O94DKRLHQ1FWJ64S0" hidden="1">#REF!</definedName>
    <definedName name="BExU80I6AE5OU7P7F5V7HWIZBJ4P" hidden="1">#REF!</definedName>
    <definedName name="BExU86NB26MCPYIISZ36HADONGT2" hidden="1">#REF!</definedName>
    <definedName name="BExU885EZZNSZV3GP298UJ8LB7OL" hidden="1">#REF!</definedName>
    <definedName name="BExU8DZPVHN9IPBJG5ASDBCHVV6F" hidden="1">#REF!</definedName>
    <definedName name="BExU8FSAUP9TUZ1NO9WXK80QPHWV" hidden="1">#REF!</definedName>
    <definedName name="BExU8GOTU4Q7I3BF5S1PKOPIPIP8" hidden="1">#REF!</definedName>
    <definedName name="BExU8KFLAN778MBN93NYZB0FV30G" hidden="1">#REF!</definedName>
    <definedName name="BExU8MDV8JYF9JHWAW4N09DMLGH5" hidden="1">#REF!</definedName>
    <definedName name="BExU8R0Z2JP4BSAIMCN5VNQZSAQV" hidden="1">#REF!</definedName>
    <definedName name="BExU8SO8VG1NKAASDL1AWU8VYF7J" hidden="1">#REF!</definedName>
    <definedName name="BExU8UX9JX3XLB47YZ8GFXE0V7R2" hidden="1">#REF!</definedName>
    <definedName name="BExU91DC3DGKPZD6LTER2IRTF89C" hidden="1">#REF!</definedName>
    <definedName name="BExU91TEHJ9BOPW2I0PGCMVB2LIN" hidden="1">#REF!</definedName>
    <definedName name="BExU935WUOV28D64L2EAFTLHA8XK" hidden="1">'[20]10.08.5 - 2008 Capital - TDBU'!#REF!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KUGSKLYR8ZI3DN6F833CK8A" hidden="1">#REF!</definedName>
    <definedName name="BExU9LG29XU2K1GNKRO4438JYQZE" hidden="1">#REF!</definedName>
    <definedName name="BExU9MHVU4RJY03HU20S53C4BQTJ" hidden="1">#REF!</definedName>
    <definedName name="BExU9RW36I5Z6JIXUIUB3PJH86LT" hidden="1">#REF!</definedName>
    <definedName name="BExUA28AO7OWDG3H23Q0CL4B7BHW" hidden="1">#REF!</definedName>
    <definedName name="BExUA5O923FFNEBY8BPO1TU3QGBM" hidden="1">#REF!</definedName>
    <definedName name="BExUA6Q4K25VH452AQ3ZIRBCMS61" hidden="1">#REF!</definedName>
    <definedName name="BExUA7MHC1RAILNC8XURIB3WHXK3" hidden="1">#REF!</definedName>
    <definedName name="BExUAABKIIVOK3JUILTKGJVUPEQK" hidden="1">#REF!</definedName>
    <definedName name="BExUAAH2D4VGVRIQGPJB00O9MFGA" hidden="1">#REF!</definedName>
    <definedName name="BExUABTJG7CHXQDBVDEEMHSVE1YY" hidden="1">'[20]10.08.5 - 2008 Capital - TDBU'!#REF!</definedName>
    <definedName name="BExUAE7VUMCVDFX37BD0AFOQDTE3" hidden="1">#REF!</definedName>
    <definedName name="BExUAFV4JMBSM2SKBQL9NHL0NIBS" hidden="1">#REF!</definedName>
    <definedName name="BExUAMWQODKBXMRH1QCMJLJBF8M7" hidden="1">#REF!</definedName>
    <definedName name="BExUAQYCACRL8UX675MZ2A0135PW" hidden="1">#REF!</definedName>
    <definedName name="BExUAT7C2EA99VHS9U7OALH9YLZN" hidden="1">#REF!</definedName>
    <definedName name="BExUAVAV8UKWKQ0K62SFQWUFUOTU" hidden="1">#REF!</definedName>
    <definedName name="BExUAX8WS5OPVLCDXRGKTU2QMTFO" hidden="1">#REF!</definedName>
    <definedName name="BExUB8HLEXSBVPZ5AXNQEK96F1N4" hidden="1">#REF!</definedName>
    <definedName name="BExUB9U3LH9RE0L0C9VDXHG4Z0CT" hidden="1">#REF!</definedName>
    <definedName name="BExUBCDVZIEA7YT0LPSMHL5ZSERQ" hidden="1">#REF!</definedName>
    <definedName name="BExUBKXBUCN760QYU7Q8GESBWOQH" hidden="1">#REF!</definedName>
    <definedName name="BExUBL83ED0P076RN9RJ8P1MZ299" hidden="1">#REF!</definedName>
    <definedName name="BExUBS9LHCDLBL7S3ZNT91B3T5I9" hidden="1">#REF!</definedName>
    <definedName name="BExUBZB72GX583YHAMJJC3QGV1EZ" hidden="1">#REF!</definedName>
    <definedName name="BExUC4EMUM9S63KSY0LLQUAGWJ1A" hidden="1">#REF!</definedName>
    <definedName name="BExUC623BDYEODBN0N4DO6PJQ7NU" hidden="1">#REF!</definedName>
    <definedName name="BExUC8WH8TCKBB5313JGYYQ1WFLT" hidden="1">#REF!</definedName>
    <definedName name="BExUCFCDK6SPH86I6STXX8X3WMC4" hidden="1">#REF!</definedName>
    <definedName name="BExUCI1NZNPIHC2T0GUIENNZVCNG" hidden="1">#REF!</definedName>
    <definedName name="BExUCLC6AQ5KR6LXSAXV4QQ8ASVG" hidden="1">#REF!</definedName>
    <definedName name="BExUCPOPUZEN1BYI6PPSAUKQPXP4" hidden="1">#REF!</definedName>
    <definedName name="BExUCQL36TCLIPO8DEYYYFQLM20S" hidden="1">#REF!</definedName>
    <definedName name="BExUD4IOJ12X3PJG5WXNNGDRCKAP" hidden="1">#REF!</definedName>
    <definedName name="BExUD77TM7LZ8CRP774MLVLQMHJF" hidden="1">#REF!</definedName>
    <definedName name="BExUD9WX9BWK72UWVSLYZJLAY5VY" hidden="1">#REF!</definedName>
    <definedName name="BExUDBEUJH9IACZDBL1VAUWPG0QW"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BZ76MLA94L1R8NG6162LJJC"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RQXGAYDXW65J1WQ66FUBU3MG" hidden="1">#REF!</definedName>
    <definedName name="BExVRT0Z04GVD2DWPCG83NW0VCB8" hidden="1">#REF!</definedName>
    <definedName name="BExVS6TC2D1M7WMNFJPY1Q5XO46F" hidden="1">#REF!</definedName>
    <definedName name="BExVSL787C8E4HFQZ2NVLT35I2XV" hidden="1">#REF!</definedName>
    <definedName name="BExVSP8QTS4AC4LXZ1NVOUOFOBPH" hidden="1">#REF!</definedName>
    <definedName name="BExVSTFTVV14SFGHQUOJL5SQ5TX9" hidden="1">#REF!</definedName>
    <definedName name="BExVT3MPE8LQ5JFN3HQIFKSQ80U4" hidden="1">#REF!</definedName>
    <definedName name="BExVT7TRK3NZHPME2TFBXOF1WBR9" hidden="1">#REF!</definedName>
    <definedName name="BExVT9H0R0T7WGQAAC0HABMG54YM"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EJ63CBM9VJMNW3RSE919GDN" hidden="1">#REF!</definedName>
    <definedName name="BExVUKZ8B9WB4BOZ2U77BLN0FQMO" hidden="1">#REF!</definedName>
    <definedName name="BExVUL9V3H8ZF6Y72LQBBN639YAA" hidden="1">#REF!</definedName>
    <definedName name="BExVULFDJFCNRI6ITVSJ20MEQ4RF" hidden="1">#REF!</definedName>
    <definedName name="BExVV5T14N2HZIK7HQ4P2KG09U0J" hidden="1">#REF!</definedName>
    <definedName name="BExVV7R410VYLADLX9LNG63ID6H1" hidden="1">#REF!</definedName>
    <definedName name="BExVV7WJSYFYP74SNAXSODTGHMLZ" hidden="1">#REF!</definedName>
    <definedName name="BExVVCEED4JEKF59OV0G3T4XFMFO" hidden="1">#REF!</definedName>
    <definedName name="BExVVNMYEAFCCP9QT0J8H252JWD9" hidden="1">'[20]10.08.5 - 2008 Capital - TDBU'!#REF!</definedName>
    <definedName name="BExVVPFO2J7FMSRPD36909HN4BZJ" hidden="1">#REF!</definedName>
    <definedName name="BExVVQ19AQ3VCARJOC38SF7OYE9Y" hidden="1">#REF!</definedName>
    <definedName name="BExVVQ19TAECID45CS4HXT1RD3AQ" hidden="1">#REF!</definedName>
    <definedName name="BExVW0Z6US3NTJHJDYWIZB98DPUY" hidden="1">'[20]10.08.3 - 2008 Expense - TDBU'!#REF!</definedName>
    <definedName name="BExVW1Q2P0JOW0VUQZZGZKEGMFKS" hidden="1">#REF!</definedName>
    <definedName name="BExVW3YV5XGIVJ97UUPDJGJ2P15B" hidden="1">#REF!</definedName>
    <definedName name="BExVW5X571GEYR5SCU1Z2DHKWM79" hidden="1">#REF!</definedName>
    <definedName name="BExVW6YTKA098AF57M4PHNQ54XMH" hidden="1">#REF!</definedName>
    <definedName name="BExVWINKCH0V0NUWH363SMXAZE62" hidden="1">#REF!</definedName>
    <definedName name="BExVWTG1XJY59HT2TMMJM4S3G1YT" hidden="1">#REF!</definedName>
    <definedName name="BExVWYU8EK669NP172GEIGCTVPPA" hidden="1">#REF!</definedName>
    <definedName name="BExVX3MVJ0GHWPP1EL59ZQNKMX0B" hidden="1">#REF!</definedName>
    <definedName name="BExVX3XN2DRJKL8EDBIG58RYQ36R" hidden="1">#REF!</definedName>
    <definedName name="BExVXDZ63PUART77BBR5SI63TPC6" hidden="1">#REF!</definedName>
    <definedName name="BExVXHKI6LFYMGWISMPACMO247HL" hidden="1">#REF!</definedName>
    <definedName name="BExVXL0O69U12CDKBFJOPW4R1P2N" hidden="1">#REF!</definedName>
    <definedName name="BExVXLX2BZ5EF2X6R41BTKRJR1NM" hidden="1">#REF!</definedName>
    <definedName name="BExVXTK9AEYZ4I2G1G36EB5LBSYN"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DC7HTM8F61S3XN21YNDDND2" hidden="1">#REF!</definedName>
    <definedName name="BExVYFFR4A093PVY6PMSQTBJDM7M" hidden="1">#REF!</definedName>
    <definedName name="BExVYFL875EZ1Y283MJDADGHT55S" hidden="1">'[20]10.08.2 - 2008 Expense'!#REF!</definedName>
    <definedName name="BExVYHDYIV5397LC02V4FEP8VD6W" hidden="1">#REF!</definedName>
    <definedName name="BExVYJXKYUCSEU1BZ19KSB39VXMD" hidden="1">#REF!</definedName>
    <definedName name="BExVYOVIZDA18YIQ0A30Q052PCAK" hidden="1">#REF!</definedName>
    <definedName name="BExVYQIXPEM6J4JVP78BRHIC05PV" hidden="1">#REF!</definedName>
    <definedName name="BExVYR9UQJ26G3DMTP1TIAG98DRS" hidden="1">#REF!</definedName>
    <definedName name="BExVYVGWN7SONLVDH9WJ2F1JS264" hidden="1">#REF!</definedName>
    <definedName name="BExVZ9EO732IK6MNMG17Y1EFTJQC" hidden="1">#REF!</definedName>
    <definedName name="BExVZB1Y5J4UL2LKK0363EU7GIJ1" hidden="1">#REF!</definedName>
    <definedName name="BExVZJQVO5LQ0BJH5JEN5NOBIAF6" hidden="1">#REF!</definedName>
    <definedName name="BExVZNXWS91RD7NXV5NE2R3C8WW7" hidden="1">#REF!</definedName>
    <definedName name="BExW0386REQRCQCVT9BCX80UPTRY" hidden="1">#REF!</definedName>
    <definedName name="BExW05XB61VWY09SYF60QOK8TPYX" hidden="1">#REF!</definedName>
    <definedName name="BExW06IWPRMJLGPZWY6KNMR28VMQ" hidden="1">'[20]10.08.5 - 2008 Capital - TDBU'!#REF!</definedName>
    <definedName name="BExW08MEDLGNM5Z5KYW1HQXCBUR6" hidden="1">#REF!</definedName>
    <definedName name="BExW0CIO5SH0TQLZQ1VMKX3JZ7NW" hidden="1">#REF!</definedName>
    <definedName name="BExW0FYP4WXY71CYUG40SUBG9UWU" hidden="1">#REF!</definedName>
    <definedName name="BExW0RI61B4VV0ARXTFVBAWRA1C5" hidden="1">#REF!</definedName>
    <definedName name="BExW0VZZ6WSKCTPUWLYP7VEYJM10" hidden="1">#REF!</definedName>
    <definedName name="BExW0ZFYUNZUIMD4ETNZWCS9T0CT" hidden="1">#REF!</definedName>
    <definedName name="BExW1BVUYQTKMOR56MW7RVRX4L1L" hidden="1">#REF!</definedName>
    <definedName name="BExW1F1220628FOMTW5UAATHRJHK" hidden="1">#REF!</definedName>
    <definedName name="BExW1K4I0JZH96X4HFQY6YAMIG60" hidden="1">#REF!</definedName>
    <definedName name="BExW1TKA0Z9OP2DTG50GZR5EG8C7" hidden="1">#REF!</definedName>
    <definedName name="BExW1U0JLKQ094DW5MMOI8UHO09V" hidden="1">#REF!</definedName>
    <definedName name="BExW1WUZ349YPJVAKCEJO07L4NFW" hidden="1">#REF!</definedName>
    <definedName name="BExW21T2WD1YDR47I9BWVRGJZMKW" hidden="1">'[20]10.08.3 - 2008 Expense - TDBU'!#REF!</definedName>
    <definedName name="BExW24NI0GQA13RVEGFK7ISS512B" hidden="1">#REF!</definedName>
    <definedName name="BExW283NP9D366XFPXLGSCI5UB0L" hidden="1">#REF!</definedName>
    <definedName name="BExW2F54PEPPIGMV5I4XLXMKJOTG" hidden="1">#REF!</definedName>
    <definedName name="BExW2H3C8WJSBW5FGTFKVDVJC4CL" hidden="1">#REF!</definedName>
    <definedName name="BExW2MSCKPGF5K3I7TL4KF5ISUOL" hidden="1">#REF!</definedName>
    <definedName name="BExW2SMO90FU9W8DVVES6Q4E6BZR" hidden="1">#REF!</definedName>
    <definedName name="BExW2V0ZEMESP2BVDJGZFBJOIOIQ" hidden="1">'[20]10.08.5 - 2008 Capital - TDBU'!#REF!</definedName>
    <definedName name="BExW36V9N91OHCUMGWJQL3I5P4J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4217ZHL9VO39POSTJOD090WU" hidden="1">#REF!</definedName>
    <definedName name="BExW4GPW71EBF8XPS2QGVQHBCDX3" hidden="1">#REF!</definedName>
    <definedName name="BExW4JKC5837JBPCOJV337ZVYYY3" hidden="1">#REF!</definedName>
    <definedName name="BExW4MPQ2JLA196HW39IPT3Q6JVK" hidden="1">#REF!</definedName>
    <definedName name="BExW4MV5UH4OKNB95Q2AO7LFASBP" hidden="1">#REF!</definedName>
    <definedName name="BExW4QR9FV9MP5K610THBSM51RYO" hidden="1">#REF!</definedName>
    <definedName name="BExW4T5M43NPIJS54VL6SZAENBOE" hidden="1">#REF!</definedName>
    <definedName name="BExW4Z029R9E19ZENN3WEA3VDAD1" hidden="1">#REF!</definedName>
    <definedName name="BExW51EDOYXJBXR5AFJCYTA7JI06" hidden="1">#REF!</definedName>
    <definedName name="BExW5AZNT6IAZGNF2C879ODHY1B8" hidden="1">#REF!</definedName>
    <definedName name="BExW5VTHC5GDYD5M9B4Q0FUY7OBA" hidden="1">#REF!</definedName>
    <definedName name="BExW5W48S3UI5UJMSXULAD20EMCG" hidden="1">#REF!</definedName>
    <definedName name="BExW5WPU27WD4NWZOT0ZEJIDLX5J" hidden="1">#REF!</definedName>
    <definedName name="BExW5YYNT0AJF2AFS43IFCHR7WQQ" hidden="1">'[20]10.08.2 - 2008 Expense'!#REF!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6TU0OMFLMCB6EWBOQSGHUMX5" hidden="1">#REF!</definedName>
    <definedName name="BExW6VBYODJKTS0FMZ47EQS9FUF2" hidden="1">#REF!</definedName>
    <definedName name="BExW6WZDUEZS3JDTHC8X310LL1OU" hidden="1">#REF!</definedName>
    <definedName name="BExW76F60TD8OIAVEJQE3MX4PLDY" hidden="1">#REF!</definedName>
    <definedName name="BExW782GMQD1F9JJSPQU5QT2TWON" hidden="1">#REF!</definedName>
    <definedName name="BExW794A74Z5F2K8LVQLD6VSKXUE" hidden="1">#REF!</definedName>
    <definedName name="BExW7DBCHP0SWYSW2RKLS8IBPCVS" hidden="1">#REF!</definedName>
    <definedName name="BExW7S00X50K2O0H0GL7P3JROGG6" hidden="1">#REF!</definedName>
    <definedName name="BExW81FSTXQA1A81CD1MVDX6257O" hidden="1">#REF!</definedName>
    <definedName name="BExW82C756R4HC5DTN5Z29F0D3QO" hidden="1">'[20]10.08.3 - 2008 Expense - TDBU'!#REF!</definedName>
    <definedName name="BExW87VVJSJLAJQQHUHH974N4MAO" hidden="1">#REF!</definedName>
    <definedName name="BExW8COJI4803WMVPHGL8240OBIU" hidden="1">#REF!</definedName>
    <definedName name="BExW8K0SSIPSKBVP06IJ71600HJZ" hidden="1">#REF!</definedName>
    <definedName name="BExW8NM8DJJESE7GF7VGTO2XO6P1" hidden="1">#REF!</definedName>
    <definedName name="BExW8P9O4HQC1Y372I0HCCBVKNTO"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OHD0PA2FFDEECR0C4SFBRVS" hidden="1">#REF!</definedName>
    <definedName name="BExW9POK1KIOI0ALS5MZIKTDIYMA" hidden="1">#REF!</definedName>
    <definedName name="BExW9TVLB7OIHTG98I7I4EXBL61S" hidden="1">#REF!</definedName>
    <definedName name="BExXL0I7INHGEJWJ97OQTEJKJUBR"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22ZOTIW49GPLWFYKVM90FNZ" hidden="1">#REF!</definedName>
    <definedName name="BExXN4C031W9DK73MJHKL8YT1QA8" hidden="1">#REF!</definedName>
    <definedName name="BExXN6QAP8UJQVN4R4BQKPP4QK35" hidden="1">#REF!</definedName>
    <definedName name="BExXNBOA39T2X6Y5Y5GZ5DDNA1AX" hidden="1">#REF!</definedName>
    <definedName name="BExXNCVFNFROM6X4XZABZ1M55JVL" hidden="1">#REF!</definedName>
    <definedName name="BExXND6872VJ3M2PGT056WQMWBHD" hidden="1">#REF!</definedName>
    <definedName name="BExXNPM24UN2PGVL9D1TUBFRIKR4" hidden="1">#REF!</definedName>
    <definedName name="BExXNWYB165VO9MHARCL5WLCHWS0" hidden="1">#REF!</definedName>
    <definedName name="BExXNYLR0NNRQQBQ09OAWL5SFA2P" hidden="1">#REF!</definedName>
    <definedName name="BExXO278QHQN8JDK5425EJ615ECC" hidden="1">#REF!</definedName>
    <definedName name="BExXO574BHMI9HN803IPJ8B00ZQ1" hidden="1">#REF!</definedName>
    <definedName name="BExXO81JZ0ARONLA93VY8VLBDM3Z" hidden="1">#REF!</definedName>
    <definedName name="BExXOBHOP0WGFHI2Y9AO4L440UVQ" hidden="1">#REF!</definedName>
    <definedName name="BExXOHSAD2NSHOLLMZ2JWA4I3I1R" hidden="1">#REF!</definedName>
    <definedName name="BExXOIDP4V2QCBHG5KQQO9VT0HDH" hidden="1">#REF!</definedName>
    <definedName name="BExXOMQ7TBU2AJ03HNGNVCK9S4VM" hidden="1">#REF!</definedName>
    <definedName name="BExXP49C9Y3U7LWFBFCQSE4WPWHA" hidden="1">#REF!</definedName>
    <definedName name="BExXP80B5FGA00JCM7UXKPI3PB7Y" hidden="1">#REF!</definedName>
    <definedName name="BExXP85M4WXYVN1UVHUTOEKEG5XS" hidden="1">#REF!</definedName>
    <definedName name="BExXPELOTHOAG0OWILLAH94OZV5J" hidden="1">#REF!</definedName>
    <definedName name="BExXPEWH9AJE234H90KL5ICZZ0IS" hidden="1">#REF!</definedName>
    <definedName name="BExXPS31W1VD2NMIE4E37LHVDF0L" hidden="1">#REF!</definedName>
    <definedName name="BExXPZKYEMVF5JOC14HYOOYQK6JK" hidden="1">#REF!</definedName>
    <definedName name="BExXQ12Q21G0KAAP7BK68KNBBDMH" hidden="1">#REF!</definedName>
    <definedName name="BExXQ72J3O85VF3MRWYM7RCY6B7A" hidden="1">#REF!</definedName>
    <definedName name="BExXQ89PA10X79WBWOEP1AJX1OQM" hidden="1">#REF!</definedName>
    <definedName name="BExXQCGQGGYSI0LTRVR73MUO50AW" hidden="1">#REF!</definedName>
    <definedName name="BExXQD2B3434GXJT0U2OVW30R5K6" hidden="1">#REF!</definedName>
    <definedName name="BExXQEEXFHDQ8DSRAJSB5ET6J004" hidden="1">#REF!</definedName>
    <definedName name="BExXQH41O5HZAH8BO6HCFY8YC3TU" hidden="1">#REF!</definedName>
    <definedName name="BExXQIRBLQSLAJTFL7224FCFUTKH" hidden="1">#REF!</definedName>
    <definedName name="BExXQJIEF5R3QQ6D8HO3NGPU0IQC" hidden="1">#REF!</definedName>
    <definedName name="BExXQU00K9ER4I1WM7T9J0W1E7ZC" hidden="1">#REF!</definedName>
    <definedName name="BExXQU00KOR7XLM8B13DGJ1MIQDY"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L4ETKGR5B08IWLV5UKWS07Z" hidden="1">#REF!</definedName>
    <definedName name="BExXRO4A6VUH1F4XV8N1BRJ4896W" hidden="1">#REF!</definedName>
    <definedName name="BExXRO9N1SNJZGKD90P4K7FU1J0P" hidden="1">#REF!</definedName>
    <definedName name="BExXRR9I9RZJSO66K1CB8R2H3ACH" hidden="1">#REF!</definedName>
    <definedName name="BExXRV5QP3Z0KAQ1EQT9JYT2FV0L" hidden="1">#REF!</definedName>
    <definedName name="BExXRZ20LZZCW8LVGDK0XETOTSAI" hidden="1">#REF!</definedName>
    <definedName name="BExXRZNM651EJ5HJPGKGTVYLAZQ1" hidden="1">#REF!</definedName>
    <definedName name="BExXS63O4OMWMNXXAODZQFSDG33N" hidden="1">#REF!</definedName>
    <definedName name="BExXS8HZ90IK9RD5CZ6M2XT64C3R" hidden="1">#REF!</definedName>
    <definedName name="BExXSBSP1TOY051HSPEPM0AEIO2M" hidden="1">#REF!</definedName>
    <definedName name="BExXSC8RFK5D68FJD2HI4K66SA6I" hidden="1">#REF!</definedName>
    <definedName name="BExXSGW487JM8X45CILCD3ELADND" hidden="1">#REF!</definedName>
    <definedName name="BExXSJA8FX6FL775LX7EDM4LQ4ZF" hidden="1">#REF!</definedName>
    <definedName name="BExXSNHC88W4UMXEOIOOATJAIKZO" hidden="1">#REF!</definedName>
    <definedName name="BExXSTBS08WIA9TLALV3UQ2Z3MRG" hidden="1">#REF!</definedName>
    <definedName name="BExXSVQ2WOJJ73YEO8Q2FK60V4G8"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XWS5WKEYMU65AGIWPW8XMY" hidden="1">#REF!</definedName>
    <definedName name="BExXTYU24I49X78RIN9EOO9PMHSV"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VSXSP8ESN178IHNRRMIMOMT" hidden="1">#REF!</definedName>
    <definedName name="BExXUYND6EJO7CJ5KRICV4O1JNWK" hidden="1">#REF!</definedName>
    <definedName name="BExXV1HYM7PSRL7FDSBCIW13Z2U3" hidden="1">#REF!</definedName>
    <definedName name="BExXV6FWG4H3S2QEUJZYIXILNGJ7" hidden="1">#REF!</definedName>
    <definedName name="BExXVCVYROMZMHARVU6MD514BMTF" hidden="1">#REF!</definedName>
    <definedName name="BExXVGS1T0RO7HBN75IPQXATHZ23" hidden="1">#REF!</definedName>
    <definedName name="BExXVK87BMMO6LHKV0CFDNIQVIBS" hidden="1">#REF!</definedName>
    <definedName name="BExXVKZ9WXPGL6IVY6T61IDD771I" hidden="1">#REF!</definedName>
    <definedName name="BExXVUPU1FDA3CCHMAFE3SPCNSO2" hidden="1">#REF!</definedName>
    <definedName name="BExXW0K72T1Y8K1I4VZT87UY9S2G"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SAAQ4VSVQZI0D2A8NTQ53VH" hidden="1">#REF!</definedName>
    <definedName name="BExXWVFIBQT8OY1O41FRFPFGXQHK" hidden="1">#REF!</definedName>
    <definedName name="BExXWWXHBZHA9J3N8K47F84X0M0L" hidden="1">#REF!</definedName>
    <definedName name="BExXX7V6XV8D71NMUTIG4TUF6DF3" hidden="1">'[20]10.08.5 - 2008 Capital - TDBU'!#REF!</definedName>
    <definedName name="BExXX9D3XK7CEZ9SI9UOA6F79ZPL" hidden="1">#REF!</definedName>
    <definedName name="BExXXBBCLDS7K2HB4LLGA6TTTXO3" hidden="1">#REF!</definedName>
    <definedName name="BExXXBGNQF0HXLZNUFVN9AGYLRGU" hidden="1">#REF!</definedName>
    <definedName name="BExXXBM521DL8R4ZX7NZ3DBCUOR5" hidden="1">#REF!</definedName>
    <definedName name="BExXXC7OZI33XZ03NRMEP7VRLQK4" hidden="1">#REF!</definedName>
    <definedName name="BExXXH5N3NKBQ7BCJPJTBF8CYM2Q" hidden="1">#REF!</definedName>
    <definedName name="BExXXKWLM4D541BH6O8GOJMHFHMW"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D85DGL2MUZ4DB0JR3L1UVLF" hidden="1">#REF!</definedName>
    <definedName name="BExXYLBHANUXC5FCTDDTGOVD3GQS" hidden="1">#REF!</definedName>
    <definedName name="BExXYMNYAYH3WA2ZCFAYKZID9ZCI" hidden="1">#REF!</definedName>
    <definedName name="BExXYWEQL36MHLNSDGU1FOTX7M20" hidden="1">#REF!</definedName>
    <definedName name="BExXYWK1Q4ED490YK6LD13PRAMS4" hidden="1">#REF!</definedName>
    <definedName name="BExXYYT12SVN2VDMLVNV4P3ISD8T" hidden="1">#REF!</definedName>
    <definedName name="BExXZEDWUYH25UZMW2QU2RXFILJE" hidden="1">#REF!</definedName>
    <definedName name="BExXZFVV4YB42AZ3H1I40YG3JAPU" hidden="1">#REF!</definedName>
    <definedName name="BExXZH30Y2VXGXW705XP20HU2G86"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C3UBVC4M59JIRXVQ8OWAJC1" hidden="1">#REF!</definedName>
    <definedName name="BExY0G03T6MD304WV4PCS8A8UZOU" hidden="1">#REF!</definedName>
    <definedName name="BExY0JAM6LIEX03Y3CDOQG13XO98" hidden="1">#REF!</definedName>
    <definedName name="BExY0MLAPBIUHZHF3MNQUBZEOPGA"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4VIIZDQ07OMY7WD69P6ZBUX" hidden="1">#REF!</definedName>
    <definedName name="BExY16O8FRFU2AKAB73SDMHTLF36" hidden="1">#REF!</definedName>
    <definedName name="BExY180UKNW5NIAWD6ZUYTFEH8QS" hidden="1">#REF!</definedName>
    <definedName name="BExY1DPTV4LSY9MEOUGXF8X052NA" hidden="1">#REF!</definedName>
    <definedName name="BExY1GK9ELBEKDD7O6HR6DUO8YGO" hidden="1">#REF!</definedName>
    <definedName name="BExY1JK5FLBIKGF4D7K1BMSTT2W7" hidden="1">'[20]10.08.5 - 2008 Capital - TDBU'!#REF!</definedName>
    <definedName name="BExY1JUYIFR0O90W747XIO278VF6" hidden="1">#REF!</definedName>
    <definedName name="BExY1NWOXXFV9GGZ3PX444LZ8TVX" hidden="1">#REF!</definedName>
    <definedName name="BExY1R7F5GLGAYZT2TMJYZVT5X8X" hidden="1">#REF!</definedName>
    <definedName name="BExY1TR13AYI0HGDYRVNRSR1VPOV" hidden="1">#REF!</definedName>
    <definedName name="BExY1UCL0RND63LLSM9X5SFRG117" hidden="1">#REF!</definedName>
    <definedName name="BExY1WAT3937L08HLHIRQHMP2A3H" hidden="1">#REF!</definedName>
    <definedName name="BExY1YEBOSLMID7LURP8QB46AI91" hidden="1">#REF!</definedName>
    <definedName name="BExY29MW53U9H65R6IEGDFI64XHB" hidden="1">#REF!</definedName>
    <definedName name="BExY2FS4LFX9OHOTQT7SJ2PXAC25" hidden="1">#REF!</definedName>
    <definedName name="BExY2GDPCZPVU0IQ6IJIB1YQQRQ6" hidden="1">#REF!</definedName>
    <definedName name="BExY2GTSZ3VA9TXLY7KW1LIAKJ61" hidden="1">#REF!</definedName>
    <definedName name="BExY2H4LV4INLFET24XNE1FUGSXP" hidden="1">#REF!</definedName>
    <definedName name="BExY2IXBR1SGYZH08T7QHKEFS8HA" hidden="1">#REF!</definedName>
    <definedName name="BExY2P7Y7WK5R8PQWMWRW9V4TL58" hidden="1">#REF!</definedName>
    <definedName name="BExY2Q4B5FUDA5VU4VRUHX327QN0" hidden="1">#REF!</definedName>
    <definedName name="BExY2UWXID9H1ZZT216IJ2W3T4R5" hidden="1">#REF!</definedName>
    <definedName name="BExY3BEDJM4RQA202MJY8RJM0FGU" hidden="1">#REF!</definedName>
    <definedName name="BExY3HOSK7YI364K15OX70AVR6F1" hidden="1">#REF!</definedName>
    <definedName name="BExY3T89AUR83SOAZZ3OMDEJDQ39" hidden="1">#REF!</definedName>
    <definedName name="BExY40KOAK8UPA3XIKC6WE4OLQAL" hidden="1">#REF!</definedName>
    <definedName name="BExY4MG771JQ84EMIVB6HQGGHZY7" hidden="1">#REF!</definedName>
    <definedName name="BExY4PWCSFB8P3J3TBQB2MD67263" hidden="1">#REF!</definedName>
    <definedName name="BExY4RZVZXZ35OZVEXTSWVVGE8XF" hidden="1">#REF!</definedName>
    <definedName name="BExY4RZW3KK11JLYBA4DWZ92M6LQ" hidden="1">#REF!</definedName>
    <definedName name="BExY4XOVTTNVZ577RLIEC7NZQFIX" hidden="1">#REF!</definedName>
    <definedName name="BExY50JAF5CG01GTHAUS7I4ZLUDC" hidden="1">#REF!</definedName>
    <definedName name="BExY53J6XUX9MQ87V5K1PHGLA5OZ"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TB2VAI3GHKCPXMCVIOM8B8W" hidden="1">#REF!</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RH59XWU9D7KAUQ3N5FQ6ZQU" hidden="1">#REF!</definedName>
    <definedName name="BExZIYO22G5UXOB42GDLYGVRJ6U7" hidden="1">#REF!</definedName>
    <definedName name="BExZJ7I9T8XU4MZRKJ1VVU76V2LZ" hidden="1">#REF!</definedName>
    <definedName name="BExZJCWI93DAGB0LYD3D3RXA5T1X" hidden="1">#REF!</definedName>
    <definedName name="BExZJG77BNPTTXPHBDO6JVBP267V" hidden="1">#REF!</definedName>
    <definedName name="BExZJMY170JCUU1RWASNZ1HJPRTA" hidden="1">#REF!</definedName>
    <definedName name="BExZJOQR77H0P4SUKVYACDCFBBXO" hidden="1">#REF!</definedName>
    <definedName name="BExZJS6RG34ODDY9HMZ0O34MEMSB" hidden="1">#REF!</definedName>
    <definedName name="BExZJTOQ0YP3Z6MU1Z3EQPWCQJAV" hidden="1">#REF!</definedName>
    <definedName name="BExZJXA66GVI2J3KFTXHYHM2MLFQ" hidden="1">#REF!</definedName>
    <definedName name="BExZK0FLA198EJ94QHWX96XGLB95" hidden="1">#REF!</definedName>
    <definedName name="BExZK28BCCZCJGD4172FUNAGUC1I" hidden="1">#REF!</definedName>
    <definedName name="BExZK34NR4BAD7HJAP7SQ926UQP3" hidden="1">#REF!</definedName>
    <definedName name="BExZK3FGPHH5H771U7D5XY7XBS6E" hidden="1">#REF!</definedName>
    <definedName name="BExZKG5XNKFLT5VIJGTGN1KRY9M1" hidden="1">#REF!</definedName>
    <definedName name="BExZKHYORG3O8C772XPFHM1N8T80" hidden="1">#REF!</definedName>
    <definedName name="BExZKJRF2IRR57DG9CLC7MSHWNNN" hidden="1">#REF!</definedName>
    <definedName name="BExZKV5GYXO0X760SBD9TWTIQHGI" hidden="1">#REF!</definedName>
    <definedName name="BExZKXUJFT2AT6IX3VNR84WD8J6O" hidden="1">#REF!</definedName>
    <definedName name="BExZL6E4YVXRUN7ZGF2BIGIXFR8K" hidden="1">#REF!</definedName>
    <definedName name="BExZLE6HTP4MI0C7JZBPGDRFSQHY" hidden="1">#REF!</definedName>
    <definedName name="BExZLGVLMKTPFXG42QYT0PO81G7F" hidden="1">#REF!</definedName>
    <definedName name="BExZLKMK7LRK14S09WLMH7MXSQXM" hidden="1">#REF!</definedName>
    <definedName name="BExZM7JVLG0W8EG5RBU915U3SKBY" hidden="1">#REF!</definedName>
    <definedName name="BExZM85FOVUFF110XMQ9O2ODSJUK" hidden="1">#REF!</definedName>
    <definedName name="BExZMF1MMTZ1TA14PZ8ASSU2CBSP" hidden="1">#REF!</definedName>
    <definedName name="BExZMKL5YQZD7F0FUCSVFGLPFK52" hidden="1">#REF!</definedName>
    <definedName name="BExZMOC3VNZALJM71X2T6FV91GTB" hidden="1">#REF!</definedName>
    <definedName name="BExZMRC0GXPSO9JOPK8FEZBDS80M" hidden="1">#REF!</definedName>
    <definedName name="BExZMVJ0ODX05Q2E8C4IZVAY7RGU" hidden="1">#REF!</definedName>
    <definedName name="BExZMXH39OB0I43XEL3K11U3G9PM" hidden="1">#REF!</definedName>
    <definedName name="BExZMZQ3RBKDHT5GLFNLS52OSJA0" hidden="1">#REF!</definedName>
    <definedName name="BExZN0MHIAUPB6G7US083VNAPOUO" hidden="1">#REF!</definedName>
    <definedName name="BExZN2F7Y2J2L2LN5WZRG949MS4A" hidden="1">#REF!</definedName>
    <definedName name="BExZN4TJVUGCFWL2CS28R36HN7S6" hidden="1">#REF!</definedName>
    <definedName name="BExZN6BHBBUIDVNQ8LMA86ZJ8SBU" hidden="1">#REF!</definedName>
    <definedName name="BExZN847WUWKRYTZWG9TCQZJS3OL" hidden="1">#REF!</definedName>
    <definedName name="BExZNEUW1MNCUTLJ4LWIW18J6TXS" hidden="1">#REF!</definedName>
    <definedName name="BExZNH3VISFF4NQI11BZDP5IQ7VG" hidden="1">#REF!</definedName>
    <definedName name="BExZNILV5N9PBKDZLALQEXXPJ2GZ" hidden="1">#REF!</definedName>
    <definedName name="BExZNJYCFYVMAOI62GB2BABK1ELE" hidden="1">#REF!</definedName>
    <definedName name="BExZNSCGGDV6CW77IZLFGQGTQJ5Q"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F9R1MU69L6PO5PC7TBTE9G9" hidden="1">#REF!</definedName>
    <definedName name="BExZOL9K1RUXBTLZ6FJ65BIE9G5R"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Q0XY507N8FJMVPKCTK8HC9H" hidden="1">#REF!</definedName>
    <definedName name="BExZPT0UWFAUYM11ETBX54NBI1PD" hidden="1">#REF!</definedName>
    <definedName name="BExZQ37OVBR25U32CO2YYVPZOMR5" hidden="1">#REF!</definedName>
    <definedName name="BExZQ3IHNAFF2HI20IH754T349LH" hidden="1">#REF!</definedName>
    <definedName name="BExZQ3NT7H06VO0AR48WHZULZB93" hidden="1">#REF!</definedName>
    <definedName name="BExZQ7PJU07SEJMDX18U9YVDC2GU" hidden="1">#REF!</definedName>
    <definedName name="BExZQIHTGHK7OOI2Y2PN3JYBY82I" hidden="1">#REF!</definedName>
    <definedName name="BExZQJJMGU5MHQOILGXGJPAQI5XI" hidden="1">#REF!</definedName>
    <definedName name="BExZQNQOI080YO1ADHPJGCG9R63F" hidden="1">#REF!</definedName>
    <definedName name="BExZQXBYEBN28QUH1KOVW6KKA5UM" hidden="1">#REF!</definedName>
    <definedName name="BExZQZKT146WEN8FTVZ7Y5TSB8L5" hidden="1">#REF!</definedName>
    <definedName name="BExZR12Y982N9EKLLP7Z52WQHXXF" hidden="1">#REF!</definedName>
    <definedName name="BExZR485AKBH93YZ08CMUC3WROED" hidden="1">#REF!</definedName>
    <definedName name="BExZR7TL98P2PPUVGIZYR5873DWW" hidden="1">#REF!</definedName>
    <definedName name="BExZRB9M8SJHCJ3R6G6N2FSC8JDL" hidden="1">#REF!</definedName>
    <definedName name="BExZRGD1603X5ACFALUUDKCD7X48" hidden="1">#REF!</definedName>
    <definedName name="BExZRP1X6UVLN1UOLHH5VF4STP1O" hidden="1">#REF!</definedName>
    <definedName name="BExZRQ930U6OCYNV00CH5I0Q4LPE" hidden="1">#REF!</definedName>
    <definedName name="BExZRVSS7LVKUWW3VM61WKHK4M49" hidden="1">#REF!</definedName>
    <definedName name="BExZRW8W514W8OZ72YBONYJ64GXF" hidden="1">#REF!</definedName>
    <definedName name="BExZRWJP2BUVFJPO8U8ATQEP0LZU" hidden="1">#REF!</definedName>
    <definedName name="BExZRXAKDKQ1K9GZ7R5F89HTIP5Y" hidden="1">'[20]10.08.5 - 2008 Capital - TDBU'!#REF!</definedName>
    <definedName name="BExZS2OY9JTSSP01ZQ6V2T2LO5R9" hidden="1">#REF!</definedName>
    <definedName name="BExZSI9USDLZAN8LI8M4YYQL24GZ" hidden="1">#REF!</definedName>
    <definedName name="BExZSM0TL3458X254CZLZZ3GBCNQ" hidden="1">#REF!</definedName>
    <definedName name="BExZSPX0YNISGS8SVTI69D6NC4IM" hidden="1">#REF!</definedName>
    <definedName name="BExZSS0LA2JY4ZLJ1Z5YCMLJJZCH" hidden="1">#REF!</definedName>
    <definedName name="BExZTAQV2QVSZY5Y3VCCWUBSBW9P" hidden="1">#REF!</definedName>
    <definedName name="BExZTBN9GZGBJ8KW4A2BZPUYXU1F" hidden="1">#REF!</definedName>
    <definedName name="BExZTHSI2FX56PWRSNX9H5EWTZFO" hidden="1">#REF!</definedName>
    <definedName name="BExZTI39Q2UFW9SVCC3Q73QVFBU8" hidden="1">#REF!</definedName>
    <definedName name="BExZTJL3HVBFY139H6CJHEQCT1EL" hidden="1">#REF!</definedName>
    <definedName name="BExZTLOL8OPABZI453E0KVNA1GJS"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YDULCX65H9OZ9JHPBNKF3MI" hidden="1">#REF!</definedName>
    <definedName name="BExZV0192UZZ9JSP428VREBB1ZDY" hidden="1">#REF!</definedName>
    <definedName name="BExZV2QD5ZDK3AGDRULLA7JB46C3" hidden="1">#REF!</definedName>
    <definedName name="BExZV5FHALJ3O5Z9X9CYXRUGCC6O" hidden="1">#REF!</definedName>
    <definedName name="BExZVBQ29OM0V8XAL3HL0JIM0MMU" hidden="1">#REF!</definedName>
    <definedName name="BExZVEPYS6HYXG8RN9GMWZTHDEMK" hidden="1">#REF!</definedName>
    <definedName name="BExZVLM4T9ORS4ZWHME46U4Q103C" hidden="1">#REF!</definedName>
    <definedName name="BExZVM7OZWPPRH5YQW50EYMMIW1A" hidden="1">#REF!</definedName>
    <definedName name="BExZVPYGX2C5OSHMZ6F0KBKZ6B1S"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SMC9T48W74GFGQCIUJ8ZPP3" hidden="1">#REF!</definedName>
    <definedName name="BExZWUF2V4HY3HI8JN9ZVPRWK1H3" hidden="1">#REF!</definedName>
    <definedName name="BExZWX45URTK9KYDJHEXL1OTZ833" hidden="1">#REF!</definedName>
    <definedName name="BExZWYRG26HN53ZPZ5ERJKTS6RJ1" hidden="1">#REF!</definedName>
    <definedName name="BExZX0EWQEZO86WDAD9A4EAEZ012" hidden="1">#REF!</definedName>
    <definedName name="BExZX2T6ZT2DZLYSDJJBPVIT5OK2" hidden="1">#REF!</definedName>
    <definedName name="BExZXD01YCC2UKH6829EC0LCWB3B" hidden="1">#REF!</definedName>
    <definedName name="BExZXK6UA4ZV3XPC2N2NRSI4ZR6H"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49QRZIR6CA41LFA9LM6EULU" hidden="1">#REF!</definedName>
    <definedName name="BExZYB62GGL1SOZY9U68AATTICHU" hidden="1">#REF!</definedName>
    <definedName name="BExZYBBCV1AW9XEIT73TO2286ETP" hidden="1">#REF!</definedName>
    <definedName name="BExZYF262HRLEVP6L4KINWX6HBYI" hidden="1">#REF!</definedName>
    <definedName name="BExZZ2FQA9A8C7CJKMEFQ9VPSLCE" hidden="1">#REF!</definedName>
    <definedName name="BExZZCHAVHW8C2H649KRGVQ0WVRT" hidden="1">#REF!</definedName>
    <definedName name="BExZZGIVJRHKETRE8HACEQE30128" hidden="1">#REF!</definedName>
    <definedName name="BExZZTK54OTLF2YB68BHGOS27GEN" hidden="1">#REF!</definedName>
    <definedName name="BExZZXB3JQQG4SIZS4MRU6NNW7HI" hidden="1">#REF!</definedName>
    <definedName name="BExZZZEMIIFKMLLV4DJKX5TB9R5V" hidden="1">#REF!</definedName>
    <definedName name="BG.print">#REF!</definedName>
    <definedName name="BGS_Cost_Scenario">[10]Assumptions!$E$33</definedName>
    <definedName name="BGS_RFP">[10]Assumptions!$E$36</definedName>
    <definedName name="BILLCO" localSheetId="11">'[3]DPLG-APRIL2001-TRANSCHECKOUT'!$M:$P</definedName>
    <definedName name="BILLCO">'[3]DPLG-APRIL2001-TRANSCHECKOUT'!$M$1:$P$65536</definedName>
    <definedName name="BK..FM1.Adjusted..print">#REF!</definedName>
    <definedName name="BK..FM1.ROR..print">#REF!</definedName>
    <definedName name="BLE_Close_Date">[22]Assumptions!$E$28</definedName>
    <definedName name="BowlingGreen">#REF!</definedName>
    <definedName name="BowlingGreenWater">#REF!</definedName>
    <definedName name="bpgr84">[2]Print!$C$48</definedName>
    <definedName name="bpgr85">[2]Print!$E$48</definedName>
    <definedName name="bpgr86">[2]Print!$G$48</definedName>
    <definedName name="bpgr87">[2]Print!$I$48</definedName>
    <definedName name="bpgr88">[2]Print!$K$48</definedName>
    <definedName name="bpqre84">[2]Print!$C$41</definedName>
    <definedName name="bpqre85">[2]Print!$E$41</definedName>
    <definedName name="bpqre86">[2]Print!$G$41</definedName>
    <definedName name="bpqre87">[2]Print!$I$41</definedName>
    <definedName name="bpqre88">[2]Print!$K$41</definedName>
    <definedName name="Bradner">#REF!</definedName>
    <definedName name="BREWSTER">#REF!</definedName>
    <definedName name="bu10total84">[2]B_U_10!$C$95</definedName>
    <definedName name="bu10total84a">[2]B_U_10!$C$103</definedName>
    <definedName name="bu10total85">[2]B_U_10!$D$95</definedName>
    <definedName name="bu10total85a">[2]B_U_10!$D$103</definedName>
    <definedName name="bu10total86">[2]B_U_10!$E$95</definedName>
    <definedName name="bu10total86a">[2]B_U_10!$E$103</definedName>
    <definedName name="bu10total87">[2]B_U_10!$F$95</definedName>
    <definedName name="bu10total87a">[2]B_U_10!$F$103</definedName>
    <definedName name="bu10total88">[2]B_U_10!$G$95</definedName>
    <definedName name="bu10total88a">[2]B_U_10!$G$103</definedName>
    <definedName name="bu10total89">[2]B_U_10!$H$95</definedName>
    <definedName name="bu10total89a">[2]B_U_10!$H$103</definedName>
    <definedName name="bu10total90">[2]B_U_10!$I$95</definedName>
    <definedName name="bu10total90a">[2]B_U_10!$I$103</definedName>
    <definedName name="bu10total91">[2]B_U_10!$J$95</definedName>
    <definedName name="bu10total91a">[2]B_U_10!$J$103</definedName>
    <definedName name="bu10total92">[2]B_U_10!$K$95</definedName>
    <definedName name="bu10total92a">[2]B_U_10!$K$103</definedName>
    <definedName name="bu10total93">[2]B_U_10!$L$95</definedName>
    <definedName name="bu10total93a">[2]B_U_10!$L$103</definedName>
    <definedName name="bu10total94">[2]B_U_10!$M$95</definedName>
    <definedName name="bu10total94a">[2]B_U_10!$M$103</definedName>
    <definedName name="bu10total95">[2]B_U_10!$N$95</definedName>
    <definedName name="bu10total95a">[2]B_U_10!$N$103</definedName>
    <definedName name="bu10total96">[2]B_U_10!$O$95</definedName>
    <definedName name="bu10total96a">[2]B_U_10!$O$103</definedName>
    <definedName name="bu10total97">[2]B_U_10!$P$95</definedName>
    <definedName name="bu10total97a">[2]B_U_10!$P$103</definedName>
    <definedName name="bu10total98">[2]B_U_10!$Q$95</definedName>
    <definedName name="bu10total98a">[2]B_U_10!$Q$103</definedName>
    <definedName name="bu11total84">[2]B_U_11!$C$95</definedName>
    <definedName name="bu11total84a">[2]B_U_11!$C$103</definedName>
    <definedName name="bu11total85">[2]B_U_11!$D$95</definedName>
    <definedName name="bu11total85a">[2]B_U_11!$D$103</definedName>
    <definedName name="bu11total86">[2]B_U_11!$E$95</definedName>
    <definedName name="bu11total86a">[2]B_U_11!$E$103</definedName>
    <definedName name="bu11total87">[2]B_U_11!$F$95</definedName>
    <definedName name="bu11total87a">[2]B_U_11!$F$103</definedName>
    <definedName name="bu11total88">[2]B_U_11!$G$95</definedName>
    <definedName name="bu11total88a">[2]B_U_11!$G$103</definedName>
    <definedName name="bu11total89">[2]B_U_11!$H$95</definedName>
    <definedName name="bu11total89a">[2]B_U_11!$H$103</definedName>
    <definedName name="bu11total90">[2]B_U_11!$I$95</definedName>
    <definedName name="bu11total90a">[2]B_U_11!$I$103</definedName>
    <definedName name="bu11total91">[2]B_U_11!$J$95</definedName>
    <definedName name="bu11total91a">[2]B_U_11!$J$103</definedName>
    <definedName name="bu11total92">[2]B_U_11!$K$95</definedName>
    <definedName name="bu11total92a">[2]B_U_11!$K$103</definedName>
    <definedName name="bu11total93">[2]B_U_11!$L$95</definedName>
    <definedName name="bu11total93a">[2]B_U_11!$L$103</definedName>
    <definedName name="bu11total94">[2]B_U_11!$M$95</definedName>
    <definedName name="bu11total94a">[2]B_U_11!$M$103</definedName>
    <definedName name="bu11total95">[2]B_U_11!$N$95</definedName>
    <definedName name="bu11total95a">[2]B_U_11!$N$103</definedName>
    <definedName name="bu11total96">[2]B_U_11!$O$95</definedName>
    <definedName name="bu11total96a">[2]B_U_11!$O$103</definedName>
    <definedName name="bu11total97">[2]B_U_11!$P$95</definedName>
    <definedName name="bu11total97a">[2]B_U_11!$P$103</definedName>
    <definedName name="bu11total98">[2]B_U_11!$Q$95</definedName>
    <definedName name="bu11total98a">[2]B_U_11!$Q$103</definedName>
    <definedName name="bu12total84">[2]B_U_12!$C$95</definedName>
    <definedName name="bu12total84a">[2]B_U_12!$C$103</definedName>
    <definedName name="bu12total85">[2]B_U_12!$D$95</definedName>
    <definedName name="bu12total85a">[2]B_U_12!$D$103</definedName>
    <definedName name="bu12total86">[2]B_U_12!$E$95</definedName>
    <definedName name="bu12total86a">[2]B_U_12!$E$103</definedName>
    <definedName name="bu12total87">[2]B_U_12!$F$95</definedName>
    <definedName name="bu12total87a">[2]B_U_12!$F$103</definedName>
    <definedName name="bu12total88">[2]B_U_12!$G$95</definedName>
    <definedName name="bu12total88a">[2]B_U_12!$G$103</definedName>
    <definedName name="bu12total89">[2]B_U_12!$H$95</definedName>
    <definedName name="bu12total89a">[2]B_U_12!$H$103</definedName>
    <definedName name="bu12total90">[2]B_U_12!$I$95</definedName>
    <definedName name="bu12total90a">[2]B_U_12!$I$103</definedName>
    <definedName name="bu12total91">[2]B_U_12!$J$95</definedName>
    <definedName name="bu12total91a">[2]B_U_12!$J$103</definedName>
    <definedName name="bu12total92">[2]B_U_12!$K$95</definedName>
    <definedName name="bu12total92a">[2]B_U_12!$K$103</definedName>
    <definedName name="bu12total93">[2]B_U_12!$L$95</definedName>
    <definedName name="bu12total93a">[2]B_U_12!$L$103</definedName>
    <definedName name="bu12total94">[2]B_U_12!$M$95</definedName>
    <definedName name="bu12total94a">[2]B_U_12!$M$103</definedName>
    <definedName name="bu12total95">[2]B_U_12!$N$95</definedName>
    <definedName name="bu12total95a">[2]B_U_12!$N$103</definedName>
    <definedName name="bu12total96">[2]B_U_12!$O$95</definedName>
    <definedName name="bu12total96a">[2]B_U_12!$O$103</definedName>
    <definedName name="bu12total97">[2]B_U_12!$P$95</definedName>
    <definedName name="bu12total97a">[2]B_U_12!$P$103</definedName>
    <definedName name="bu12total98">[2]B_U_12!$Q$95</definedName>
    <definedName name="bu12total98a">[2]B_U_12!$Q$103</definedName>
    <definedName name="bu13total84">[2]B_U_13!$C$95</definedName>
    <definedName name="bu13total84a">[2]B_U_13!$C$103</definedName>
    <definedName name="bu13total85">[2]B_U_13!$D$95</definedName>
    <definedName name="bu13total85a">[2]B_U_13!$D$103</definedName>
    <definedName name="bu13total86">[2]B_U_13!$E$95</definedName>
    <definedName name="bu13total86a">[2]B_U_13!$E$103</definedName>
    <definedName name="bu13total87">[2]B_U_13!$F$95</definedName>
    <definedName name="bu13total87a">[2]B_U_13!$F$103</definedName>
    <definedName name="bu13total88">[2]B_U_13!$G$95</definedName>
    <definedName name="bu13total88a">[2]B_U_13!$G$103</definedName>
    <definedName name="bu13total89">[2]B_U_13!$H$95</definedName>
    <definedName name="bu13total89a">[2]B_U_13!$H$103</definedName>
    <definedName name="bu13total90">[2]B_U_13!$I$95</definedName>
    <definedName name="bu13total90a">[2]B_U_13!$I$103</definedName>
    <definedName name="bu13total91">[2]B_U_13!$J$95</definedName>
    <definedName name="bu13total91a">[2]B_U_13!$J$103</definedName>
    <definedName name="bu13total92">[2]B_U_13!$K$95</definedName>
    <definedName name="bu13total92a">[2]B_U_13!$K$103</definedName>
    <definedName name="bu13total93">[2]B_U_13!$L$95</definedName>
    <definedName name="bu13total93a">[2]B_U_13!$L$103</definedName>
    <definedName name="bu13total94">[2]B_U_13!$M$95</definedName>
    <definedName name="bu13total94a">[2]B_U_13!$M$103</definedName>
    <definedName name="bu13total95">[2]B_U_13!$N$95</definedName>
    <definedName name="bu13total95a">[2]B_U_13!$N$103</definedName>
    <definedName name="bu13total96">[2]B_U_13!$O$95</definedName>
    <definedName name="bu13total96a">[2]B_U_13!$O$103</definedName>
    <definedName name="bu13total97">[2]B_U_13!$P$95</definedName>
    <definedName name="bu13total97a">[2]B_U_13!$P$103</definedName>
    <definedName name="bu13total98">[2]B_U_13!$Q$95</definedName>
    <definedName name="bu13total98a">[2]B_U_13!$Q$103</definedName>
    <definedName name="bu14total84">[2]B_U_14!$C$95</definedName>
    <definedName name="bu14total84a">[2]B_U_14!$C$103</definedName>
    <definedName name="bu14total85">[2]B_U_14!$D$95</definedName>
    <definedName name="bu14total85a">[2]B_U_14!$D$103</definedName>
    <definedName name="bu14total86">[2]B_U_14!$E$95</definedName>
    <definedName name="bu14total86a">[2]B_U_14!$E$103</definedName>
    <definedName name="bu14total87">[2]B_U_14!$F$95</definedName>
    <definedName name="bu14total87a">[2]B_U_14!$F$103</definedName>
    <definedName name="bu14total88">[2]B_U_14!$G$95</definedName>
    <definedName name="bu14total88a">[2]B_U_14!$G$103</definedName>
    <definedName name="bu14total89">[2]B_U_14!$H$95</definedName>
    <definedName name="bu14total89a">[2]B_U_14!$H$103</definedName>
    <definedName name="bu14total90">[2]B_U_14!$I$95</definedName>
    <definedName name="bu14total90a">[2]B_U_14!$I$103</definedName>
    <definedName name="bu14total91">[2]B_U_14!$J$95</definedName>
    <definedName name="bu14total91a">[2]B_U_14!$J$103</definedName>
    <definedName name="bu14total92">[2]B_U_14!$K$95</definedName>
    <definedName name="bu14total92a">[2]B_U_14!$K$103</definedName>
    <definedName name="bu14total93">[2]B_U_14!$L$95</definedName>
    <definedName name="bu14total93a">[2]B_U_14!$L$103</definedName>
    <definedName name="bu14total94">[2]B_U_14!$M$95</definedName>
    <definedName name="bu14total94a">[2]B_U_14!$M$103</definedName>
    <definedName name="bu14total95">[2]B_U_14!$N$95</definedName>
    <definedName name="bu14total95a">[2]B_U_14!$N$103</definedName>
    <definedName name="bu14total96">[2]B_U_14!$O$95</definedName>
    <definedName name="bu14total96a">[2]B_U_14!$O$103</definedName>
    <definedName name="bu14total97">[2]B_U_14!$P$95</definedName>
    <definedName name="bu14total97a">[2]B_U_14!$P$103</definedName>
    <definedName name="bu14total98">[2]B_U_14!$Q$95</definedName>
    <definedName name="bu14total98a">[2]B_U_14!$Q$103</definedName>
    <definedName name="bu15total84">[2]B_U_15!$C$95</definedName>
    <definedName name="bu15total84a">[2]B_U_15!$C$103</definedName>
    <definedName name="bu15total85">[2]B_U_15!$D$95</definedName>
    <definedName name="bu15total85a">[2]B_U_15!$D$103</definedName>
    <definedName name="bu15total86">[2]B_U_15!$E$95</definedName>
    <definedName name="bu15total86a">[2]B_U_15!$E$103</definedName>
    <definedName name="bu15total87">[2]B_U_15!$F$95</definedName>
    <definedName name="bu15total87a">[2]B_U_15!$F$103</definedName>
    <definedName name="bu15total88">[2]B_U_15!$G$95</definedName>
    <definedName name="bu15total88a">[2]B_U_15!$G$103</definedName>
    <definedName name="bu15total89">[2]B_U_15!$H$95</definedName>
    <definedName name="bu15total89a">[2]B_U_15!$H$103</definedName>
    <definedName name="bu15total90">[2]B_U_15!$I$95</definedName>
    <definedName name="bu15total90a">[2]B_U_15!$I$103</definedName>
    <definedName name="bu15total91">[2]B_U_15!$J$95</definedName>
    <definedName name="bu15total91a">[2]B_U_15!$J$103</definedName>
    <definedName name="bu15total92">[2]B_U_15!$K$95</definedName>
    <definedName name="bu15total92a">[2]B_U_15!$K$103</definedName>
    <definedName name="bu15total93">[2]B_U_15!$L$95</definedName>
    <definedName name="bu15total93a">[2]B_U_15!$L$103</definedName>
    <definedName name="bu15total94">[2]B_U_15!$M$95</definedName>
    <definedName name="bu15total94a">[2]B_U_15!$M$103</definedName>
    <definedName name="bu15total95">[2]B_U_15!$N$95</definedName>
    <definedName name="bu15total95a">[2]B_U_15!$N$103</definedName>
    <definedName name="bu15total96">[2]B_U_15!$O$95</definedName>
    <definedName name="bu15total96a">[2]B_U_15!$O$103</definedName>
    <definedName name="bu15total97">[2]B_U_15!$P$95</definedName>
    <definedName name="bu15total97a">[2]B_U_15!$P$103</definedName>
    <definedName name="bu15total98">[2]B_U_15!$Q$95</definedName>
    <definedName name="bu15total98a">[2]B_U_15!$Q$103</definedName>
    <definedName name="bu16total84">[2]B_U_16!$C$95</definedName>
    <definedName name="bu16total84a">[2]B_U_16!$C$103</definedName>
    <definedName name="bu16total85">[2]B_U_16!$D$95</definedName>
    <definedName name="bu16total85a">[2]B_U_16!$D$103</definedName>
    <definedName name="bu16total86">[2]B_U_16!$E$95</definedName>
    <definedName name="bu16total86a">[2]B_U_16!$E$103</definedName>
    <definedName name="bu16total87">[2]B_U_16!$F$95</definedName>
    <definedName name="bu16total87a">[2]B_U_16!$F$103</definedName>
    <definedName name="bu16total88">[2]B_U_16!$G$95</definedName>
    <definedName name="bu16total88a">[2]B_U_16!$G$103</definedName>
    <definedName name="bu16total89">[2]B_U_16!$H$95</definedName>
    <definedName name="bu16total89a">[2]B_U_16!$H$103</definedName>
    <definedName name="bu16total90">[2]B_U_16!$I$95</definedName>
    <definedName name="bu16total90a">[2]B_U_16!$I$103</definedName>
    <definedName name="bu16total91">[2]B_U_16!$J$95</definedName>
    <definedName name="bu16total91a">[2]B_U_16!$J$103</definedName>
    <definedName name="bu16total92">[2]B_U_16!$K$95</definedName>
    <definedName name="bu16total92a">[2]B_U_16!$K$103</definedName>
    <definedName name="bu16total93">[2]B_U_16!$L$95</definedName>
    <definedName name="bu16total93a">[2]B_U_16!$L$103</definedName>
    <definedName name="bu16total94">[2]B_U_16!$M$95</definedName>
    <definedName name="bu16total94a">[2]B_U_16!$M$103</definedName>
    <definedName name="bu16total95">[2]B_U_16!$N$95</definedName>
    <definedName name="bu16total95a">[2]B_U_16!$N$103</definedName>
    <definedName name="bu16total96">[2]B_U_16!$O$95</definedName>
    <definedName name="bu16total96a">[2]B_U_16!$O$103</definedName>
    <definedName name="bu16total97">[2]B_U_16!$P$95</definedName>
    <definedName name="bu16total97a">[2]B_U_16!$P$103</definedName>
    <definedName name="bu16total98">[2]B_U_16!$Q$95</definedName>
    <definedName name="bu16total98a">[2]B_U_16!$Q$103</definedName>
    <definedName name="bu17total84">[2]B_U_17!$C$95</definedName>
    <definedName name="bu17total84a">[2]B_U_17!$C$103</definedName>
    <definedName name="bu17total85">[2]B_U_17!$D$95</definedName>
    <definedName name="bu17total85a">[2]B_U_17!$D$103</definedName>
    <definedName name="bu17total86">[2]B_U_17!$E$95</definedName>
    <definedName name="bu17total86a">[2]B_U_17!$E$103</definedName>
    <definedName name="bu17total87">[2]B_U_17!$F$95</definedName>
    <definedName name="bu17total87a">[2]B_U_17!$F$103</definedName>
    <definedName name="bu17total88">[2]B_U_17!$G$95</definedName>
    <definedName name="bu17total88a">[2]B_U_17!$G$103</definedName>
    <definedName name="bu17total89">[2]B_U_17!$H$95</definedName>
    <definedName name="bu17total89a">[2]B_U_17!$H$103</definedName>
    <definedName name="bu17total90">[2]B_U_17!$I$95</definedName>
    <definedName name="bu17total90a">[2]B_U_17!$I$103</definedName>
    <definedName name="bu17total91">[2]B_U_17!$J$95</definedName>
    <definedName name="bu17total91a">[2]B_U_17!$J$103</definedName>
    <definedName name="bu17total92">[2]B_U_17!$K$95</definedName>
    <definedName name="bu17total92a">[2]B_U_17!$K$103</definedName>
    <definedName name="bu17total93">[2]B_U_17!$L$95</definedName>
    <definedName name="bu17total93a">[2]B_U_17!$L$103</definedName>
    <definedName name="bu17total94">[2]B_U_17!$M$95</definedName>
    <definedName name="bu17total94a">[2]B_U_17!$M$103</definedName>
    <definedName name="bu17total95">[2]B_U_17!$N$95</definedName>
    <definedName name="bu17total95a">[2]B_U_17!$N$103</definedName>
    <definedName name="bu17total96">[2]B_U_17!$O$95</definedName>
    <definedName name="bu17total96a">[2]B_U_17!$O$103</definedName>
    <definedName name="bu17total97">[2]B_U_17!$P$95</definedName>
    <definedName name="bu17total97a">[2]B_U_17!$P$103</definedName>
    <definedName name="bu17total98">[2]B_U_17!$Q$95</definedName>
    <definedName name="bu17total98a">[2]B_U_17!$Q$103</definedName>
    <definedName name="bu18total84">[2]B_U_18!$C$95</definedName>
    <definedName name="bu18total84a">[2]B_U_18!$C$103</definedName>
    <definedName name="bu18total85">[2]B_U_18!$D$95</definedName>
    <definedName name="bu18total85a">[2]B_U_18!$D$103</definedName>
    <definedName name="bu18total86">[2]B_U_18!$E$95</definedName>
    <definedName name="bu18total86a">[2]B_U_18!$E$103</definedName>
    <definedName name="bu18total87">[2]B_U_18!$F$95</definedName>
    <definedName name="bu18total87a">[2]B_U_18!$F$103</definedName>
    <definedName name="bu18total88">[2]B_U_18!$G$95</definedName>
    <definedName name="bu18total88a">[2]B_U_18!$G$103</definedName>
    <definedName name="bu18total89">[2]B_U_18!$H$95</definedName>
    <definedName name="bu18total89a">[2]B_U_18!$H$103</definedName>
    <definedName name="bu18total90">[2]B_U_18!$I$95</definedName>
    <definedName name="bu18total90a">[2]B_U_18!$I$103</definedName>
    <definedName name="bu18total91">[2]B_U_18!$J$95</definedName>
    <definedName name="bu18total91a">[2]B_U_18!$J$103</definedName>
    <definedName name="bu18total92">[2]B_U_18!$K$95</definedName>
    <definedName name="bu18total92a">[2]B_U_18!$K$103</definedName>
    <definedName name="bu18total93">[2]B_U_18!$L$95</definedName>
    <definedName name="bu18total93a">[2]B_U_18!$L$103</definedName>
    <definedName name="bu18total94">[2]B_U_18!$M$95</definedName>
    <definedName name="bu18total94a">[2]B_U_18!$M$103</definedName>
    <definedName name="bu18total95">[2]B_U_18!$N$95</definedName>
    <definedName name="bu18total95a">[2]B_U_18!$N$103</definedName>
    <definedName name="bu18total96">[2]B_U_18!$O$95</definedName>
    <definedName name="bu18total96a">[2]B_U_18!$O$103</definedName>
    <definedName name="bu18total97">[2]B_U_18!$P$95</definedName>
    <definedName name="bu18total97a">[2]B_U_18!$P$103</definedName>
    <definedName name="bu18total98">[2]B_U_18!$Q$95</definedName>
    <definedName name="bu18total98a">[2]B_U_18!$Q$103</definedName>
    <definedName name="bu19total84">[2]B_U_19!$C$95</definedName>
    <definedName name="bu19total84a">[2]B_U_19!$C$103</definedName>
    <definedName name="bu19total85">[2]B_U_19!$D$95</definedName>
    <definedName name="bu19total85a">[2]B_U_19!$D$103</definedName>
    <definedName name="bu19total86">[2]B_U_19!$E$95</definedName>
    <definedName name="bu19total86a">[2]B_U_19!$E$103</definedName>
    <definedName name="bu19total87">[2]B_U_19!$F$95</definedName>
    <definedName name="bu19total87a">[2]B_U_19!$F$103</definedName>
    <definedName name="bu19total88">[2]B_U_19!$G$95</definedName>
    <definedName name="bu19total88a">[2]B_U_19!$G$103</definedName>
    <definedName name="bu19total89">[2]B_U_19!$H$95</definedName>
    <definedName name="bu19total89a">[2]B_U_19!$H$103</definedName>
    <definedName name="bu19total90">[2]B_U_19!$I$95</definedName>
    <definedName name="bu19total90a">[2]B_U_19!$I$103</definedName>
    <definedName name="bu19total91">[2]B_U_19!$J$95</definedName>
    <definedName name="bu19total91a">[2]B_U_19!$J$103</definedName>
    <definedName name="bu19total92">[2]B_U_19!$K$95</definedName>
    <definedName name="bu19total92a">[2]B_U_19!$K$103</definedName>
    <definedName name="bu19total93">[2]B_U_19!$L$95</definedName>
    <definedName name="bu19total93a">[2]B_U_19!$L$103</definedName>
    <definedName name="bu19total94">[2]B_U_19!$M$95</definedName>
    <definedName name="bu19total94a">[2]B_U_19!$M$103</definedName>
    <definedName name="bu19total95">[2]B_U_19!$N$95</definedName>
    <definedName name="bu19total95a">[2]B_U_19!$N$103</definedName>
    <definedName name="bu19total96">[2]B_U_19!$O$95</definedName>
    <definedName name="bu19total96a">[2]B_U_19!$O$103</definedName>
    <definedName name="bu19total97">[2]B_U_19!$P$95</definedName>
    <definedName name="bu19total97a">[2]B_U_19!$P$103</definedName>
    <definedName name="bu19total98">[2]B_U_19!$Q$95</definedName>
    <definedName name="bu19total98a">[2]B_U_19!$Q$103</definedName>
    <definedName name="bu1total84">'[2]PHASE II'!$C$95</definedName>
    <definedName name="bu1total84a">'[2]PHASE II'!$C$103</definedName>
    <definedName name="bu1total85">'[2]PHASE II'!$D$95</definedName>
    <definedName name="bu1total85a">'[2]PHASE II'!$D$103</definedName>
    <definedName name="bu1total86">'[2]PHASE II'!$E$95</definedName>
    <definedName name="bu1total86a">'[2]PHASE II'!$E$103</definedName>
    <definedName name="bu1total87">'[2]PHASE II'!$F$95</definedName>
    <definedName name="bu1total87a">'[2]PHASE II'!$F$103</definedName>
    <definedName name="bu1total88">'[2]PHASE II'!$G$95</definedName>
    <definedName name="bu1total88a">'[2]PHASE II'!$G$103</definedName>
    <definedName name="bu1total89">'[2]PHASE II'!$H$95</definedName>
    <definedName name="bu1total89a">'[2]PHASE II'!$H$103</definedName>
    <definedName name="bu1total90">'[2]PHASE II'!$I$95</definedName>
    <definedName name="bu1total90a">'[2]PHASE II'!$I$103</definedName>
    <definedName name="bu1total91">'[2]PHASE II'!$K$95</definedName>
    <definedName name="bu1total91a">'[2]PHASE II'!$K$103</definedName>
    <definedName name="bu1total92">'[2]PHASE II'!$M$95</definedName>
    <definedName name="bu1total92a">'[2]PHASE II'!$M$103</definedName>
    <definedName name="bu1total93">'[2]PHASE II'!$O$95</definedName>
    <definedName name="bu1total93a">'[2]PHASE II'!$O$103</definedName>
    <definedName name="bu1total94">'[2]PHASE II'!$Q$95</definedName>
    <definedName name="bu1total94a">'[2]PHASE II'!$Q$103</definedName>
    <definedName name="bu1total95">'[2]PHASE II'!$S$95</definedName>
    <definedName name="bu1total95a">'[2]PHASE II'!$S$103</definedName>
    <definedName name="bu1total96">'[2]PHASE II'!$T$95</definedName>
    <definedName name="bu1total96a">'[2]PHASE II'!$T$103</definedName>
    <definedName name="bu1total97">'[2]PHASE II'!$U$95</definedName>
    <definedName name="bu1total97a">'[2]PHASE II'!$U$103</definedName>
    <definedName name="bu1total98">'[2]PHASE II'!$W$95</definedName>
    <definedName name="bu1total98a">'[2]PHASE II'!$W$103</definedName>
    <definedName name="bu20total84">[2]B_U_20!$C$95</definedName>
    <definedName name="bu20total84a">[2]B_U_20!$C$103</definedName>
    <definedName name="bu20total85">[2]B_U_20!$D$95</definedName>
    <definedName name="bu20total85a">[2]B_U_20!$D$103</definedName>
    <definedName name="bu20total86">[2]B_U_20!$E$95</definedName>
    <definedName name="bu20total86a">[2]B_U_20!$E$103</definedName>
    <definedName name="bu20total87">[2]B_U_20!$F$95</definedName>
    <definedName name="bu20total87a">[2]B_U_20!$F$103</definedName>
    <definedName name="bu20total88">[2]B_U_20!$G$95</definedName>
    <definedName name="bu20total88a">[2]B_U_20!$G$103</definedName>
    <definedName name="bu20total89">[2]B_U_20!$H$95</definedName>
    <definedName name="bu20total89a">[2]B_U_20!$H$103</definedName>
    <definedName name="bu20total90">[2]B_U_20!$I$95</definedName>
    <definedName name="bu20total90a">[2]B_U_20!$I$103</definedName>
    <definedName name="bu20total91">[2]B_U_20!$J$95</definedName>
    <definedName name="bu20total91a">[2]B_U_20!$J$103</definedName>
    <definedName name="bu20total92">[2]B_U_20!$K$95</definedName>
    <definedName name="bu20total92a">[2]B_U_20!$K$103</definedName>
    <definedName name="bu20total93">[2]B_U_20!$L$95</definedName>
    <definedName name="bu20total93a">[2]B_U_20!$L$103</definedName>
    <definedName name="bu20total94">[2]B_U_20!$M$95</definedName>
    <definedName name="bu20total94a">[2]B_U_20!$M$103</definedName>
    <definedName name="bu20total95">[2]B_U_20!$N$95</definedName>
    <definedName name="bu20total95a">[2]B_U_20!$N$103</definedName>
    <definedName name="bu20total96">[2]B_U_20!$O$95</definedName>
    <definedName name="bu20total96a">[2]B_U_20!$O$103</definedName>
    <definedName name="bu20total97">[2]B_U_20!$P$95</definedName>
    <definedName name="bu20total97a">[2]B_U_20!$P$103</definedName>
    <definedName name="bu20total98">[2]B_U_20!$Q$95</definedName>
    <definedName name="bu20total98a">[2]B_U_20!$Q$103</definedName>
    <definedName name="bu21total84">[2]B_U_21!$C$95</definedName>
    <definedName name="bu21total84a">[2]B_U_21!$C$103</definedName>
    <definedName name="bu21total85">[2]B_U_21!$D$95</definedName>
    <definedName name="bu21total85a">[2]B_U_21!$D$103</definedName>
    <definedName name="bu21total86">[2]B_U_21!$E$95</definedName>
    <definedName name="bu21total86a">[2]B_U_21!$E$103</definedName>
    <definedName name="bu21total87">[2]B_U_21!$F$95</definedName>
    <definedName name="bu21total87a">[2]B_U_21!$F$103</definedName>
    <definedName name="bu21total88">[2]B_U_21!$G$95</definedName>
    <definedName name="bu21total88a">[2]B_U_21!$G$103</definedName>
    <definedName name="bu21total89">[2]B_U_21!$H$95</definedName>
    <definedName name="bu21total89a">[2]B_U_21!$H$103</definedName>
    <definedName name="bu21total90">[2]B_U_21!$I$95</definedName>
    <definedName name="bu21total90a">[2]B_U_21!$I$103</definedName>
    <definedName name="bu21total91">[2]B_U_21!$J$95</definedName>
    <definedName name="bu21total91a">[2]B_U_21!$J$103</definedName>
    <definedName name="bu21total92">[2]B_U_21!$K$95</definedName>
    <definedName name="bu21total92a">[2]B_U_21!$K$103</definedName>
    <definedName name="bu21total93">[2]B_U_21!$L$95</definedName>
    <definedName name="bu21total93a">[2]B_U_21!$L$103</definedName>
    <definedName name="bu21total94">[2]B_U_21!$M$95</definedName>
    <definedName name="bu21total94a">[2]B_U_21!$M$103</definedName>
    <definedName name="bu21total95">[2]B_U_21!$N$95</definedName>
    <definedName name="bu21total95a">[2]B_U_21!$N$103</definedName>
    <definedName name="bu21total96">[2]B_U_21!$O$95</definedName>
    <definedName name="bu21total96a">[2]B_U_21!$O$103</definedName>
    <definedName name="bu21total97">[2]B_U_21!$P$95</definedName>
    <definedName name="bu21total97a">[2]B_U_21!$P$103</definedName>
    <definedName name="bu21total98">[2]B_U_21!$Q$95</definedName>
    <definedName name="bu21total98a">[2]B_U_21!$Q$103</definedName>
    <definedName name="bu22total84">[2]B_U_22!$C$95</definedName>
    <definedName name="bu22total84a">[2]B_U_22!$C$103</definedName>
    <definedName name="bu22total85">[2]B_U_22!$D$95</definedName>
    <definedName name="bu22total85a">[2]B_U_22!$D$103</definedName>
    <definedName name="bu22total86">[2]B_U_22!$E$95</definedName>
    <definedName name="bu22total86a">[2]B_U_22!$E$103</definedName>
    <definedName name="bu22total87">[2]B_U_22!$F$95</definedName>
    <definedName name="bu22total87a">[2]B_U_22!$F$103</definedName>
    <definedName name="bu22total88">[2]B_U_22!$G$95</definedName>
    <definedName name="bu22total88a">[2]B_U_22!$G$103</definedName>
    <definedName name="bu22total89">[2]B_U_22!$H$95</definedName>
    <definedName name="bu22total89a">[2]B_U_22!$H$103</definedName>
    <definedName name="bu22total90">[2]B_U_22!$I$95</definedName>
    <definedName name="bu22total90a">[2]B_U_22!$I$103</definedName>
    <definedName name="bu22total91">[2]B_U_22!$J$95</definedName>
    <definedName name="bu22total91a">[2]B_U_22!$J$103</definedName>
    <definedName name="bu22total92">[2]B_U_22!$K$95</definedName>
    <definedName name="bu22total92a">[2]B_U_22!$K$103</definedName>
    <definedName name="bu22total93">[2]B_U_22!$L$95</definedName>
    <definedName name="bu22total93a">[2]B_U_22!$L$103</definedName>
    <definedName name="bu22total94">[2]B_U_22!$M$95</definedName>
    <definedName name="bu22total94a">[2]B_U_22!$M$103</definedName>
    <definedName name="bu22total95">[2]B_U_22!$N$95</definedName>
    <definedName name="bu22total95a">[2]B_U_22!$N$103</definedName>
    <definedName name="bu22total96">[2]B_U_22!$O$95</definedName>
    <definedName name="bu22total96a">[2]B_U_22!$O$103</definedName>
    <definedName name="bu22total97">[2]B_U_22!$P$95</definedName>
    <definedName name="bu22total97a">[2]B_U_22!$P$103</definedName>
    <definedName name="bu22total98">[2]B_U_22!$Q$95</definedName>
    <definedName name="bu22total98a">[2]B_U_22!$Q$103</definedName>
    <definedName name="bu23total84">[2]B_U_23!$C$95</definedName>
    <definedName name="bu23total84a">[2]B_U_23!$C$103</definedName>
    <definedName name="bu23total85">[2]B_U_23!$D$95</definedName>
    <definedName name="bu23total85a">[2]B_U_23!$D$103</definedName>
    <definedName name="bu23total86">[2]B_U_23!$E$95</definedName>
    <definedName name="bu23total86a">[2]B_U_23!$E$103</definedName>
    <definedName name="bu23total87">[2]B_U_23!$F$95</definedName>
    <definedName name="bu23total87a">[2]B_U_23!$F$103</definedName>
    <definedName name="bu23total88">[2]B_U_23!$G$95</definedName>
    <definedName name="bu23total88a">[2]B_U_23!$G$103</definedName>
    <definedName name="bu23total89">[2]B_U_23!$H$95</definedName>
    <definedName name="bu23total89a">[2]B_U_23!$H$103</definedName>
    <definedName name="bu23total90">[2]B_U_23!$I$95</definedName>
    <definedName name="bu23total90a">[2]B_U_23!$I$103</definedName>
    <definedName name="bu23total91">[2]B_U_23!$J$95</definedName>
    <definedName name="bu23total91a">[2]B_U_23!$J$103</definedName>
    <definedName name="bu23total92">[2]B_U_23!$K$95</definedName>
    <definedName name="bu23total92a">[2]B_U_23!$K$103</definedName>
    <definedName name="bu23total93">[2]B_U_23!$L$95</definedName>
    <definedName name="bu23total93a">[2]B_U_23!$L$103</definedName>
    <definedName name="bu23total94">[2]B_U_23!$M$95</definedName>
    <definedName name="bu23total94a">[2]B_U_23!$M$103</definedName>
    <definedName name="bu23total95">[2]B_U_23!$N$95</definedName>
    <definedName name="bu23total95a">[2]B_U_23!$N$103</definedName>
    <definedName name="bu23total96">[2]B_U_23!$O$95</definedName>
    <definedName name="bu23total96a">[2]B_U_23!$O$103</definedName>
    <definedName name="bu23total97">[2]B_U_23!$P$95</definedName>
    <definedName name="bu23total97a">[2]B_U_23!$P$103</definedName>
    <definedName name="bu23total98">[2]B_U_23!$Q$95</definedName>
    <definedName name="bu23total98a">[2]B_U_23!$Q$103</definedName>
    <definedName name="bu2total84">'[2]ORIGINAL CLAIM'!$C$95</definedName>
    <definedName name="bu2total84a">'[2]ORIGINAL CLAIM'!$C$103</definedName>
    <definedName name="bu2total85">'[2]ORIGINAL CLAIM'!$D$95</definedName>
    <definedName name="bu2total85a">'[2]ORIGINAL CLAIM'!$D$103</definedName>
    <definedName name="bu2total86">'[2]ORIGINAL CLAIM'!$E$95</definedName>
    <definedName name="bu2total86a">'[2]ORIGINAL CLAIM'!$E$103</definedName>
    <definedName name="bu2total87">'[2]ORIGINAL CLAIM'!$F$95</definedName>
    <definedName name="bu2total87a">'[2]ORIGINAL CLAIM'!$F$103</definedName>
    <definedName name="bu2total88">'[2]ORIGINAL CLAIM'!$G$95</definedName>
    <definedName name="bu2total88a">'[2]ORIGINAL CLAIM'!$G$103</definedName>
    <definedName name="bu2total89">'[2]ORIGINAL CLAIM'!$H$95</definedName>
    <definedName name="bu2total89a">'[2]ORIGINAL CLAIM'!$H$103</definedName>
    <definedName name="bu2total90">'[2]ORIGINAL CLAIM'!$I$95</definedName>
    <definedName name="bu2total90a">'[2]ORIGINAL CLAIM'!$I$103</definedName>
    <definedName name="bu2total91">'[2]ORIGINAL CLAIM'!$J$95</definedName>
    <definedName name="bu2total91a">'[2]ORIGINAL CLAIM'!$J$103</definedName>
    <definedName name="bu2total92">'[2]ORIGINAL CLAIM'!$K$95</definedName>
    <definedName name="bu2total92a">'[2]ORIGINAL CLAIM'!$K$103</definedName>
    <definedName name="bu2total93">'[2]ORIGINAL CLAIM'!$L$95</definedName>
    <definedName name="bu2total93a">'[2]ORIGINAL CLAIM'!$L$103</definedName>
    <definedName name="bu2total94">'[2]ORIGINAL CLAIM'!$M$95</definedName>
    <definedName name="bu2total94a">'[2]ORIGINAL CLAIM'!$M$103</definedName>
    <definedName name="bu2total95">'[2]ORIGINAL CLAIM'!$N$95</definedName>
    <definedName name="bu2total95a">'[2]ORIGINAL CLAIM'!$N$103</definedName>
    <definedName name="bu2total96">'[2]ORIGINAL CLAIM'!$O$95</definedName>
    <definedName name="bu2total96a">'[2]ORIGINAL CLAIM'!$O$103</definedName>
    <definedName name="bu2total97">'[2]ORIGINAL CLAIM'!$P$95</definedName>
    <definedName name="bu2total97a">'[2]ORIGINAL CLAIM'!$P$103</definedName>
    <definedName name="bu2total98">'[2]ORIGINAL CLAIM'!$Q$95</definedName>
    <definedName name="bu2total98a">'[2]ORIGINAL CLAIM'!$Q$103</definedName>
    <definedName name="bu3total84">[2]B_U_3!$C$95</definedName>
    <definedName name="bu3total84a">[2]B_U_3!$C$103</definedName>
    <definedName name="bu3total85">[2]B_U_3!$D$95</definedName>
    <definedName name="bu3total85a">[2]B_U_3!$D$103</definedName>
    <definedName name="bu3total86">[2]B_U_3!$E$95</definedName>
    <definedName name="bu3total86a">[2]B_U_3!$E$103</definedName>
    <definedName name="bu3total87">[2]B_U_3!$F$95</definedName>
    <definedName name="bu3total87a">[2]B_U_3!$F$103</definedName>
    <definedName name="bu3total88">[2]B_U_3!$G$95</definedName>
    <definedName name="bu3total88a">[2]B_U_3!$G$103</definedName>
    <definedName name="bu3total89">[2]B_U_3!$H$95</definedName>
    <definedName name="bu3total89a">[2]B_U_3!$H$103</definedName>
    <definedName name="bu3total90">[2]B_U_3!$I$95</definedName>
    <definedName name="bu3total90a">[2]B_U_3!$I$103</definedName>
    <definedName name="bu3total91">[2]B_U_3!$J$95</definedName>
    <definedName name="bu3total91a">[2]B_U_3!$J$103</definedName>
    <definedName name="bu3total92">[2]B_U_3!$K$95</definedName>
    <definedName name="bu3total92a">[2]B_U_3!$K$103</definedName>
    <definedName name="bu3total93">[2]B_U_3!$L$95</definedName>
    <definedName name="bu3total93a">[2]B_U_3!$L$103</definedName>
    <definedName name="bu3total94">[2]B_U_3!$M$95</definedName>
    <definedName name="bu3total94a">[2]B_U_3!$M$103</definedName>
    <definedName name="bu3total95">[2]B_U_3!$N$95</definedName>
    <definedName name="bu3total95a">[2]B_U_3!$N$103</definedName>
    <definedName name="bu3total96">[2]B_U_3!$O$95</definedName>
    <definedName name="bu3total96a">[2]B_U_3!$O$103</definedName>
    <definedName name="bu3total97">[2]B_U_3!$P$95</definedName>
    <definedName name="bu3total97a">[2]B_U_3!$P$103</definedName>
    <definedName name="bu3total98">[2]B_U_3!$Q$95</definedName>
    <definedName name="bu3total98a">[2]B_U_3!$Q$103</definedName>
    <definedName name="bu4total84">[2]B_U_4!$C$95</definedName>
    <definedName name="bu4total84a">[2]B_U_4!$C$103</definedName>
    <definedName name="bu4total85">[2]B_U_4!$D$95</definedName>
    <definedName name="bu4total85a">[2]B_U_4!$D$103</definedName>
    <definedName name="bu4total86">[2]B_U_4!$E$95</definedName>
    <definedName name="bu4total86a">[2]B_U_4!$E$103</definedName>
    <definedName name="bu4total87">[2]B_U_4!$F$95</definedName>
    <definedName name="bu4total87a">[2]B_U_4!$F$103</definedName>
    <definedName name="bu4total88">[2]B_U_4!$G$95</definedName>
    <definedName name="bu4total88a">[2]B_U_4!$G$103</definedName>
    <definedName name="bu4total89">[2]B_U_4!$H$95</definedName>
    <definedName name="bu4total89a">[2]B_U_4!$H$103</definedName>
    <definedName name="bu4total90">[2]B_U_4!$I$95</definedName>
    <definedName name="bu4total90a">[2]B_U_4!$I$103</definedName>
    <definedName name="bu4total91">[2]B_U_4!$J$95</definedName>
    <definedName name="bu4total91a">[2]B_U_4!$J$103</definedName>
    <definedName name="bu4total92">[2]B_U_4!$K$95</definedName>
    <definedName name="bu4total92a">[2]B_U_4!$K$103</definedName>
    <definedName name="bu4total93">[2]B_U_4!$L$95</definedName>
    <definedName name="bu4total93a">[2]B_U_4!$L$103</definedName>
    <definedName name="bu4total94">[2]B_U_4!$M$95</definedName>
    <definedName name="bu4total94a">[2]B_U_4!$M$103</definedName>
    <definedName name="bu4total95">[2]B_U_4!$N$95</definedName>
    <definedName name="bu4total95a">[2]B_U_4!$N$103</definedName>
    <definedName name="bu4total96">[2]B_U_4!$O$95</definedName>
    <definedName name="bu4total96a">[2]B_U_4!$O$103</definedName>
    <definedName name="bu4total97">[2]B_U_4!$P$95</definedName>
    <definedName name="bu4total97a">[2]B_U_4!$P$103</definedName>
    <definedName name="bu4total98">[2]B_U_4!$Q$95</definedName>
    <definedName name="bu4total98a">[2]B_U_4!$Q$103</definedName>
    <definedName name="bu5total84">[2]B_U_5!$C$95</definedName>
    <definedName name="bu5total84a">[2]B_U_5!$C$103</definedName>
    <definedName name="bu5total85">[2]B_U_5!$D$95</definedName>
    <definedName name="bu5total85a">[2]B_U_5!$D$103</definedName>
    <definedName name="bu5total86">[2]B_U_5!$E$95</definedName>
    <definedName name="bu5total86a">[2]B_U_5!$E$103</definedName>
    <definedName name="bu5total87">[2]B_U_5!$F$95</definedName>
    <definedName name="bu5total87a">[2]B_U_5!$F$103</definedName>
    <definedName name="bu5total88">[2]B_U_5!$G$95</definedName>
    <definedName name="bu5total88a">[2]B_U_5!$G$103</definedName>
    <definedName name="bu5total89">[2]B_U_5!$H$95</definedName>
    <definedName name="bu5total89a">[2]B_U_5!$H$103</definedName>
    <definedName name="bu5total90">[2]B_U_5!$I$95</definedName>
    <definedName name="bu5total90a">[2]B_U_5!$I$103</definedName>
    <definedName name="bu5total91">[2]B_U_5!$J$95</definedName>
    <definedName name="bu5total91a">[2]B_U_5!$J$103</definedName>
    <definedName name="bu5total92">[2]B_U_5!$K$95</definedName>
    <definedName name="bu5total92a">[2]B_U_5!$K$103</definedName>
    <definedName name="bu5total93">[2]B_U_5!$L$95</definedName>
    <definedName name="bu5total93a">[2]B_U_5!$L$103</definedName>
    <definedName name="bu5total94">[2]B_U_5!$M$95</definedName>
    <definedName name="bu5total94a">[2]B_U_5!$M$103</definedName>
    <definedName name="bu5total95">[2]B_U_5!$N$95</definedName>
    <definedName name="bu5total95a">[2]B_U_5!$N$103</definedName>
    <definedName name="bu5total96">[2]B_U_5!$O$95</definedName>
    <definedName name="bu5total96a">[2]B_U_5!$O$103</definedName>
    <definedName name="bu5total97">[2]B_U_5!$P$95</definedName>
    <definedName name="bu5total97a">[2]B_U_5!$P$103</definedName>
    <definedName name="bu5total98">[2]B_U_5!$Q$95</definedName>
    <definedName name="bu5total98a">[2]B_U_5!$Q$103</definedName>
    <definedName name="bu6total84">[2]B_U_6!$C$94</definedName>
    <definedName name="bu6total84a">[2]B_U_6!$C$103</definedName>
    <definedName name="bu6total85">[2]B_U_6!$D$94</definedName>
    <definedName name="bu6total85a">[2]B_U_6!$D$103</definedName>
    <definedName name="bu6total86">[2]B_U_6!$E$94</definedName>
    <definedName name="bu6total86a">[2]B_U_6!$E$103</definedName>
    <definedName name="bu6total87">[2]B_U_6!$F$94</definedName>
    <definedName name="bu6total87a">[2]B_U_6!$F$103</definedName>
    <definedName name="bu6total88">[2]B_U_6!$G$94</definedName>
    <definedName name="bu6total88a">[2]B_U_6!$G$103</definedName>
    <definedName name="bu6total89">[2]B_U_6!$H$94</definedName>
    <definedName name="bu6total89a">[2]B_U_6!$H$103</definedName>
    <definedName name="bu6total90">[2]B_U_6!$I$94</definedName>
    <definedName name="bu6total90a">[2]B_U_6!$I$103</definedName>
    <definedName name="bu6total91">[2]B_U_6!$J$94</definedName>
    <definedName name="bu6total91a">[2]B_U_6!$J$103</definedName>
    <definedName name="bu6total92">[2]B_U_6!$K$94</definedName>
    <definedName name="bu6total92a">[2]B_U_6!$K$103</definedName>
    <definedName name="bu6total93">[2]B_U_6!$L$94</definedName>
    <definedName name="bu6total93a">[2]B_U_6!$L$103</definedName>
    <definedName name="bu6total94">[2]B_U_6!$M$94</definedName>
    <definedName name="bu6total94a">[2]B_U_6!$M$103</definedName>
    <definedName name="bu6total95">[2]B_U_6!$N$94</definedName>
    <definedName name="bu6total95a">[2]B_U_6!$N$103</definedName>
    <definedName name="bu6total96">[2]B_U_6!$O$94</definedName>
    <definedName name="bu6total96a">[2]B_U_6!$O$103</definedName>
    <definedName name="bu6total97">[2]B_U_6!$P$94</definedName>
    <definedName name="bu6total97a">[2]B_U_6!$P$103</definedName>
    <definedName name="bu6total98">[2]B_U_6!$Q$94</definedName>
    <definedName name="bu6total98a">[2]B_U_6!$Q$103</definedName>
    <definedName name="bu7total84">[2]B_U_7!$C$95</definedName>
    <definedName name="bu7total84a">[2]B_U_7!$C$103</definedName>
    <definedName name="bu7total85">[2]B_U_7!$D$95</definedName>
    <definedName name="bu7total85a">[2]B_U_7!$D$103</definedName>
    <definedName name="bu7total86">[2]B_U_7!$E$95</definedName>
    <definedName name="bu7total86a">[2]B_U_7!$E$103</definedName>
    <definedName name="bu7total87">[2]B_U_7!$F$95</definedName>
    <definedName name="bu7total87a">[2]B_U_7!$F$103</definedName>
    <definedName name="bu7total88">[2]B_U_7!$G$95</definedName>
    <definedName name="bu7total88a">[2]B_U_7!$G$103</definedName>
    <definedName name="bu7total89">[2]B_U_7!$H$95</definedName>
    <definedName name="bu7total89a">[2]B_U_7!$H$103</definedName>
    <definedName name="bu7total90">[2]B_U_7!$I$95</definedName>
    <definedName name="bu7total90a">[2]B_U_7!$I$103</definedName>
    <definedName name="bu7total91">[2]B_U_7!$J$95</definedName>
    <definedName name="bu7total91a">[2]B_U_7!$J$103</definedName>
    <definedName name="bu7total92">[2]B_U_7!$K$95</definedName>
    <definedName name="bu7total92a">[2]B_U_7!$K$103</definedName>
    <definedName name="bu7total93">[2]B_U_7!$L$95</definedName>
    <definedName name="bu7total93a">[2]B_U_7!$L$103</definedName>
    <definedName name="bu7total94">[2]B_U_7!$M$95</definedName>
    <definedName name="bu7total94a">[2]B_U_7!$M$103</definedName>
    <definedName name="bu7total95">[2]B_U_7!$N$95</definedName>
    <definedName name="bu7total95a">[2]B_U_7!$N$103</definedName>
    <definedName name="bu7total96">[2]B_U_7!$O$95</definedName>
    <definedName name="bu7total96a">[2]B_U_7!$O$103</definedName>
    <definedName name="bu7total97">[2]B_U_7!$P$95</definedName>
    <definedName name="bu7total97a">[2]B_U_7!$P$103</definedName>
    <definedName name="bu7total98">[2]B_U_7!$Q$95</definedName>
    <definedName name="bu7total98a">[2]B_U_7!$Q$103</definedName>
    <definedName name="bu8total84">[2]B_U_8!$C$94</definedName>
    <definedName name="bu8total84a">[2]B_U_8!$C$103</definedName>
    <definedName name="bu8total85">[2]B_U_8!$D$94</definedName>
    <definedName name="bu8total85a">[2]B_U_8!$D$103</definedName>
    <definedName name="bu8total86">[2]B_U_8!$E$94</definedName>
    <definedName name="bu8total86a">[2]B_U_8!$E$103</definedName>
    <definedName name="bu8total87">[2]B_U_8!$F$94</definedName>
    <definedName name="bu8total87a">[2]B_U_8!$F$103</definedName>
    <definedName name="bu8total88">[2]B_U_8!$G$94</definedName>
    <definedName name="bu8total88a">[2]B_U_8!$G$103</definedName>
    <definedName name="bu8total89">[2]B_U_8!$H$94</definedName>
    <definedName name="bu8total89a">[2]B_U_8!$H$103</definedName>
    <definedName name="bu8total90">[2]B_U_8!$I$94</definedName>
    <definedName name="bu8total90a">[2]B_U_8!$I$103</definedName>
    <definedName name="bu8total91">[2]B_U_8!$J$94</definedName>
    <definedName name="bu8total91a">[2]B_U_8!$J$103</definedName>
    <definedName name="bu8total92">[2]B_U_8!$K$94</definedName>
    <definedName name="bu8total92a">[2]B_U_8!$K$103</definedName>
    <definedName name="bu8total93">[2]B_U_8!$L$94</definedName>
    <definedName name="bu8total93a">[2]B_U_8!$L$103</definedName>
    <definedName name="bu8total94">[2]B_U_8!$M$94</definedName>
    <definedName name="bu8total94a">[2]B_U_8!$M$103</definedName>
    <definedName name="bu8total95">[2]B_U_8!$N$94</definedName>
    <definedName name="bu8total95a">[2]B_U_8!$N$103</definedName>
    <definedName name="bu8total96">[2]B_U_8!$O$94</definedName>
    <definedName name="bu8total96a">[2]B_U_8!$O$103</definedName>
    <definedName name="bu8total97">[2]B_U_8!$P$94</definedName>
    <definedName name="bu8total97a">[2]B_U_8!$P$103</definedName>
    <definedName name="bu8total98">[2]B_U_8!$Q$94</definedName>
    <definedName name="bu8total98a">[2]B_U_8!$Q$103</definedName>
    <definedName name="bu9total84">[2]B_U_9!$C$95</definedName>
    <definedName name="bu9total84a">[2]B_U_9!$C$103</definedName>
    <definedName name="bu9total85">[2]B_U_9!$D$95</definedName>
    <definedName name="bu9total85a">[2]B_U_9!$D$103</definedName>
    <definedName name="bu9total86">[2]B_U_9!$E$95</definedName>
    <definedName name="bu9total86a">[2]B_U_9!$E$103</definedName>
    <definedName name="bu9total87">[2]B_U_9!$F$95</definedName>
    <definedName name="bu9total87a">[2]B_U_9!$F$103</definedName>
    <definedName name="bu9total88">[2]B_U_9!$G$95</definedName>
    <definedName name="bu9total88a">[2]B_U_9!$G$103</definedName>
    <definedName name="bu9total89">[2]B_U_9!$H$95</definedName>
    <definedName name="bu9total89a">[2]B_U_9!$H$103</definedName>
    <definedName name="bu9total90">[2]B_U_9!$I$95</definedName>
    <definedName name="bu9total90a">[2]B_U_9!$I$103</definedName>
    <definedName name="bu9total91">[2]B_U_9!$J$95</definedName>
    <definedName name="bu9total91a">[2]B_U_9!$J$103</definedName>
    <definedName name="bu9total92">[2]B_U_9!$K$95</definedName>
    <definedName name="bu9total92a">[2]B_U_9!$K$103</definedName>
    <definedName name="bu9total93">[2]B_U_9!$L$95</definedName>
    <definedName name="bu9total93a">[2]B_U_9!$L$103</definedName>
    <definedName name="bu9total94">[2]B_U_9!$M$95</definedName>
    <definedName name="bu9total94a">[2]B_U_9!$M$103</definedName>
    <definedName name="bu9total95">[2]B_U_9!$N$95</definedName>
    <definedName name="bu9total95a">[2]B_U_9!$N$103</definedName>
    <definedName name="bu9total96">[2]B_U_9!$O$95</definedName>
    <definedName name="bu9total96a">[2]B_U_9!$O$103</definedName>
    <definedName name="bu9total97">[2]B_U_9!$P$95</definedName>
    <definedName name="bu9total97a">[2]B_U_9!$P$103</definedName>
    <definedName name="bu9total98">[2]B_U_9!$Q$95</definedName>
    <definedName name="bu9total98a">[2]B_U_9!$Q$103</definedName>
    <definedName name="can" hidden="1">{#N/A,#N/A,FALSE,"O&amp;M by processes";#N/A,#N/A,FALSE,"Elec Act vs Bud";#N/A,#N/A,FALSE,"G&amp;A";#N/A,#N/A,FALSE,"BGS";#N/A,#N/A,FALSE,"Res Cost"}</definedName>
    <definedName name="cap_interest">'[19]Input Page'!$E$16</definedName>
    <definedName name="cbcvbcv" hidden="1">{#N/A,#N/A,FALSE,"Monthly SAIFI";#N/A,#N/A,FALSE,"Yearly SAIFI";#N/A,#N/A,FALSE,"Monthly CAIDI";#N/A,#N/A,FALSE,"Yearly CAIDI";#N/A,#N/A,FALSE,"Monthly SAIDI";#N/A,#N/A,FALSE,"Yearly SAIDI";#N/A,#N/A,FALSE,"Monthly MAIFI";#N/A,#N/A,FALSE,"Yearly MAIFI";#N/A,#N/A,FALSE,"Monthly Cust &gt;=4 Int"}</definedName>
    <definedName name="CC_TST">'[11]A.2 PTP'!$P$33</definedName>
    <definedName name="cc1end">[2]Model!$A$68:$IV$68</definedName>
    <definedName name="cc1subrange">[2]Model!$A$48:$IV$75</definedName>
    <definedName name="cc2origin">[2]Model!$A$76</definedName>
    <definedName name="cc2subrange">[2]Model!$A$124:$IV$146</definedName>
    <definedName name="cc3subrange">[2]Model!$A$152:$IV$179</definedName>
    <definedName name="ccbbcvbc" hidden="1">{#N/A,#N/A,FALSE,"Monthly SAIFI";#N/A,#N/A,FALSE,"Yearly SAIFI";#N/A,#N/A,FALSE,"Monthly CAIDI";#N/A,#N/A,FALSE,"Yearly CAIDI";#N/A,#N/A,FALSE,"Monthly SAIDI";#N/A,#N/A,FALSE,"Yearly SAIDI";#N/A,#N/A,FALSE,"Monthly MAIFI";#N/A,#N/A,FALSE,"Yearly MAIFI";#N/A,#N/A,FALSE,"Monthly Cust &gt;=4 Int"}</definedName>
    <definedName name="ccc" hidden="1">{#N/A,#N/A,FALSE,"O&amp;M by processes";#N/A,#N/A,FALSE,"Elec Act vs Bud";#N/A,#N/A,FALSE,"G&amp;A";#N/A,#N/A,FALSE,"BGS";#N/A,#N/A,FALSE,"Res Cost"}</definedName>
    <definedName name="cccc" hidden="1">{#N/A,#N/A,FALSE,"O&amp;M by processes";#N/A,#N/A,FALSE,"Elec Act vs Bud";#N/A,#N/A,FALSE,"G&amp;A";#N/A,#N/A,FALSE,"BGS";#N/A,#N/A,FALSE,"Res Cost"}</definedName>
    <definedName name="CE">'Attachment H-4A JCP&amp;L '!#REF!</definedName>
    <definedName name="CE_EAI">'[11]C. Input'!$I$37</definedName>
    <definedName name="CE_EGSI">'[11]C. Input'!$L$37</definedName>
    <definedName name="CE_ELI">'[11]C. Input'!$O$37</definedName>
    <definedName name="CE_EMI">'[11]C. Input'!$R$37</definedName>
    <definedName name="CE_ENOI">'[11]C. Input'!$X$37</definedName>
    <definedName name="cell.above">!A1048576</definedName>
    <definedName name="cell.below">!A2</definedName>
    <definedName name="cell.left">!XFD1</definedName>
    <definedName name="cell.right">!B1</definedName>
    <definedName name="CEP_Amortization">'[22]JFJ-4 CEP Rate'!$A$28:$F$78</definedName>
    <definedName name="CH_COS">#REF!</definedName>
    <definedName name="chrtContract">'[2]QRE Charts'!$C$274:$R$297</definedName>
    <definedName name="chrtSensitivity">'[2]QRE Charts'!$D$372:$O$375</definedName>
    <definedName name="chrtSensWages">'[2]Sens_QRE''s'!$C$118:$R$141</definedName>
    <definedName name="chrtSupplies">'[2]QRE Charts'!$C$248:$R$271</definedName>
    <definedName name="chrtTax">'[2]QRE Charts'!$C$327:$E$342</definedName>
    <definedName name="chrtTotalByCo">'[2]QRE Charts'!$C$300:$R$323</definedName>
    <definedName name="chrtTotalByType">'[2]QRE Charts'!$C$216:$R$219</definedName>
    <definedName name="chrtWages">'[2]QRE Charts'!$C$222:$R$245</definedName>
    <definedName name="cleanup" hidden="1">{#N/A,#N/A,TRUE,"TAXPROV";#N/A,#N/A,TRUE,"FLOWTHRU";#N/A,#N/A,TRUE,"SCHEDULE M'S";#N/A,#N/A,TRUE,"PLANT M'S";#N/A,#N/A,TRUE,"TAXJE"}</definedName>
    <definedName name="ClientMatter" hidden="1">"b1"</definedName>
    <definedName name="Code">'[23]Array Tables'!$B$4:$B$236</definedName>
    <definedName name="COGEN">'[24]October Tariff kwh'!$A$1:$H$83</definedName>
    <definedName name="Company_Name">[2]Menu!$I$11</definedName>
    <definedName name="CompanyCount">'[2]QRE Charts'!$F$214</definedName>
    <definedName name="CompanyName">'[25]Title Page'!$A$22</definedName>
    <definedName name="COMPAR_PRT_RNG">[2]Comparison!$B$8:$BT$170</definedName>
    <definedName name="compInc">[26]Inputs!$B$4</definedName>
    <definedName name="Consolid" hidden="1">{#N/A,#N/A,FALSE,"O&amp;M by processes";#N/A,#N/A,FALSE,"Elec Act vs Bud";#N/A,#N/A,FALSE,"G&amp;A";#N/A,#N/A,FALSE,"BGS";#N/A,#N/A,FALSE,"Res Cost"}</definedName>
    <definedName name="Consolidated" hidden="1">{#N/A,#N/A,FALSE,"O&amp;M by processes";#N/A,#N/A,FALSE,"Elec Act vs Bud";#N/A,#N/A,FALSE,"G&amp;A";#N/A,#N/A,FALSE,"BGS";#N/A,#N/A,FALSE,"Res Cost"}</definedName>
    <definedName name="ConsolTbal">'[27]2004 TAX PROV'!$U$11:$AR$764</definedName>
    <definedName name="Cost_Center">'[23]Array Tables'!$A$4:$A$236</definedName>
    <definedName name="cost_of_good_sold">'[19]Input Page'!$E$11</definedName>
    <definedName name="cost2001">[28]Input!$M$23</definedName>
    <definedName name="COUNTER">'[2]Macro Tables'!$C$21</definedName>
    <definedName name="CR">'[11]C. Input'!$F$27</definedName>
    <definedName name="credit_rate">[2]Print!$I$18</definedName>
    <definedName name="creditsummary">[2]Model!$A$180:$E$201</definedName>
    <definedName name="CTF">'Attachment 15 - Income Taxes'!$E$15</definedName>
    <definedName name="CUR_QRES">[2]Sens_QRE_Factor!$I$8:$R$98</definedName>
    <definedName name="CUR_QRES0.75">'[2]QRE Charts'!$E$367</definedName>
    <definedName name="CUR_QRES0.80">'[2]QRE Charts'!$F$367</definedName>
    <definedName name="CUR_QRES0.85">'[2]QRE Charts'!$G$367</definedName>
    <definedName name="CUR_QRES0.90">'[2]QRE Charts'!$H$367</definedName>
    <definedName name="CUR_QRES0.95">'[2]QRE Charts'!$I$367</definedName>
    <definedName name="CUR_QRES1.00">'[2]QRE Charts'!$J$367</definedName>
    <definedName name="CUR_QRES1.05">'[2]QRE Charts'!$K$367</definedName>
    <definedName name="CUR_QRES1.10">'[2]QRE Charts'!$L$367</definedName>
    <definedName name="CUR_QRES1.15">'[2]QRE Charts'!$M$367</definedName>
    <definedName name="CUR_QRES1.20">'[2]QRE Charts'!$N$367</definedName>
    <definedName name="CUR_QRES1.25">'[2]QRE Charts'!$O$367</definedName>
    <definedName name="CUSTAR">#REF!</definedName>
    <definedName name="CUT">[29]AFUDC_CCRF!$A$1:$N$303</definedName>
    <definedName name="CUTINS">[29]AFUDC_CCRF!$A$73:$N$160</definedName>
    <definedName name="CUYAHOGA_FALLS">#REF!</definedName>
    <definedName name="D">'[11]C. Input'!$F$33</definedName>
    <definedName name="D_EAI">'[11]C. Input'!$I$33</definedName>
    <definedName name="D_EGSI">'[11]C. Input'!$L$33</definedName>
    <definedName name="D_EMI">'[11]C. Input'!$R$33</definedName>
    <definedName name="D_ENOI">'[11]C. Input'!$X$33</definedName>
    <definedName name="DA" localSheetId="17">'Attachment 13a - TEC True-Up'!$I$57</definedName>
    <definedName name="DA">'Attachment 13 - NITS True-Up'!$I$57</definedName>
    <definedName name="dada" hidden="1">{#N/A,#N/A,FALSE,"O&amp;M by processes";#N/A,#N/A,FALSE,"Elec Act vs Bud";#N/A,#N/A,FALSE,"G&amp;A";#N/A,#N/A,FALSE,"BGS";#N/A,#N/A,FALSE,"Res Cost"}</definedName>
    <definedName name="dae">[1]Sheet1!$B$2:$B$29</definedName>
    <definedName name="DASDD" hidden="1">{#N/A,#N/A,FALSE,"Monthly SAIFI";#N/A,#N/A,FALSE,"Yearly SAIFI";#N/A,#N/A,FALSE,"Monthly CAIDI";#N/A,#N/A,FALSE,"Yearly CAIDI";#N/A,#N/A,FALSE,"Monthly SAIDI";#N/A,#N/A,FALSE,"Yearly SAIDI";#N/A,#N/A,FALSE,"Monthly MAIFI";#N/A,#N/A,FALSE,"Yearly MAIFI";#N/A,#N/A,FALSE,"Monthly Cust &gt;=4 Int"}</definedName>
    <definedName name="data_year">'[15]Appendix A'!$H$5</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AFEEDER">[30]!DATAFEEDER</definedName>
    <definedName name="Date">[31]Settings!$F$23</definedName>
    <definedName name="DAYs">[32]A!$Q$60</definedName>
    <definedName name="DD.">[33]Input!$F$33</definedName>
    <definedName name="ddd">[34]Sheet1!$J$130</definedName>
    <definedName name="ddfsaf" hidden="1">{#N/A,#N/A,FALSE,"Monthly SAIFI";#N/A,#N/A,FALSE,"Yearly SAIFI";#N/A,#N/A,FALSE,"Monthly CAIDI";#N/A,#N/A,FALSE,"Yearly CAIDI";#N/A,#N/A,FALSE,"Monthly SAIDI";#N/A,#N/A,FALSE,"Yearly SAIDI";#N/A,#N/A,FALSE,"Monthly MAIFI";#N/A,#N/A,FALSE,"Yearly MAIFI";#N/A,#N/A,FALSE,"Monthly Cust &gt;=4 Int"}</definedName>
    <definedName name="DEC00" hidden="1">{#N/A,#N/A,FALSE,"ARREC"}</definedName>
    <definedName name="Deferral_Interest_Rate">[10]Assumptions!$H$14</definedName>
    <definedName name="Deferral_Recovery">'[22]JFJ-1 Deferral Recovery Rate'!$A$14:$F$64</definedName>
    <definedName name="delete" hidden="1">{#N/A,#N/A,FALSE,"CURRENT"}</definedName>
    <definedName name="Depr_Life">'[35]T&amp;D Split Substation Summary'!$B$39</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sfs"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TSR">'[11]A.2 PTP'!$P$288</definedName>
    <definedName name="DocumentName" hidden="1">"b1"</definedName>
    <definedName name="DocumentNum" hidden="1">"a1"</definedName>
    <definedName name="DOFTSR">'[11]A.2 PTP'!$P$294</definedName>
    <definedName name="DOIT">[2]Comparison!$CK$11</definedName>
    <definedName name="don" hidden="1">{"assumptions",#N/A,FALSE,"Scenario 1";"valuation",#N/A,FALSE,"Scenario 1"}</definedName>
    <definedName name="Don_1" hidden="1">{"assumptions",#N/A,FALSE,"Scenario 1";"valuation",#N/A,FALSE,"Scenario 1"}</definedName>
    <definedName name="Don_10" hidden="1">#REF!</definedName>
    <definedName name="Don_11" hidden="1">255</definedName>
    <definedName name="Don_12" hidden="1">#REF!</definedName>
    <definedName name="Don_13" hidden="1">#REF!</definedName>
    <definedName name="Don_14" hidden="1">#REF!</definedName>
    <definedName name="don_2" hidden="1">#REF!</definedName>
    <definedName name="Don_3" hidden="1">#REF!</definedName>
    <definedName name="Don_4" hidden="1">#REF!</definedName>
    <definedName name="Don_5" hidden="1">#REF!</definedName>
    <definedName name="Don_6" hidden="1">#REF!</definedName>
    <definedName name="Don_7" hidden="1">#REF!</definedName>
    <definedName name="Don_8" hidden="1">#REF!</definedName>
    <definedName name="Don_9" hidden="1">#REF!</definedName>
    <definedName name="DPLT">'[11]C. Input'!$F$166</definedName>
    <definedName name="DR">'[11]C. Input'!$F$23</definedName>
    <definedName name="dskdlss" hidden="1">{#N/A,#N/A,FALSE,"Monthly SAIFI";#N/A,#N/A,FALSE,"Yearly SAIFI";#N/A,#N/A,FALSE,"Monthly CAIDI";#N/A,#N/A,FALSE,"Yearly CAIDI";#N/A,#N/A,FALSE,"Monthly SAIDI";#N/A,#N/A,FALSE,"Yearly SAIDI";#N/A,#N/A,FALSE,"Monthly MAIFI";#N/A,#N/A,FALSE,"Yearly MAIFI";#N/A,#N/A,FALSE,"Monthly Cust &gt;=4 Int"}</definedName>
    <definedName name="DUEDATE" localSheetId="11">'[3]DPLG-APRIL2001-TRANSCHECKOUT'!$Q:$R</definedName>
    <definedName name="DUEDATE">'[3]DPLG-APRIL2001-TRANSCHECKOUT'!$Q$1:$R$65536</definedName>
    <definedName name="dy">[2]Print!$A$8</definedName>
    <definedName name="dyCR">[2]Print!$G$8</definedName>
    <definedName name="dyqre90">[2]Model!$I$90</definedName>
    <definedName name="dyqre91">[2]Model!$J$94</definedName>
    <definedName name="dyqre92">[2]Model!$K$98</definedName>
    <definedName name="dyqre93">[2]Model!$L$101</definedName>
    <definedName name="dyqre94">[2]Model!$M$105</definedName>
    <definedName name="dyqre95">[2]Model!$N$109</definedName>
    <definedName name="dyqre96">[2]Model!$O$113</definedName>
    <definedName name="dyqre97">[2]Model!$P$119</definedName>
    <definedName name="dyqre98">[2]Model!$Q$123</definedName>
    <definedName name="dyQW">[2]Print!$C$8</definedName>
    <definedName name="dyS">[2]Print!$E$8</definedName>
    <definedName name="ED_NON_REGULATED">'[36]#REF'!$AS$5:$AS$85</definedName>
    <definedName name="EDGERTON">#REF!</definedName>
    <definedName name="edred" hidden="1">{#N/A,#N/A,FALSE,"Monthly SAIFI";#N/A,#N/A,FALSE,"Yearly SAIFI";#N/A,#N/A,FALSE,"Monthly CAIDI";#N/A,#N/A,FALSE,"Yearly CAIDI";#N/A,#N/A,FALSE,"Monthly SAIDI";#N/A,#N/A,FALSE,"Yearly SAIDI";#N/A,#N/A,FALSE,"Monthly MAIFI";#N/A,#N/A,FALSE,"Yearly MAIFI";#N/A,#N/A,FALSE,"Monthly Cust &gt;=4 Int"}</definedName>
    <definedName name="eee">"V2001-12-31"</definedName>
    <definedName name="eeee" hidden="1">{#N/A,#N/A,FALSE,"O&amp;M by processes";#N/A,#N/A,FALSE,"Elec Act vs Bud";#N/A,#N/A,FALSE,"G&amp;A";#N/A,#N/A,FALSE,"BGS";#N/A,#N/A,FALSE,"Res Cost"}</definedName>
    <definedName name="EEI">'[11]C. Input'!$F$205</definedName>
    <definedName name="Ellwood_City">#REF!</definedName>
    <definedName name="ELMORE">#REF!</definedName>
    <definedName name="eng_design">'[13]Input Page'!$G$17</definedName>
    <definedName name="Entities">[9]Entities!$1:$1048576</definedName>
    <definedName name="ENTITY">[31]Settings!$F$17</definedName>
    <definedName name="EPRI">'[11]C. Input'!$F$203</definedName>
    <definedName name="EROA">[26]Inputs!$B$3</definedName>
    <definedName name="EssOptions">"1100000000130100_11-          00"</definedName>
    <definedName name="EV__LASTREFTIME__">39773.6430324074</definedName>
    <definedName name="f" hidden="1">{#N/A,#N/A,FALSE,"Monthly SAIFI";#N/A,#N/A,FALSE,"Yearly SAIFI";#N/A,#N/A,FALSE,"Monthly CAIDI";#N/A,#N/A,FALSE,"Yearly CAIDI";#N/A,#N/A,FALSE,"Monthly SAIDI";#N/A,#N/A,FALSE,"Yearly SAIDI";#N/A,#N/A,FALSE,"Monthly MAIFI";#N/A,#N/A,FALSE,"Yearly MAIFI";#N/A,#N/A,FALSE,"Monthly Cust &gt;=4 Int"}</definedName>
    <definedName name="Facilities">1700</definedName>
    <definedName name="FACTOR_.75">'[2]Macro Tables'!$C$27</definedName>
    <definedName name="FACTOR_.80">'[2]Macro Tables'!$C$28</definedName>
    <definedName name="FACTOR_.85">'[2]Macro Tables'!$C$29</definedName>
    <definedName name="FACTOR_.90">'[2]Macro Tables'!$C$30</definedName>
    <definedName name="FACTOR_.95">'[2]Macro Tables'!$C$31</definedName>
    <definedName name="FACTOR_1">'[2]Macro Tables'!$C$32</definedName>
    <definedName name="FACTOR_1.05">'[2]Macro Tables'!$C$33</definedName>
    <definedName name="FACTOR_1.1">'[2]Macro Tables'!$C$34</definedName>
    <definedName name="FACTOR_1.15">'[2]Macro Tables'!$C$35</definedName>
    <definedName name="FACTOR_1.2">'[2]Macro Tables'!$C$36</definedName>
    <definedName name="FACTOR_1.25">'[2]Macro Tables'!$C$37</definedName>
    <definedName name="FACTOR_NAME">'[2]Macro Tables'!$C$22</definedName>
    <definedName name="FACTOR_TABLE">'[2]Macro Tables'!$B$27:$C$37</definedName>
    <definedName name="FACTOR_VALUE">'[2]Macro Tables'!$C$23</definedName>
    <definedName name="FDSDFSF" hidden="1">{#N/A,#N/A,FALSE,"Monthly SAIFI";#N/A,#N/A,FALSE,"Yearly SAIFI";#N/A,#N/A,FALSE,"Monthly CAIDI";#N/A,#N/A,FALSE,"Yearly CAIDI";#N/A,#N/A,FALSE,"Monthly SAIDI";#N/A,#N/A,FALSE,"Yearly SAIDI";#N/A,#N/A,FALSE,"Monthly MAIFI";#N/A,#N/A,FALSE,"Yearly MAIFI";#N/A,#N/A,FALSE,"Monthly Cust &gt;=4 Int"}</definedName>
    <definedName name="FEB00" hidden="1">{#N/A,#N/A,FALSE,"ARREC"}</definedName>
    <definedName name="fed_inc_tax">'[19]Input Page'!$E$13</definedName>
    <definedName name="ff" hidden="1">{#N/A,#N/A,FALSE,"Monthly SAIFI";#N/A,#N/A,FALSE,"Yearly SAIFI";#N/A,#N/A,FALSE,"Monthly CAIDI";#N/A,#N/A,FALSE,"Yearly CAIDI";#N/A,#N/A,FALSE,"Monthly SAIDI";#N/A,#N/A,FALSE,"Yearly SAIDI";#N/A,#N/A,FALSE,"Monthly MAIFI";#N/A,#N/A,FALSE,"Yearly MAIFI";#N/A,#N/A,FALSE,"Monthly Cust &gt;=4 Int"}</definedName>
    <definedName name="FF1_INPUT">'[15]FERC Form 1 data'!$B$7:$L$87</definedName>
    <definedName name="FF1_INPUT_columns">'[15]FERC Form 1 data'!$B$6:$L$6</definedName>
    <definedName name="fff"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le">[37]A!$A$1</definedName>
    <definedName name="FIT">'Attachment 15 - Income Taxes'!$K$7</definedName>
    <definedName name="fleet_cap">'[19]Input Page'!$E$7</definedName>
    <definedName name="fleet_total">'[19]Input Page'!$E$8</definedName>
    <definedName name="Fossil_BGS">[22]Assumptions!$E$58</definedName>
    <definedName name="Fossil_Secur_Date">[10]Assumptions!$E$22</definedName>
    <definedName name="FREV">'[11]C. Input'!$F$295</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ull_credit">[2]Print!$I$20</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E">[38]Input1!$B$6</definedName>
    <definedName name="FYR">'[16]Gas Ferc 2 2003'!$V$3</definedName>
    <definedName name="GALION">#REF!</definedName>
    <definedName name="GDR">'[11]C. Input'!$F$237</definedName>
    <definedName name="GDX">'[11]C. Input'!$F$309</definedName>
    <definedName name="GenLedger">[39]PEPCO!$A$9:$H$774</definedName>
    <definedName name="GENOA">#REF!</definedName>
    <definedName name="GENOA_NORTH">#REF!</definedName>
    <definedName name="GENOA_SOUTH">#REF!</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sBlank" hidden="1">ISBLANK(gIsRef)</definedName>
    <definedName name="gIsError" hidden="1">ISERROR(gIsRef)</definedName>
    <definedName name="gIsInPrintArea" localSheetId="17" hidden="1">NOT(ISERROR([0]!gIsRef !Print_Area))</definedName>
    <definedName name="gIsInPrintArea" hidden="1">NOT(ISERROR(gIsRef !Print_Area))</definedName>
    <definedName name="gIsInPrintTitles" localSheetId="17" hidden="1">NOT(ISERROR([0]!gIsRef !Print_Titles))</definedName>
    <definedName name="gIsInPrintTitles" hidden="1">NOT(ISERROR(gIsRef !Print_Titles))</definedName>
    <definedName name="gIsNumber" hidden="1">ISNUMBER(gIsRef)</definedName>
    <definedName name="gIsPreviousSheet" localSheetId="17" hidden="1">PrevShtCellValue([0]!gIsRef)&lt;&gt;[0]!gIsRef</definedName>
    <definedName name="gIsPreviousSheet" hidden="1">PrevShtCellValue(gIsRef)&lt;&gt;gIsRef</definedName>
    <definedName name="gIsRef" hidden="1">INDIRECT("rc",FALSE)</definedName>
    <definedName name="gIsText" hidden="1">ISTEXT(gIsRef)</definedName>
    <definedName name="gita" hidden="1">{#N/A,#N/A,FALSE,"O&amp;M by processes";#N/A,#N/A,FALSE,"Elec Act vs Bud";#N/A,#N/A,FALSE,"G&amp;A";#N/A,#N/A,FALSE,"BGS";#N/A,#N/A,FALSE,"Res Cost"}</definedName>
    <definedName name="gitah" hidden="1">{#N/A,#N/A,FALSE,"O&amp;M by processes";#N/A,#N/A,FALSE,"Elec Act vs Bud";#N/A,#N/A,FALSE,"G&amp;A";#N/A,#N/A,FALSE,"BGS";#N/A,#N/A,FALSE,"Res Cost"}</definedName>
    <definedName name="GP">'Attachment H-4A JCP&amp;L '!$G$57</definedName>
    <definedName name="GPLT">'[11]C. Input'!$F$168</definedName>
    <definedName name="GR_PRT_RANGE">[2]Gross_Rec!$A$8:$R$52</definedName>
    <definedName name="GRAFTON">#REF!</definedName>
    <definedName name="grec8490">[2]Model!$I$50</definedName>
    <definedName name="grec8491">[2]Model!$J$50</definedName>
    <definedName name="grec8492">[2]Model!$K$50</definedName>
    <definedName name="grec8493">[2]Model!$L$50</definedName>
    <definedName name="grec8494">[2]Model!$M$50</definedName>
    <definedName name="grec8495">[2]Model!$N$50</definedName>
    <definedName name="grec8496">[2]Model!$O$50</definedName>
    <definedName name="grec8497">[2]Model!$P$50</definedName>
    <definedName name="grec8498">[2]Model!$Q$50</definedName>
    <definedName name="grec8590">[2]Model!$I$51</definedName>
    <definedName name="grec8591">[2]Model!$J$51</definedName>
    <definedName name="grec8592">[2]Model!$K$51</definedName>
    <definedName name="grec8593">[2]Model!$L$51</definedName>
    <definedName name="grec8594">[2]Model!$M$51</definedName>
    <definedName name="grec8595">[2]Model!$N$51</definedName>
    <definedName name="grec8596">[2]Model!$O$51</definedName>
    <definedName name="grec8597">[2]Model!$P$51</definedName>
    <definedName name="grec8598">[2]Model!$Q$51</definedName>
    <definedName name="grec8690">[2]Model!$I$52</definedName>
    <definedName name="grec8691">[2]Model!$J$52</definedName>
    <definedName name="grec8692">[2]Model!$K$52</definedName>
    <definedName name="grec8693">[2]Model!$L$52</definedName>
    <definedName name="grec8694">[2]Model!$M$52</definedName>
    <definedName name="grec8695">[2]Model!$N$52</definedName>
    <definedName name="grec8696">[2]Model!$O$52</definedName>
    <definedName name="grec8697">[2]Model!$P$52</definedName>
    <definedName name="grec8698">[2]Model!$Q$52</definedName>
    <definedName name="grec8790">[2]Model!$I$53</definedName>
    <definedName name="grec8791">[2]Model!$J$53</definedName>
    <definedName name="grec8792">[2]Model!$K$53</definedName>
    <definedName name="grec8793">[2]Model!$L$53</definedName>
    <definedName name="grec8794">[2]Model!$M$53</definedName>
    <definedName name="grec8795">[2]Model!$N$53</definedName>
    <definedName name="grec8796">[2]Model!$O$53</definedName>
    <definedName name="grec8797">[2]Model!$P$53</definedName>
    <definedName name="grec8798">[2]Model!$Q$53</definedName>
    <definedName name="grec8890">[2]Model!$I$54</definedName>
    <definedName name="grec8891">[2]Model!$J$54</definedName>
    <definedName name="grec8892">[2]Model!$K$54</definedName>
    <definedName name="grec8893">[2]Model!$L$54</definedName>
    <definedName name="grec8894">[2]Model!$M$54</definedName>
    <definedName name="grec8895">[2]Model!$N$54</definedName>
    <definedName name="grec8896">[2]Model!$O$54</definedName>
    <definedName name="grec8897">[2]Model!$P$54</definedName>
    <definedName name="grec8898">[2]Model!$Q$54</definedName>
    <definedName name="gross_rec_caution">[2]Gross_Rec!$A$51:$IV$52</definedName>
    <definedName name="Grove_City">#REF!</definedName>
    <definedName name="GRS">[2]Gross_Rec!$B$2:$M$49</definedName>
    <definedName name="grtm1">[2]Print!$I$32</definedName>
    <definedName name="grtm2">[2]Print!$G$32</definedName>
    <definedName name="grtm3">[2]Print!$E$32</definedName>
    <definedName name="grtm4">[2]Print!$C$32</definedName>
    <definedName name="h" hidden="1">{#N/A,#N/A,FALSE,"Monthly SAIFI";#N/A,#N/A,FALSE,"Yearly SAIFI";#N/A,#N/A,FALSE,"Monthly CAIDI";#N/A,#N/A,FALSE,"Yearly CAIDI";#N/A,#N/A,FALSE,"Monthly SAIDI";#N/A,#N/A,FALSE,"Yearly SAIDI";#N/A,#N/A,FALSE,"Monthly MAIFI";#N/A,#N/A,FALSE,"Yearly MAIFI";#N/A,#N/A,FALSE,"Monthly Cust &gt;=4 Int"}</definedName>
    <definedName name="HASKINS">#REF!</definedName>
    <definedName name="hh" hidden="1">{#N/A,#N/A,FALSE,"Monthly SAIFI";#N/A,#N/A,FALSE,"Yearly SAIFI";#N/A,#N/A,FALSE,"Monthly CAIDI";#N/A,#N/A,FALSE,"Yearly CAIDI";#N/A,#N/A,FALSE,"Monthly SAIDI";#N/A,#N/A,FALSE,"Yearly SAIDI";#N/A,#N/A,FALSE,"Monthly MAIFI";#N/A,#N/A,FALSE,"Yearly MAIFI";#N/A,#N/A,FALSE,"Monthly Cust &gt;=4 Int"}</definedName>
    <definedName name="High_Level">'[40]Tony''s Categories'!$B$6:$B$11</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NTSR">'[11]A.2 PTP'!$P$333</definedName>
    <definedName name="hourending">#REF!</definedName>
    <definedName name="HOURs">[32]A!$Q$61</definedName>
    <definedName name="HPNTSR">'[11]A.2 PTP'!$P$332</definedName>
    <definedName name="HTML_CodePage">1252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UBBARD">#REF!</definedName>
    <definedName name="Input_Range">'[41]Nonlevelized-IOU'!$K$7,'[41]Nonlevelized-IOU'!$D$10,'[41]Nonlevelized-IOU'!$I$26,'[41]Nonlevelized-IOU'!$D$89:$D$92,'[41]Nonlevelized-IOU'!$D$97:$D$100,'[41]Nonlevelized-IOU'!$D$113:$D$116,'[41]Nonlevelized-IOU'!$D$124:$D$125,'[41]Nonlevelized-IOU'!$D$162,'[41]Nonlevelized-IOU'!$D$164:$D$165,'[41]Nonlevelized-IOU'!$D$167,'[41]Nonlevelized-IOU'!$D$174:$D$175,'[41]Nonlevelized-IOU'!$D$181,'[41]Nonlevelized-IOU'!$D$184,'[41]Nonlevelized-IOU'!$I$233:$I$234,'[41]Nonlevelized-IOU'!$D$250:$D$253,'[41]Nonlevelized-IOU'!$D$257:$D$259,'[41]Nonlevelized-IOU'!$I$263,'[41]Nonlevelized-IOU'!$I$265,'[41]Nonlevelized-IOU'!$I$268,'[41]Nonlevelized-IOU'!$D$274:$D$275,'[41]Nonlevelized-IOU'!$I$289,'[41]Nonlevelized-IOU'!$D$325:$D$327</definedName>
    <definedName name="Inputs_EndYrBal">[15]Inputs!$E$15:$E$72</definedName>
    <definedName name="Inputs_EndYrBal_prior">[15]Inputs!$D$15:$D$72</definedName>
    <definedName name="Inputs_FF1_Map">[15]Inputs!$F$15:$F$72</definedName>
    <definedName name="intang_afudc910">[42]criteria!$A$5:$B$6</definedName>
    <definedName name="INTQ">'[43]IR COMP'!$B$39</definedName>
    <definedName name="INTY">'[43]IR COMP'!$C$39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TC">'[11]C. Input'!$F$146</definedName>
    <definedName name="ITCWO">'[11]C. Input'!$F$325</definedName>
    <definedName name="ITE">[44]PL!$A:$IV</definedName>
    <definedName name="itec">[44]PL!$A$1:$A$65536</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ohn" hidden="1">{#N/A,#N/A,FALSE,"Monthly SAIFI";#N/A,#N/A,FALSE,"Yearly SAIFI";#N/A,#N/A,FALSE,"Monthly CAIDI";#N/A,#N/A,FALSE,"Yearly CAIDI";#N/A,#N/A,FALSE,"Monthly SAIDI";#N/A,#N/A,FALSE,"Yearly SAIDI";#N/A,#N/A,FALSE,"Monthly MAIFI";#N/A,#N/A,FALSE,"Yearly MAIFI";#N/A,#N/A,FALSE,"Monthly Cust &gt;=4 Int"}</definedName>
    <definedName name="k" hidden="1">{#N/A,#N/A,FALSE,"Monthly SAIFI";#N/A,#N/A,FALSE,"Yearly SAIFI";#N/A,#N/A,FALSE,"Monthly CAIDI";#N/A,#N/A,FALSE,"Yearly CAIDI";#N/A,#N/A,FALSE,"Monthly SAIDI";#N/A,#N/A,FALSE,"Yearly SAIDI";#N/A,#N/A,FALSE,"Monthly MAIFI";#N/A,#N/A,FALSE,"Yearly MAIFI";#N/A,#N/A,FALSE,"Monthly Cust &gt;=4 Int"}</definedName>
    <definedName name="Keep"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ey_Concept">'[40]Tony''s Categories'!$D$6:$D$100</definedName>
    <definedName name="KeyCon_Close_Date">[22]Assumptions!$E$29</definedName>
    <definedName name="kk"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klio">{"'Metretek HTML'!$A$7:$W$42"}</definedName>
    <definedName name="lastrow">'[2]QRE''s'!$A$95:$IV$95</definedName>
    <definedName name="left">OFFSET(!A1,0,-1)</definedName>
    <definedName name="Levelized..FM1.ROR..print">#REF!</definedName>
    <definedName name="LFTSR">'[11]A.2 PTP'!$P$230</definedName>
    <definedName name="Library" hidden="1">"a1"</definedName>
    <definedName name="LicenseCOS">0.01</definedName>
    <definedName name="limcount" hidden="1">1</definedName>
    <definedName name="LK">{"'Metretek HTML'!$A$7:$W$42"}</definedName>
    <definedName name="ll" hidden="1">{#N/A,#N/A,FALSE,"EMPPAY"}</definedName>
    <definedName name="LODI">#REF!</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Capital">11</definedName>
    <definedName name="LOLD_Expense">11</definedName>
    <definedName name="LOLD_Table">10</definedName>
    <definedName name="Lower_Level">'[40]Tony''s Categories'!$C$6:$C$25</definedName>
    <definedName name="lsdfj"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UCAS">#REF!</definedName>
    <definedName name="M21Laurie" localSheetId="11">'Attach 9 - Stated-value Inputs'!M21Laurie</definedName>
    <definedName name="M21Laurie">'Attach 9 - Stated-value Inputs'!M21Laurie</definedName>
    <definedName name="Maintenance">0.15</definedName>
    <definedName name="MFTSR">'[11]A.2 PTP'!$P$276</definedName>
    <definedName name="MILAN">#REF!</definedName>
    <definedName name="million">1000000</definedName>
    <definedName name="minus_S_W_2001">'[45]Last year''s minus S&amp;W'!$A$1</definedName>
    <definedName name="modelgrheader">[2]Model!$A$3</definedName>
    <definedName name="modelqreheader">[2]Model!$A$78</definedName>
    <definedName name="MONROEVILLE">#REF!</definedName>
    <definedName name="MONTH">[32]A!$Q$58</definedName>
    <definedName name="MonthDate">[46]Index!$A$4</definedName>
    <definedName name="MREV">'[11]C. Input'!$F$295</definedName>
    <definedName name="MS">'[11]C. Input'!$F$242</definedName>
    <definedName name="MTC_Amortization">'[22]JFJ-3 MTC Rate'!$A$32:$F$82</definedName>
    <definedName name="NAPOLEON">#REF!</definedName>
    <definedName name="NEASG">#REF!</definedName>
    <definedName name="new" hidden="1">{#N/A,#N/A,FALSE,"O&amp;M by processes";#N/A,#N/A,FALSE,"Elec Act vs Bud";#N/A,#N/A,FALSE,"G&amp;A";#N/A,#N/A,FALSE,"BGS";#N/A,#N/A,FALSE,"Res Cost"}</definedName>
    <definedName name="New_99_IS">'[47]2nd qtr 2000'!$A$1:$I$58,'[47]2nd qtr 2000'!$K$1:$T$58,'[47]2nd qtr 2000'!$V$1:$AI$58</definedName>
    <definedName name="New_Wilmington">#REF!</definedName>
    <definedName name="NewHire">8500</definedName>
    <definedName name="NEWTON_FALLS">#REF!</definedName>
    <definedName name="NEXT_STEP">[2]Comparison!$CK$14</definedName>
    <definedName name="NILES">#REF!</definedName>
    <definedName name="Node">[48]Hierarchy!$B$2:$E$16455</definedName>
    <definedName name="non_cap_int">'[19]Input Page'!$E$15</definedName>
    <definedName name="November09" hidden="1">{#N/A,#N/A,FALSE,"Monthly SAIFI";#N/A,#N/A,FALSE,"Yearly SAIFI";#N/A,#N/A,FALSE,"Monthly CAIDI";#N/A,#N/A,FALSE,"Yearly CAIDI";#N/A,#N/A,FALSE,"Monthly SAIDI";#N/A,#N/A,FALSE,"Yearly SAIDI";#N/A,#N/A,FALSE,"Monthly MAIFI";#N/A,#N/A,FALSE,"Yearly MAIFI";#N/A,#N/A,FALSE,"Monthly Cust &gt;=4 Int"}</definedName>
    <definedName name="NSP_COS">#REF!</definedName>
    <definedName name="NTDR">'[11]C. Input'!$F$234</definedName>
    <definedName name="NTPLT">'[11]C. Input'!$F$164</definedName>
    <definedName name="NTSRR">'[11]B.2 NITS '!$P$220</definedName>
    <definedName name="Nuclear_Secur_Date">[10]Assumptions!$E$21</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[49]Sheet1!$H$75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E_LEGAL_ENTITY">"E_LE_TBL"</definedName>
    <definedName name="NvsValTbl.PROJECT_ID">"PROJECT_FS"</definedName>
    <definedName name="NWASG">#REF!</definedName>
    <definedName name="OAK_HARBOR">#REF!</definedName>
    <definedName name="OBERLIN">#REF!</definedName>
    <definedName name="OFF">'[3]DPLG-APRIL2001-TRANSCHECKOUT'!$F$2:$L$10</definedName>
    <definedName name="ok">"46A77S0J3A6DMSOD9MQSK0ZYO"</definedName>
    <definedName name="ON">'[3]DPLG-APRIL2001-TRANSCHECKOUT'!$M$2:$AC$10</definedName>
    <definedName name="one">1</definedName>
    <definedName name="ORACLE_DEPRECIATION">'[50]Agriliance-allassets'!$A$1:$EG$15622</definedName>
    <definedName name="other_mix_cap">'[13]Input Page'!$G$10</definedName>
    <definedName name="other_mix_total">'[13]Input Page'!$G$11</definedName>
    <definedName name="OTR_TST">'[11]A.2 PTP'!$P$129</definedName>
    <definedName name="P">'Attachment 15 - Income Taxes'!$K$12</definedName>
    <definedName name="pctHW">[28]Input!$M$24</definedName>
    <definedName name="pctSWExp">[28]Input!$M$26</definedName>
    <definedName name="pctTraining">[28]Input!$M$25</definedName>
    <definedName name="pe">[2]Print!$A$2</definedName>
    <definedName name="PEMBERVILLE">#REF!</definedName>
    <definedName name="PF">'[11]C. Input'!$F$35</definedName>
    <definedName name="PF_EAI">'[11]C. Input'!$I$35</definedName>
    <definedName name="PF_EGSI">'[11]C. Input'!$L$35</definedName>
    <definedName name="PF_ELI">'[11]C. Input'!$O$35</definedName>
    <definedName name="PF_EMI">'[11]C. Input'!$R$35</definedName>
    <definedName name="PF_ENOI">'[11]C. Input'!$X$35</definedName>
    <definedName name="Phase">'[2]Macro Tables'!$F$21</definedName>
    <definedName name="PIONEER">#REF!</definedName>
    <definedName name="post_fossil">[22]Assumptions!$E$59</definedName>
    <definedName name="PPA">[10]Assumptions!$E$38</definedName>
    <definedName name="PPLT">'[11]C. Input'!$F$152</definedName>
    <definedName name="pPRINT">'[3]DPLG-APRIL2001-TRANSCHECKOUT'!$A$1:$I$49</definedName>
    <definedName name="PPT">'[11]C. Input'!$F$244</definedName>
    <definedName name="PR">'[11]C. Input'!$F$25</definedName>
    <definedName name="PreTaxDebt">'[22]MTC Return'!$F$18</definedName>
    <definedName name="PRINT">'[3]DPLG-APRIL2001-TRANSCHECKOUT'!$A$2:$K$55</definedName>
    <definedName name="Print.selection.print">#REF!</definedName>
    <definedName name="Print_99_IS">'[47]2nd qtr 2000'!$D$1:$I$58,'[47]2nd qtr 2000'!$N$1:$T$58,'[47]2nd qtr 2000'!$AA$1:$AH$57</definedName>
    <definedName name="_xlnm.Print_Area" localSheetId="14">'Attach 11a - TEC Cost Support'!$A$1:$AI$29</definedName>
    <definedName name="_xlnm.Print_Area" localSheetId="11">'Attach 9 - Stated-value Inputs'!$A$1:$I$51</definedName>
    <definedName name="_xlnm.Print_Area" localSheetId="1">'Attachment 1 - Sched 1A'!$A$1:$J$18</definedName>
    <definedName name="_xlnm.Print_Area" localSheetId="12">'Attachment 10 - Debt Cost'!$A$1:$AA$55</definedName>
    <definedName name="_xlnm.Print_Area" localSheetId="13">'Attachment 11 - TEC'!$A$1:$S$91</definedName>
    <definedName name="_xlnm.Print_Area" localSheetId="15">'Attachment 12 - TEC True-up'!$A$1:$M$45</definedName>
    <definedName name="_xlnm.Print_Area" localSheetId="18">'Attachment 13b - PJM Billings'!$A$1:$L$43</definedName>
    <definedName name="_xlnm.Print_Area" localSheetId="3">'Attachment 3 - Gross Plant'!$A$1:$K$68</definedName>
    <definedName name="_xlnm.Print_Area" localSheetId="4">'Attachment 4 - Accum Depr'!$A$1:$K$69</definedName>
    <definedName name="_xlnm.Print_Area" localSheetId="6">'Attachment 5a - ADIT Norm PTRR'!$A$1:$M$54</definedName>
    <definedName name="_xlnm.Print_Area" localSheetId="7">'Attachment 5b - ADIT Norm ATRR'!$A$1:$M$79</definedName>
    <definedName name="_xlnm.Print_Area" localSheetId="10">'Attachment 8 - Cap Structure'!$A$1:$M$28</definedName>
    <definedName name="_xlnm.Print_Area" localSheetId="0">'Attachment H-4A JCP&amp;L '!$A$1:$K$263</definedName>
    <definedName name="_xlnm.Print_Area">#REF!</definedName>
    <definedName name="Print_TFI_use">'[51]TFI use'!$A$1:$P$40,'[51]TFI use'!$A$42:$P$65,'[51]TFI use'!$A$67:$R$84</definedName>
    <definedName name="_xlnm.Print_Titles" localSheetId="22">'Att. 15a - TCJA DDIT and EDIT'!$A:$B,'Att. 15a - TCJA DDIT and EDIT'!$6:$8</definedName>
    <definedName name="_xlnm.Print_Titles" localSheetId="13">'Attachment 11 - TEC'!$C:$D</definedName>
    <definedName name="_xlnm.Print_Titles" localSheetId="15">'Attachment 12 - TEC True-up'!$C:$D</definedName>
    <definedName name="_xlnm.Print_Titles" localSheetId="19">'Attachment 14a - Working Cap.'!$A:$B,'Attachment 14a - Working Cap.'!$5:$8</definedName>
    <definedName name="_xlnm.Print_Titles" localSheetId="20">'Attachment 14b - Unfunded Res'!$A:$B,'Attachment 14b - Unfunded Res'!$5:$8</definedName>
    <definedName name="_xlnm.Print_Titles" localSheetId="24">'Attachment 17 - CWIP in RB'!$A:$B,'Attachment 17 - CWIP in RB'!$5:$8</definedName>
    <definedName name="_xlnm.Print_Titles" localSheetId="25">'Attachment 18 - Rev Creds'!$A:$C,'Attachment 18 - Rev Creds'!$5:$7</definedName>
    <definedName name="_xlnm.Print_Titles" localSheetId="26">'Attachment 19 - Reg Asset-Liab'!$A:$B,'Attachment 19 - Reg Asset-Liab'!$5:$8</definedName>
    <definedName name="_xlnm.Print_Titles" localSheetId="27">'Attachment 20 - OpEx'!$A:$B,'Attachment 20 - OpEx'!$5:$6</definedName>
    <definedName name="_xlnm.Print_Titles" localSheetId="5">'Attachment 5 - ADIT'!$A:$B,'Attachment 5 - ADIT'!$5:$8</definedName>
    <definedName name="_xlnm.Print_Titles" localSheetId="9">'Attachment 7 - TOTI'!$5:$6</definedName>
    <definedName name="Print_Titles_MI">'[52]DACTIVE$'!$A$1:$IV$4,'[52]DACTIVE$'!$A$1:$A$65536</definedName>
    <definedName name="Print1">#REF!</definedName>
    <definedName name="Print3">#REF!</definedName>
    <definedName name="Print4">#REF!</definedName>
    <definedName name="Print5">#REF!</definedName>
    <definedName name="PrintareaDec">'[53]kWh-Mcf'!$E$97,'[53]kWh-Mcf'!$A$81:$E$118,'[53]kWh-Mcf'!$AM$86:$AO$118</definedName>
    <definedName name="prior_year_fuel_adj">'[13]Input Page'!$G$30</definedName>
    <definedName name="prod_depr">'[19]Input Page'!$E$17</definedName>
    <definedName name="Proj_PIS">'[54]Final Summary Sheet'!$AB$132:$AM$141</definedName>
    <definedName name="Projection">"Projection"</definedName>
    <definedName name="ProjIDList">#REF!</definedName>
    <definedName name="PROSPECT">#REF!</definedName>
    <definedName name="PSCo_COS">#REF!</definedName>
    <definedName name="PXAG">'[11]C. Input'!$F$185</definedName>
    <definedName name="PYTX">'[11]C. Input'!$F$220</definedName>
    <definedName name="q_MTEP06_App_AB_Facility">#REF!</definedName>
    <definedName name="q_MTEP06_App_AB_Projects">#REF!</definedName>
    <definedName name="QES">'[2]Gross_Rec:QRE''s'!$B$53:$N$112</definedName>
    <definedName name="QRE_SUMMARY">'[2]QRE''s'!$A$7:$R$102</definedName>
    <definedName name="query">'[55]Boston Edison'!$A$1:$M$3434</definedName>
    <definedName name="qw">{"'Metretek HTML'!$A$7:$W$42"}</definedName>
    <definedName name="RA">'[11]C. Input'!$F$343</definedName>
    <definedName name="rate90">[2]Model!$I$175</definedName>
    <definedName name="rate91">[2]Model!$J$175</definedName>
    <definedName name="rate92">[2]Model!$K$175</definedName>
    <definedName name="rate93">[2]Model!$L$175</definedName>
    <definedName name="rate94">[2]Model!$M$175</definedName>
    <definedName name="rate95">[2]Model!$N$175</definedName>
    <definedName name="rate96">[2]Model!$O$175</definedName>
    <definedName name="rate97">[2]Model!$P$175</definedName>
    <definedName name="rate98">[2]Model!$Q$175</definedName>
    <definedName name="reawreqw" hidden="1">{#N/A,#N/A,FALSE,"Monthly SAIFI";#N/A,#N/A,FALSE,"Yearly SAIFI";#N/A,#N/A,FALSE,"Monthly CAIDI";#N/A,#N/A,FALSE,"Yearly CAIDI";#N/A,#N/A,FALSE,"Monthly SAIDI";#N/A,#N/A,FALSE,"Yearly SAIDI";#N/A,#N/A,FALSE,"Monthly MAIFI";#N/A,#N/A,FALSE,"Yearly MAIFI";#N/A,#N/A,FALSE,"Monthly Cust &gt;=4 Int"}</definedName>
    <definedName name="reduced_credit">[2]Print!$I$22</definedName>
    <definedName name="reduced_credit_caption">[2]Print!$G$22</definedName>
    <definedName name="respc">'[56]Employee Headcount'!$N$6:$S$803</definedName>
    <definedName name="retail" hidden="1">{#N/A,#N/A,FALSE,"Loans";#N/A,#N/A,FALSE,"Program Costs";#N/A,#N/A,FALSE,"Measures";#N/A,#N/A,FALSE,"Net Lost Rev";#N/A,#N/A,FALSE,"Incentive"}</definedName>
    <definedName name="retail_CC" hidden="1">{#N/A,#N/A,FALSE,"Loans";#N/A,#N/A,FALSE,"Program Costs";#N/A,#N/A,FALSE,"Measures";#N/A,#N/A,FALSE,"Net Lost Rev";#N/A,#N/A,FALSE,"Incentive"}</definedName>
    <definedName name="retail_CC1" hidden="1">{#N/A,#N/A,FALSE,"Loans";#N/A,#N/A,FALSE,"Program Costs";#N/A,#N/A,FALSE,"Measures";#N/A,#N/A,FALSE,"Net Lost Rev";#N/A,#N/A,FALSE,"Incentive"}</definedName>
    <definedName name="revreq">#REF!</definedName>
    <definedName name="RF">'Att. 15a - TCJA DDIT and EDIT'!$E$103</definedName>
    <definedName name="right">OFFSET(!A1,0,1)</definedName>
    <definedName name="ROR">'Attachment H-4A JCP&amp;L '!$I$205</definedName>
    <definedName name="RRE">'[11]C. Input'!$F$207</definedName>
    <definedName name="rrrr" hidden="1">{#N/A,#N/A,FALSE,"O&amp;M by processes";#N/A,#N/A,FALSE,"Elec Act vs Bud";#N/A,#N/A,FALSE,"G&amp;A";#N/A,#N/A,FALSE,"BGS";#N/A,#N/A,FALSE,"Res Cost"}</definedName>
    <definedName name="RTX">'[11]C. Input'!$F$222</definedName>
    <definedName name="S">'[11]C. Input'!$F$76</definedName>
    <definedName name="SAPBEXdnldView">"467GDHUY063FE1Q3S2Y9KSMQ8"</definedName>
    <definedName name="SAPBEXdnldView_1">"467GDHUY063FE1Q3S2Y9KSMQ8"</definedName>
    <definedName name="SAPBEXhrIndnt">"Wide"</definedName>
    <definedName name="SAPBEXrevision" hidden="1">1</definedName>
    <definedName name="SAPBEXsysID" hidden="1">"BWP"</definedName>
    <definedName name="SAPBEXwbID" hidden="1">"45EQYSCWE9WJMGB34OOD1BOQZ"</definedName>
    <definedName name="SAPsysID">"708C5W7SBKP804JT78WJ0JNKI"</definedName>
    <definedName name="SAPwbID">"ARS"</definedName>
    <definedName name="saSAsa" hidden="1">{#N/A,#N/A,FALSE,"Monthly SAIFI";#N/A,#N/A,FALSE,"Yearly SAIFI";#N/A,#N/A,FALSE,"Monthly CAIDI";#N/A,#N/A,FALSE,"Yearly CAIDI";#N/A,#N/A,FALSE,"Monthly SAIDI";#N/A,#N/A,FALSE,"Yearly SAIDI";#N/A,#N/A,FALSE,"Monthly MAIFI";#N/A,#N/A,FALSE,"Yearly MAIFI";#N/A,#N/A,FALSE,"Monthly Cust &gt;=4 Int"}</definedName>
    <definedName name="Schedule_CC1">[2]Model!$A$1:$IV$75</definedName>
    <definedName name="Schedule_CC2">[2]Model!$A$76:$IV$151</definedName>
    <definedName name="Schedule_CC3">[2]Model!$A$152:$IV$207</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ECUR_GI">'[11]C. Input'!$F$353</definedName>
    <definedName name="SECUR_IS">'[11]C. Input'!$F$357</definedName>
    <definedName name="SECUR_KR">'[11]C. Input'!$F$349</definedName>
    <definedName name="SENS_NET_CREDIT">[2]Sens_Model!$E$193</definedName>
    <definedName name="September09Billed" hidden="1">{#N/A,#N/A,FALSE,"Monthly SAIFI";#N/A,#N/A,FALSE,"Yearly SAIFI";#N/A,#N/A,FALSE,"Monthly CAIDI";#N/A,#N/A,FALSE,"Yearly CAIDI";#N/A,#N/A,FALSE,"Monthly SAIDI";#N/A,#N/A,FALSE,"Yearly SAIDI";#N/A,#N/A,FALSE,"Monthly MAIFI";#N/A,#N/A,FALSE,"Yearly MAIFI";#N/A,#N/A,FALSE,"Monthly Cust &gt;=4 Int"}</definedName>
    <definedName name="SEVILLE">#REF!</definedName>
    <definedName name="sffsfa"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hedulecc1">[2]Model!$A$1:$IV$68</definedName>
    <definedName name="Sheet1" hidden="1">{#N/A,#N/A,FALSE,"Monthly SAIFI";#N/A,#N/A,FALSE,"Yearly SAIFI";#N/A,#N/A,FALSE,"Monthly CAIDI";#N/A,#N/A,FALSE,"Yearly CAIDI";#N/A,#N/A,FALSE,"Monthly SAIDI";#N/A,#N/A,FALSE,"Yearly SAIDI";#N/A,#N/A,FALSE,"Monthly MAIFI";#N/A,#N/A,FALSE,"Yearly MAIFI";#N/A,#N/A,FALSE,"Monthly Cust &gt;=4 Int"}</definedName>
    <definedName name="shit" hidden="1">{"PRINT",#N/A,TRUE,"APPA";"PRINT",#N/A,TRUE,"APS";"PRINT",#N/A,TRUE,"BHPL";"PRINT",#N/A,TRUE,"BHPL2";"PRINT",#N/A,TRUE,"CDWR";"PRINT",#N/A,TRUE,"EWEB";"PRINT",#N/A,TRUE,"LADWP";"PRINT",#N/A,TRUE,"NEVBASE"}</definedName>
    <definedName name="shiva" hidden="1">{#N/A,#N/A,FALSE,"O&amp;M by processes";#N/A,#N/A,FALSE,"Elec Act vs Bud";#N/A,#N/A,FALSE,"G&amp;A";#N/A,#N/A,FALSE,"BGS";#N/A,#N/A,FALSE,"Res Cost"}</definedName>
    <definedName name="SIT">'Attachment 15 - Income Taxes'!$K$11</definedName>
    <definedName name="slldk" hidden="1">{#N/A,#N/A,FALSE,"Monthly SAIFI";#N/A,#N/A,FALSE,"Yearly SAIFI";#N/A,#N/A,FALSE,"Monthly CAIDI";#N/A,#N/A,FALSE,"Yearly CAIDI";#N/A,#N/A,FALSE,"Monthly SAIDI";#N/A,#N/A,FALSE,"Yearly SAIDI";#N/A,#N/A,FALSE,"Monthly MAIFI";#N/A,#N/A,FALSE,"Yearly MAIFI";#N/A,#N/A,FALSE,"Monthly Cust &gt;=4 Int"}</definedName>
    <definedName name="solver_adj" localSheetId="16" hidden="1">'Attachment 13 - NITS True-Up'!$I$38</definedName>
    <definedName name="solver_adj" localSheetId="17" hidden="1">'Attachment 13a - TEC True-Up'!$I$38</definedName>
    <definedName name="solver_adj" localSheetId="21" hidden="1">'Attachment 15 - Income Taxes'!#REF!</definedName>
    <definedName name="solver_cvg" localSheetId="16" hidden="1">0.0001</definedName>
    <definedName name="solver_cvg" localSheetId="17" hidden="1">0.0001</definedName>
    <definedName name="solver_cvg" localSheetId="21" hidden="1">0.0001</definedName>
    <definedName name="solver_drv" localSheetId="16" hidden="1">1</definedName>
    <definedName name="solver_drv" localSheetId="17" hidden="1">1</definedName>
    <definedName name="solver_drv" localSheetId="21" hidden="1">1</definedName>
    <definedName name="solver_eng" localSheetId="16" hidden="1">1</definedName>
    <definedName name="solver_eng" localSheetId="17" hidden="1">1</definedName>
    <definedName name="solver_eng" localSheetId="21" hidden="1">1</definedName>
    <definedName name="solver_est" localSheetId="16" hidden="1">1</definedName>
    <definedName name="solver_est" localSheetId="17" hidden="1">1</definedName>
    <definedName name="solver_est" localSheetId="21" hidden="1">1</definedName>
    <definedName name="solver_itr" localSheetId="16" hidden="1">2147483647</definedName>
    <definedName name="solver_itr" localSheetId="17" hidden="1">2147483647</definedName>
    <definedName name="solver_itr" localSheetId="21" hidden="1">2147483647</definedName>
    <definedName name="solver_lin" hidden="1">0</definedName>
    <definedName name="solver_mip" localSheetId="16" hidden="1">2147483647</definedName>
    <definedName name="solver_mip" localSheetId="17" hidden="1">2147483647</definedName>
    <definedName name="solver_mip" localSheetId="21" hidden="1">2147483647</definedName>
    <definedName name="solver_mni" localSheetId="16" hidden="1">30</definedName>
    <definedName name="solver_mni" localSheetId="17" hidden="1">30</definedName>
    <definedName name="solver_mni" localSheetId="21" hidden="1">30</definedName>
    <definedName name="solver_mrt" localSheetId="16" hidden="1">0.075</definedName>
    <definedName name="solver_mrt" localSheetId="17" hidden="1">0.075</definedName>
    <definedName name="solver_mrt" localSheetId="21" hidden="1">0.075</definedName>
    <definedName name="solver_msl" localSheetId="16" hidden="1">2</definedName>
    <definedName name="solver_msl" localSheetId="17" hidden="1">2</definedName>
    <definedName name="solver_msl" localSheetId="21" hidden="1">2</definedName>
    <definedName name="solver_neg" localSheetId="16" hidden="1">1</definedName>
    <definedName name="solver_neg" localSheetId="17" hidden="1">1</definedName>
    <definedName name="solver_neg" localSheetId="21" hidden="1">1</definedName>
    <definedName name="solver_nod" localSheetId="16" hidden="1">2147483647</definedName>
    <definedName name="solver_nod" localSheetId="17" hidden="1">2147483647</definedName>
    <definedName name="solver_nod" localSheetId="21" hidden="1">2147483647</definedName>
    <definedName name="solver_num" localSheetId="16" hidden="1">0</definedName>
    <definedName name="solver_num" localSheetId="17" hidden="1">0</definedName>
    <definedName name="solver_num" localSheetId="21" hidden="1">0</definedName>
    <definedName name="solver_num" hidden="1">0</definedName>
    <definedName name="solver_nwt" localSheetId="16" hidden="1">1</definedName>
    <definedName name="solver_nwt" localSheetId="17" hidden="1">1</definedName>
    <definedName name="solver_nwt" localSheetId="21" hidden="1">1</definedName>
    <definedName name="solver_opt" localSheetId="16" hidden="1">'Attachment 13 - NITS True-Up'!$I$54</definedName>
    <definedName name="solver_opt" localSheetId="17" hidden="1">'Attachment 13a - TEC True-Up'!$I$54</definedName>
    <definedName name="solver_opt" localSheetId="21" hidden="1">'Attachment 15 - Income Taxes'!#REF!</definedName>
    <definedName name="solver_opt" hidden="1">#REF!</definedName>
    <definedName name="solver_pre" localSheetId="16" hidden="1">0.000001</definedName>
    <definedName name="solver_pre" localSheetId="17" hidden="1">0.000001</definedName>
    <definedName name="solver_pre" localSheetId="21" hidden="1">0.000001</definedName>
    <definedName name="solver_rbv" localSheetId="16" hidden="1">1</definedName>
    <definedName name="solver_rbv" localSheetId="17" hidden="1">1</definedName>
    <definedName name="solver_rbv" localSheetId="21" hidden="1">1</definedName>
    <definedName name="solver_rlx" localSheetId="16" hidden="1">2</definedName>
    <definedName name="solver_rlx" localSheetId="17" hidden="1">2</definedName>
    <definedName name="solver_rlx" localSheetId="21" hidden="1">2</definedName>
    <definedName name="solver_rsd" localSheetId="16" hidden="1">0</definedName>
    <definedName name="solver_rsd" localSheetId="17" hidden="1">0</definedName>
    <definedName name="solver_rsd" localSheetId="21" hidden="1">0</definedName>
    <definedName name="solver_scl" localSheetId="16" hidden="1">1</definedName>
    <definedName name="solver_scl" localSheetId="17" hidden="1">1</definedName>
    <definedName name="solver_scl" localSheetId="21" hidden="1">1</definedName>
    <definedName name="solver_sho" localSheetId="16" hidden="1">2</definedName>
    <definedName name="solver_sho" localSheetId="17" hidden="1">2</definedName>
    <definedName name="solver_sho" localSheetId="21" hidden="1">2</definedName>
    <definedName name="solver_ssz" localSheetId="16" hidden="1">100</definedName>
    <definedName name="solver_ssz" localSheetId="17" hidden="1">100</definedName>
    <definedName name="solver_ssz" localSheetId="21" hidden="1">100</definedName>
    <definedName name="solver_tim" localSheetId="16" hidden="1">2147483647</definedName>
    <definedName name="solver_tim" localSheetId="17" hidden="1">2147483647</definedName>
    <definedName name="solver_tim" localSheetId="21" hidden="1">2147483647</definedName>
    <definedName name="solver_tol" localSheetId="16" hidden="1">0.01</definedName>
    <definedName name="solver_tol" localSheetId="17" hidden="1">0.01</definedName>
    <definedName name="solver_tol" localSheetId="21" hidden="1">0.01</definedName>
    <definedName name="solver_typ" localSheetId="16" hidden="1">3</definedName>
    <definedName name="solver_typ" localSheetId="17" hidden="1">3</definedName>
    <definedName name="solver_typ" localSheetId="21" hidden="1">3</definedName>
    <definedName name="solver_typ" hidden="1">1</definedName>
    <definedName name="solver_val" localSheetId="16" hidden="1">0</definedName>
    <definedName name="solver_val" localSheetId="17" hidden="1">0</definedName>
    <definedName name="solver_val" localSheetId="21" hidden="1">0</definedName>
    <definedName name="solver_val" hidden="1">0</definedName>
    <definedName name="solver_ver" localSheetId="16" hidden="1">3</definedName>
    <definedName name="solver_ver" localSheetId="17" hidden="1">3</definedName>
    <definedName name="solver_ver" localSheetId="21" hidden="1">3</definedName>
    <definedName name="SOUTH_VIENNA">#REF!</definedName>
    <definedName name="SPS_COS">#REF!</definedName>
    <definedName name="ssssssssss">{"'Metretek HTML'!$A$7:$W$42"}</definedName>
    <definedName name="start84">'[2]QRE''s'!$D$8</definedName>
    <definedName name="start85">'[2]QRE''s'!$E$8</definedName>
    <definedName name="start86">'[2]QRE''s'!$F$8</definedName>
    <definedName name="start87">'[2]QRE''s'!$G$8</definedName>
    <definedName name="start88">'[2]QRE''s'!$H$8</definedName>
    <definedName name="start89">'[2]QRE''s'!$I$8</definedName>
    <definedName name="start90">'[2]QRE''s'!$J$8</definedName>
    <definedName name="start91">'[2]QRE''s'!$K$8</definedName>
    <definedName name="start92">'[2]QRE''s'!$L$8</definedName>
    <definedName name="start93">'[2]QRE''s'!$M$8</definedName>
    <definedName name="start94">'[2]QRE''s'!$N$8</definedName>
    <definedName name="start95">'[2]QRE''s'!$O$8</definedName>
    <definedName name="start96">'[2]QRE''s'!$P$8</definedName>
    <definedName name="start97">'[2]QRE''s'!$Q$8</definedName>
    <definedName name="start98">'[2]QRE''s'!$R$8</definedName>
    <definedName name="State">[57]List!$A$2:$A$53</definedName>
    <definedName name="statsrevised" hidden="1">{#N/A,#N/A,FALSE,"O&amp;M by processes";#N/A,#N/A,FALSE,"Elec Act vs Bud";#N/A,#N/A,FALSE,"G&amp;A";#N/A,#N/A,FALSE,"BGS";#N/A,#N/A,FALSE,"Res Cost"}</definedName>
    <definedName name="STILL1040">'[58]Addt''l 1040 Exclusions'!$A$5:$U$44</definedName>
    <definedName name="store_cap">'[19]Input Page'!$E$9</definedName>
    <definedName name="store_total">'[19]Input Page'!$E$10</definedName>
    <definedName name="summary_caution">[2]Model!$A$202:$IV$207</definedName>
    <definedName name="support" hidden="1">{#N/A,#N/A,FALSE,"O&amp;M by processes";#N/A,#N/A,FALSE,"Elec Act vs Bud";#N/A,#N/A,FALSE,"G&amp;A";#N/A,#N/A,FALSE,"BGS";#N/A,#N/A,FALSE,"Res Cost"}</definedName>
    <definedName name="supporti" hidden="1">{#N/A,#N/A,FALSE,"O&amp;M by processes";#N/A,#N/A,FALSE,"Elec Act vs Bud";#N/A,#N/A,FALSE,"G&amp;A";#N/A,#N/A,FALSE,"BGS";#N/A,#N/A,FALSE,"Res Cost"}</definedName>
    <definedName name="Swap_Amort">'[22]Keystone Swap Amort Sched'!$A$1:$F$241</definedName>
    <definedName name="T">'Attachment 15 - Income Taxes'!$E$14</definedName>
    <definedName name="Tacx_Factor">[22]Assumptions!$E$52</definedName>
    <definedName name="tax_base_on_inc">'[19]Input Page'!$E$14</definedName>
    <definedName name="tax_basis">'[19]Input Page'!$E$18</definedName>
    <definedName name="Taxrate">'[59]Case study '!$C$28</definedName>
    <definedName name="tblCharts">'[2]Macro Tables'!$I$5:$I$16</definedName>
    <definedName name="tblHelp">'[2]Macro Tables'!$N$5:$N$16</definedName>
    <definedName name="tblReports">'[2]Macro Tables'!$B$5:$B$16</definedName>
    <definedName name="tblWorksheets">'[2]Macro Tables'!$E$5:$E$16</definedName>
    <definedName name="TDRXS">'[11]C. Input'!$F$234</definedName>
    <definedName name="TDX">'[11]C. Input'!$F$304</definedName>
    <definedName name="TE">'Attachment H-4A JCP&amp;L '!$I$184</definedName>
    <definedName name="TEQ">'[11]C. Input'!$F$277</definedName>
    <definedName name="test">{"'Metretek HTML'!$A$7:$W$42"}</definedName>
    <definedName name="TEST0">#REF!</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hidden="1">{"LBO Summary",#N/A,FALSE,"Summary"}</definedName>
    <definedName name="test12" hidden="1">{"assumptions",#N/A,FALSE,"Scenario 1";"valuation",#N/A,FALSE,"Scenario 1"}</definedName>
    <definedName name="test13" hidden="1">{"LBO Summary",#N/A,FALSE,"Summary"}</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HKEY">#REF!</definedName>
    <definedName name="TESTKEYS">#REF!</definedName>
    <definedName name="TESTVKEY">#REF!</definedName>
    <definedName name="TEXT">{"'Metretek HTML'!$A$7:$W$42"}</definedName>
    <definedName name="TextRefCopyRangeCount" hidden="1">1</definedName>
    <definedName name="TGUF">'Attachment 15 - Income Taxes'!$E$18</definedName>
    <definedName name="thousand">1000</definedName>
    <definedName name="Time" hidden="1">"b1"</definedName>
    <definedName name="TKW">'[11]C. Input'!$F$330</definedName>
    <definedName name="TL">'[11]C. Input'!$F$178</definedName>
    <definedName name="TLR_TST">'[11]A.2 PTP'!$P$91</definedName>
    <definedName name="Toggle">Projection</definedName>
    <definedName name="Toggle.list">'[15]Appendix A'!$P$5:$P$6</definedName>
    <definedName name="TOM">'[11]C. Input'!$F$270</definedName>
    <definedName name="toma" hidden="1">{#N/A,#N/A,FALSE,"O&amp;M by processes";#N/A,#N/A,FALSE,"Elec Act vs Bud";#N/A,#N/A,FALSE,"G&amp;A";#N/A,#N/A,FALSE,"BGS";#N/A,#N/A,FALSE,"Res Cost"}</definedName>
    <definedName name="tomb" hidden="1">{#N/A,#N/A,FALSE,"O&amp;M by processes";#N/A,#N/A,FALSE,"Elec Act vs Bud";#N/A,#N/A,FALSE,"G&amp;A";#N/A,#N/A,FALSE,"BGS";#N/A,#N/A,FALSE,"Res Cost"}</definedName>
    <definedName name="tomc" hidden="1">{#N/A,#N/A,FALSE,"O&amp;M by processes";#N/A,#N/A,FALSE,"Elec Act vs Bud";#N/A,#N/A,FALSE,"G&amp;A";#N/A,#N/A,FALSE,"BGS";#N/A,#N/A,FALSE,"Res Cost"}</definedName>
    <definedName name="tomd" hidden="1">{#N/A,#N/A,FALSE,"O&amp;M by processes";#N/A,#N/A,FALSE,"Elec Act vs Bud";#N/A,#N/A,FALSE,"G&amp;A";#N/A,#N/A,FALSE,"BGS";#N/A,#N/A,FALSE,"Res Cost"}</definedName>
    <definedName name="tomx" hidden="1">{#N/A,#N/A,FALSE,"O&amp;M by processes";#N/A,#N/A,FALSE,"Elec Act vs Bud";#N/A,#N/A,FALSE,"G&amp;A";#N/A,#N/A,FALSE,"BGS";#N/A,#N/A,FALSE,"Res Cost"}</definedName>
    <definedName name="tomy" hidden="1">{#N/A,#N/A,FALSE,"O&amp;M by processes";#N/A,#N/A,FALSE,"Elec Act vs Bud";#N/A,#N/A,FALSE,"G&amp;A";#N/A,#N/A,FALSE,"BGS";#N/A,#N/A,FALSE,"Res Cost"}</definedName>
    <definedName name="tomz" hidden="1">{#N/A,#N/A,FALSE,"O&amp;M by processes";#N/A,#N/A,FALSE,"Elec Act vs Bud";#N/A,#N/A,FALSE,"G&amp;A";#N/A,#N/A,FALSE,"BGS";#N/A,#N/A,FALSE,"Res Cost"}</definedName>
    <definedName name="tot_ded">'[19]Input Page'!$E$12</definedName>
    <definedName name="TOTAL_COLUMBIANA">#REF!</definedName>
    <definedName name="Total_Grove_City">#REF!</definedName>
    <definedName name="TOTAL_HUDSON">#REF!</definedName>
    <definedName name="TOTAL_MONTPELIER">#REF!</definedName>
    <definedName name="TOTAL_WOODVILLE">#REF!</definedName>
    <definedName name="total84">'[2]QRE''s'!$D$96</definedName>
    <definedName name="total85">'[2]QRE''s'!$E$96</definedName>
    <definedName name="total86">'[2]QRE''s'!$F$96</definedName>
    <definedName name="total87">'[2]QRE''s'!$G$96</definedName>
    <definedName name="total88">'[2]QRE''s'!$H$96</definedName>
    <definedName name="total89">'[2]QRE''s'!$I$96</definedName>
    <definedName name="total90">'[2]QRE''s'!$J$96</definedName>
    <definedName name="total91">'[2]QRE''s'!$K$96</definedName>
    <definedName name="total92">'[2]QRE''s'!$L$96</definedName>
    <definedName name="total93">'[2]QRE''s'!$M$96</definedName>
    <definedName name="total94">'[2]QRE''s'!$N$96</definedName>
    <definedName name="total95">'[2]QRE''s'!$O$96</definedName>
    <definedName name="total96">'[2]QRE''s'!$P$96</definedName>
    <definedName name="total97">'[2]QRE''s'!$Q$96</definedName>
    <definedName name="total98">'[2]QRE''s'!$R$96</definedName>
    <definedName name="TP">'Attachment H-4A JCP&amp;L '!$I$175</definedName>
    <definedName name="TP_Footer_Path">"S:\04291\05ret\othsys\team\disclosure\"</definedName>
    <definedName name="TP_Footer_Path1" hidden="1">"S:\74639\03RET\(852) Pension Val - OOS\Contribution Allocations\"</definedName>
    <definedName name="TP_Footer_User">"Amy Conoscenti"</definedName>
    <definedName name="TP_Footer_Version">"v3.00"</definedName>
    <definedName name="TPLT">'[11]C. Input'!$F$161</definedName>
    <definedName name="TPLTXS">'[11]C. Input'!$F$164</definedName>
    <definedName name="TPR_TST">'[11]A.2 PTP'!$P$75</definedName>
    <definedName name="transmission.fixed.charge.rate">0.1525</definedName>
    <definedName name="TRB">'[11]A.2 PTP'!$P$165</definedName>
    <definedName name="TREV">'[11]C. Input'!$F$287</definedName>
    <definedName name="True_up">'[15]Appendix A'!$P$6</definedName>
    <definedName name="tsgsf">"467GDHUY063FE1Q3S2Y9KSMQ8"</definedName>
    <definedName name="TX">'[11]A.2 PTP'!$P$31</definedName>
    <definedName name="TXO">'[11]C. Input'!$F$215</definedName>
    <definedName name="TXP_TST">'[11]A.2 PTP'!$P$212</definedName>
    <definedName name="Typist" hidden="1">"b1"</definedName>
    <definedName name="tyty" hidden="1">{#N/A,#N/A,FALSE,"Monthly SAIFI";#N/A,#N/A,FALSE,"Yearly SAIFI";#N/A,#N/A,FALSE,"Monthly CAIDI";#N/A,#N/A,FALSE,"Yearly CAIDI";#N/A,#N/A,FALSE,"Monthly SAIDI";#N/A,#N/A,FALSE,"Yearly SAIDI";#N/A,#N/A,FALSE,"Monthly MAIFI";#N/A,#N/A,FALSE,"Yearly MAIFI";#N/A,#N/A,FALSE,"Monthly Cust &gt;=4 Int"}</definedName>
    <definedName name="URA">'[11]C. Input'!$F$337</definedName>
    <definedName name="v">[60]Cover!$A$9</definedName>
    <definedName name="valDate">[26]Inputs!$B$1</definedName>
    <definedName name="Value" hidden="1">{"assumptions",#N/A,FALSE,"Scenario 1";"valuation",#N/A,FALSE,"Scenario 1"}</definedName>
    <definedName name="vcbcvbcv" hidden="1">{#N/A,#N/A,FALSE,"Monthly SAIFI";#N/A,#N/A,FALSE,"Yearly SAIFI";#N/A,#N/A,FALSE,"Monthly CAIDI";#N/A,#N/A,FALSE,"Yearly CAIDI";#N/A,#N/A,FALSE,"Monthly SAIDI";#N/A,#N/A,FALSE,"Yearly SAIDI";#N/A,#N/A,FALSE,"Monthly MAIFI";#N/A,#N/A,FALSE,"Yearly MAIFI";#N/A,#N/A,FALSE,"Monthly Cust &gt;=4 Int"}</definedName>
    <definedName name="version">[61]Cover!$A$9</definedName>
    <definedName name="WADSWORTH">#REF!</definedName>
    <definedName name="WCCGCR2">[62]Rates!$B$96:$C$190</definedName>
    <definedName name="WCLTD">'Attachment H-4A JCP&amp;L '!$I$202</definedName>
    <definedName name="we">{"'Metretek HTML'!$A$7:$W$42"}</definedName>
    <definedName name="WEEK">[32]A!$Q$59</definedName>
    <definedName name="WELLINGTON">#REF!</definedName>
    <definedName name="wer" hidden="1">{#N/A,#N/A,FALSE,"Monthly SAIFI";#N/A,#N/A,FALSE,"Yearly SAIFI";#N/A,#N/A,FALSE,"Monthly CAIDI";#N/A,#N/A,FALSE,"Yearly CAIDI";#N/A,#N/A,FALSE,"Monthly SAIDI";#N/A,#N/A,FALSE,"Yearly SAIDI";#N/A,#N/A,FALSE,"Monthly MAIFI";#N/A,#N/A,FALSE,"Yearly MAIFI";#N/A,#N/A,FALSE,"Monthly Cust &gt;=4 Int"}</definedName>
    <definedName name="WFTSR">'[11]A.2 PTP'!$P$282</definedName>
    <definedName name="wh" hidden="1">{#N/A,#N/A,FALSE,"O&amp;M by processes";#N/A,#N/A,FALSE,"Elec Act vs Bud";#N/A,#N/A,FALSE,"G&amp;A";#N/A,#N/A,FALSE,"BGS";#N/A,#N/A,FALSE,"Res Cost"}</definedName>
    <definedName name="what" hidden="1">{#N/A,#N/A,FALSE,"O&amp;M by processes";#N/A,#N/A,FALSE,"Elec Act vs Bud";#N/A,#N/A,FALSE,"G&amp;A";#N/A,#N/A,FALSE,"BGS";#N/A,#N/A,FALSE,"Res Cost"}</definedName>
    <definedName name="Whatwhat" hidden="1">{#N/A,#N/A,FALSE,"O&amp;M by processes";#N/A,#N/A,FALSE,"Elec Act vs Bud";#N/A,#N/A,FALSE,"G&amp;A";#N/A,#N/A,FALSE,"BGS";#N/A,#N/A,FALSE,"Res Cost"}</definedName>
    <definedName name="who" hidden="1">{#N/A,#N/A,FALSE,"O&amp;M by processes";#N/A,#N/A,FALSE,"Elec Act vs Bud";#N/A,#N/A,FALSE,"G&amp;A";#N/A,#N/A,FALSE,"BGS";#N/A,#N/A,FALSE,"Res Cost"}</definedName>
    <definedName name="whowho" hidden="1">{#N/A,#N/A,FALSE,"O&amp;M by processes";#N/A,#N/A,FALSE,"Elec Act vs Bud";#N/A,#N/A,FALSE,"G&amp;A";#N/A,#N/A,FALSE,"BGS";#N/A,#N/A,FALSE,"Res Cost"}</definedName>
    <definedName name="whwh" hidden="1">{#N/A,#N/A,FALSE,"O&amp;M by processes";#N/A,#N/A,FALSE,"Elec Act vs Bud";#N/A,#N/A,FALSE,"G&amp;A";#N/A,#N/A,FALSE,"BGS";#N/A,#N/A,FALSE,"Res Cost"}</definedName>
    <definedName name="why" hidden="1">{#N/A,#N/A,FALSE,"O&amp;M by processes";#N/A,#N/A,FALSE,"Elec Act vs Bud";#N/A,#N/A,FALSE,"G&amp;A";#N/A,#N/A,FALSE,"BGS";#N/A,#N/A,FALSE,"Res Cost"}</definedName>
    <definedName name="WO_Description">'[63]WO Info'!$A$1:$F$17972</definedName>
    <definedName name="wrn" hidden="1">{#N/A,#N/A,FALSE,"O&amp;M by processes";#N/A,#N/A,FALSE,"Elec Act vs Bud";#N/A,#N/A,FALSE,"G&amp;A";#N/A,#N/A,FALSE,"BGS";#N/A,#N/A,FALSE,"Res Cost"}</definedName>
    <definedName name="wrn.722." hidden="1">{#N/A,#N/A,FALSE,"CURRENT"}</definedName>
    <definedName name="wrn.Aging._.and._.Trend._.Analysis." hidden="1">{#N/A,#N/A,FALSE,"Aging Summary";#N/A,#N/A,FALSE,"Ratio Analysis";#N/A,#N/A,FALSE,"Test 120 Day Accts";#N/A,#N/A,FALSE,"Tickmarks"}</definedName>
    <definedName name="wrn.AGT." hidden="1">{"AGT",#N/A,FALSE,"Revenue"}</definedName>
    <definedName name="wrn.All._.Pages." hidden="1">{#N/A,#N/A,FALSE,"Cover";#N/A,#N/A,FALSE,"Lead Sheet";#N/A,#N/A,FALSE,"T-Accounts";#N/A,#N/A,FALSE,"Ins &amp; Prem ActualEstimates"}</definedName>
    <definedName name="wrn.ARKANSAS." hidden="1">{#N/A,#N/A,FALSE,"LOCAL.XLS"}</definedName>
    <definedName name="wrn.ARREC." hidden="1">{#N/A,#N/A,FALSE,"ARREC"}</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hidden="1">{#N/A,#N/A,FALSE,"O&amp;M by processes";#N/A,#N/A,FALSE,"Elec Act vs Bud";#N/A,#N/A,FALSE,"G&amp;A";#N/A,#N/A,FALSE,"BGS";#N/A,#N/A,FALSE,"Res Cost"}</definedName>
    <definedName name="wrn.ChartSet." hidden="1">{#N/A,#N/A,FALSE,"Elec Deliv";#N/A,#N/A,FALSE,"Atlantic Pie";#N/A,#N/A,FALSE,"Bay Pie";#N/A,#N/A,FALSE,"New Castle Pie";#N/A,#N/A,FALSE,"Transmission Pie"}</definedName>
    <definedName name="wrn.CP._.Demand." hidden="1">{"Retail CP pg1",#N/A,FALSE,"FACTOR3";"Retail CP pg2",#N/A,FALSE,"FACTOR3";"Retail CP pg3",#N/A,FALSE,"FACTOR3"}</definedName>
    <definedName name="wrn.CP._.Demand2." hidden="1">{"Retail CP pg1",#N/A,FALSE,"FACTOR3";"Retail CP pg2",#N/A,FALSE,"FACTOR3";"Retail CP pg3",#N/A,FALSE,"FACTOR3"}</definedName>
    <definedName name="wrn.Data._.dump." hidden="1">{"Input Data",#N/A,FALSE,"Input";"Income and Cash Flow",#N/A,FALSE,"Calculations"}</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EMPPAY." hidden="1">{#N/A,#N/A,FALSE,"EMPPAY"}</definedName>
    <definedName name="wrn.Factors._.Tab._.10." hidden="1">{"Factors Pages 1-2",#N/A,FALSE,"Factors";"Factors Page 3",#N/A,FALSE,"Factors";"Factors Page 4",#N/A,FALSE,"Factors";"Factors Page 5",#N/A,FALSE,"Factors";"Factors Pages 8-27",#N/A,FALSE,"Factors"}</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hidden="1">{"Print Empty Template",#N/A,FALSE,"Input"}</definedName>
    <definedName name="wrn.HLP._.Detail." hidden="1">{"2002 - 2006 Detail Income Statement",#N/A,FALSE,"TUB Income Statement wo DW";"BGS Deferral",#N/A,FALSE,"BGS Deferral";"NNC Deferral",#N/A,FALSE,"NNC Deferral";"MTC Deferral",#N/A,FALSE,"MTC Deferral";#N/A,#N/A,FALSE,"Schedule D"}</definedName>
    <definedName name="wrn.inventory." hidden="1">{"summary",#N/A,TRUE,"Coal Inventory Summary";"view 1",#N/A,TRUE,"Coal Inv. By Station";"view 2",#N/A,TRUE,"Coal inv by sta 2";"view 3",#N/A,TRUE,"Coal inv by sta 3";"oil",#N/A,TRUE,"Oil Purchases"}</definedName>
    <definedName name="wrn.IPO._.Valuation." hidden="1">{"assumptions",#N/A,FALSE,"Scenario 1";"valuation",#N/A,FALSE,"Scenario 1"}</definedName>
    <definedName name="wrn.LBO._.Summary." hidden="1">{"LBO Summary",#N/A,FALSE,"Summary"}</definedName>
    <definedName name="wrn.LOUISIANA." hidden="1">{#N/A,#N/A,FALSE,"LOCAL.XLS"}</definedName>
    <definedName name="wrn.OR._.Carrying._.Charge._.JV."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All." hidden="1">{#N/A,#N/A,FALSE,"Monthly SAIFI";#N/A,#N/A,FALSE,"Yearly SAIFI";#N/A,#N/A,FALSE,"Monthly CAIDI";#N/A,#N/A,FALSE,"Yearly CAIDI";#N/A,#N/A,FALSE,"Monthly SAIDI";#N/A,#N/A,FALSE,"Yearly SAIDI";#N/A,#N/A,FALSE,"Monthly MAIFI";#N/A,#N/A,FALSE,"Yearly MAIFI";#N/A,#N/A,FALSE,"Monthly Cust &gt;=4 Int"}</definedName>
    <definedName name="wrn.privatelecform." hidden="1">{#N/A,#N/A,FALSE,"TD 1";#N/A,#N/A,FALSE,"TD 2";#N/A,#N/A,FALSE,"TD 3";#N/A,#N/A,FALSE,"TD 4";#N/A,#N/A,FALSE,"TD 5A";#N/A,#N/A,FALSE,"TD 5B";#N/A,#N/A,FALSE,"TD 6A";#N/A,#N/A,FALSE,"TD 6B";#N/A,#N/A,FALSE,"TD 7";#N/A,#N/A,FALSE,"TD 8";#N/A,#N/A,FALSE,"TD 9A";#N/A,#N/A,FALSE,"TD 9B";#N/A,#N/A,FALSE,"TD 10";#N/A,#N/A,FALSE,"TD 11";#N/A,#N/A,FALSE,"TD 12";#N/A,#N/A,FALSE,"TD DEC"}</definedName>
    <definedName name="wrn.Receipt._.Stats." hidden="1">{"CM Dollars",#N/A,FALSE,"Rec Dollars";"YTD Dollars",#N/A,FALSE,"Rec Dollars";"CM Rec Stats",#N/A,FALSE,"Rec Dollars";"YTD Rec Stats",#N/A,FALSE,"Rec Dollars"}</definedName>
    <definedName name="wrn.Report." hidden="1">{#N/A,#N/A,FALSE,"Work performed";#N/A,#N/A,FALSE,"Resources"}</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ALES._.VAR._.95._.BUDGET." hidden="1">{"PRINT",#N/A,TRUE,"APPA";"PRINT",#N/A,TRUE,"APS";"PRINT",#N/A,TRUE,"BHPL";"PRINT",#N/A,TRUE,"BHPL2";"PRINT",#N/A,TRUE,"CDWR";"PRINT",#N/A,TRUE,"EWEB";"PRINT",#N/A,TRUE,"LADWP";"PRINT",#N/A,TRUE,"NEVBASE"}</definedName>
    <definedName name="wrn.summary." hidden="1">{#N/A,#N/A,FALSE,"AP&amp;L"}</definedName>
    <definedName name="wrn.Supporting._.Calculations." hidden="1">{#N/A,#N/A,FALSE,"Work performed";#N/A,#N/A,FALSE,"Resources"}</definedName>
    <definedName name="wrn.Tax._.Accrual." hidden="1">{#N/A,#N/A,TRUE,"TAXPROV";#N/A,#N/A,TRUE,"FLOWTHRU";#N/A,#N/A,TRUE,"SCHEDULE M'S";#N/A,#N/A,TRUE,"PLANT M'S";#N/A,#N/A,TRUE,"TAXJE"}</definedName>
    <definedName name="wrn.YearEnd." hidden="1">{"Factors Pages 1-2",#N/A,FALSE,"Variables";"Factors Page 3",#N/A,FALSE,"Variables";"Factors Page 4",#N/A,FALSE,"Variables";"Factors Page 5",#N/A,FALSE,"Variables";"YE Pages 7-26",#N/A,FALSE,"Variables"}</definedName>
    <definedName name="WS">'Attachment H-4A JCP&amp;L '!$I$192</definedName>
    <definedName name="xa">{"'Metretek HTML'!$A$7:$W$42"}</definedName>
    <definedName name="Xcel">'[64]Data Entry and Forecaster'!#REF!</definedName>
    <definedName name="Xcel_COS">#REF!</definedName>
    <definedName name="xls">{"'Metretek HTML'!$A$7:$W$42"}</definedName>
    <definedName name="XO">{"'Metretek HTML'!$A$7:$W$42"}</definedName>
    <definedName name="xs">{"'Metretek HTML'!$A$7:$W$42"}</definedName>
    <definedName name="xx">{"'Metretek HTML'!$A$7:$W$42"}</definedName>
    <definedName name="xxx" hidden="1">{#N/A,#N/A,FALSE,"O&amp;M by processes";#N/A,#N/A,FALSE,"Elec Act vs Bud";#N/A,#N/A,FALSE,"G&amp;A";#N/A,#N/A,FALSE,"BGS";#N/A,#N/A,FALSE,"Res Cost"}</definedName>
    <definedName name="xxxx" hidden="1">{#N/A,#N/A,FALSE,"O&amp;M by processes";#N/A,#N/A,FALSE,"Elec Act vs Bud";#N/A,#N/A,FALSE,"G&amp;A";#N/A,#N/A,FALSE,"BGS";#N/A,#N/A,FALSE,"Res Cost"}</definedName>
    <definedName name="xxxxxxx">{"'Metretek HTML'!$A$7:$W$42"}</definedName>
    <definedName name="XXXXXXXXXXXXXX">{"'Metretek HTML'!$A$7:$W$42"}</definedName>
    <definedName name="xy">{"'Metretek HTML'!$A$7:$W$42"}</definedName>
    <definedName name="XZ">{"'Metretek HTML'!$A$7:$W$42"}</definedName>
    <definedName name="y" hidden="1">{#N/A,#N/A,FALSE,"Monthly SAIFI";#N/A,#N/A,FALSE,"Yearly SAIFI";#N/A,#N/A,FALSE,"Monthly CAIDI";#N/A,#N/A,FALSE,"Yearly CAIDI";#N/A,#N/A,FALSE,"Monthly SAIDI";#N/A,#N/A,FALSE,"Yearly SAIDI";#N/A,#N/A,FALSE,"Monthly MAIFI";#N/A,#N/A,FALSE,"Yearly MAIFI";#N/A,#N/A,FALSE,"Monthly Cust &gt;=4 Int"}</definedName>
    <definedName name="YEAR1">[65]INPUTS!$C$17</definedName>
    <definedName name="yrtm1">[2]Print!$I$31</definedName>
    <definedName name="yrtm2">[2]Print!$G$31</definedName>
    <definedName name="yrtm3">[2]Print!$E$31</definedName>
    <definedName name="yrtm4">[2]Print!$C$31</definedName>
    <definedName name="yryryrr" hidden="1">{#N/A,#N/A,FALSE,"Monthly SAIFI";#N/A,#N/A,FALSE,"Yearly SAIFI";#N/A,#N/A,FALSE,"Monthly CAIDI";#N/A,#N/A,FALSE,"Yearly CAIDI";#N/A,#N/A,FALSE,"Monthly SAIDI";#N/A,#N/A,FALSE,"Yearly SAIDI";#N/A,#N/A,FALSE,"Monthly MAIFI";#N/A,#N/A,FALSE,"Yearly MAIFI";#N/A,#N/A,FALSE,"Monthly Cust &gt;=4 Int"}</definedName>
    <definedName name="yy">{"'Metretek HTML'!$A$7:$W$42"}</definedName>
    <definedName name="z" hidden="1">{#N/A,#N/A,FALSE,"Monthly SAIFI";#N/A,#N/A,FALSE,"Yearly SAIFI";#N/A,#N/A,FALSE,"Monthly CAIDI";#N/A,#N/A,FALSE,"Yearly CAIDI";#N/A,#N/A,FALSE,"Monthly SAIDI";#N/A,#N/A,FALSE,"Yearly SAIDI";#N/A,#N/A,FALSE,"Monthly MAIFI";#N/A,#N/A,FALSE,"Yearly MAIFI";#N/A,#N/A,FALSE,"Monthly Cust &gt;=4 Int"}</definedName>
    <definedName name="Z_28948E05_8F34_4F1E_96FB_A80A6A844600_.wvu.Cols" localSheetId="13" hidden="1">'Attachment 11 - TEC'!#REF!</definedName>
    <definedName name="Z_28948E05_8F34_4F1E_96FB_A80A6A844600_.wvu.Cols" localSheetId="15" hidden="1">'Attachment 12 - TEC True-up'!#REF!</definedName>
    <definedName name="Z_28948E05_8F34_4F1E_96FB_A80A6A844600_.wvu.PrintTitles" localSheetId="13" hidden="1">'Attachment 11 - TEC'!$C:$D</definedName>
    <definedName name="Z_28948E05_8F34_4F1E_96FB_A80A6A844600_.wvu.PrintTitles" localSheetId="15" hidden="1">'Attachment 12 - TEC True-up'!$C:$D</definedName>
    <definedName name="Z_28948E05_8F34_4F1E_96FB_A80A6A844600_.wvu.Rows" localSheetId="2" hidden="1">'Attachment 2 - Incentive ROE'!#REF!,'Attachment 2 - Incentive ROE'!#REF!</definedName>
    <definedName name="Z_3A38DF7A_C35E_4DD3_9893_26310A3EF836_.wvu.Cols" localSheetId="13" hidden="1">'Attachment 11 - TEC'!#REF!</definedName>
    <definedName name="Z_3A38DF7A_C35E_4DD3_9893_26310A3EF836_.wvu.Cols" localSheetId="15" hidden="1">'Attachment 12 - TEC True-up'!#REF!</definedName>
    <definedName name="Z_3A38DF7A_C35E_4DD3_9893_26310A3EF836_.wvu.PrintTitles" localSheetId="13" hidden="1">'Attachment 11 - TEC'!$C:$D</definedName>
    <definedName name="Z_3A38DF7A_C35E_4DD3_9893_26310A3EF836_.wvu.PrintTitles" localSheetId="15" hidden="1">'Attachment 12 - TEC True-up'!$C:$D</definedName>
    <definedName name="Z_3A38DF7A_C35E_4DD3_9893_26310A3EF836_.wvu.Rows" localSheetId="2" hidden="1">'Attachment 2 - Incentive ROE'!#REF!</definedName>
    <definedName name="Z_4C7C2344_134C_465A_ADEB_A5E96AAE2308_.wvu.Cols" localSheetId="13" hidden="1">'Attachment 11 - TEC'!#REF!</definedName>
    <definedName name="Z_4C7C2344_134C_465A_ADEB_A5E96AAE2308_.wvu.Cols" localSheetId="15" hidden="1">'Attachment 12 - TEC True-up'!#REF!</definedName>
    <definedName name="Z_4C7C2344_134C_465A_ADEB_A5E96AAE2308_.wvu.PrintTitles" localSheetId="13" hidden="1">'Attachment 11 - TEC'!$C:$D</definedName>
    <definedName name="Z_4C7C2344_134C_465A_ADEB_A5E96AAE2308_.wvu.PrintTitles" localSheetId="15" hidden="1">'Attachment 12 - TEC True-up'!$C:$D</definedName>
    <definedName name="Z_4C7C2344_134C_465A_ADEB_A5E96AAE2308_.wvu.Rows" localSheetId="2" hidden="1">'Attachment 2 - Incentive ROE'!#REF!</definedName>
    <definedName name="Z_71B42B22_A376_44B5_B0C1_23FC1AA3DBA2_.wvu.Cols" localSheetId="13" hidden="1">'Attachment 11 - TEC'!#REF!</definedName>
    <definedName name="Z_71B42B22_A376_44B5_B0C1_23FC1AA3DBA2_.wvu.Cols" localSheetId="15" hidden="1">'Attachment 12 - TEC True-up'!#REF!</definedName>
    <definedName name="Z_71B42B22_A376_44B5_B0C1_23FC1AA3DBA2_.wvu.PrintTitles" localSheetId="13" hidden="1">'Attachment 11 - TEC'!$C:$D</definedName>
    <definedName name="Z_71B42B22_A376_44B5_B0C1_23FC1AA3DBA2_.wvu.PrintTitles" localSheetId="15" hidden="1">'Attachment 12 - TEC True-up'!$C:$D</definedName>
    <definedName name="Z_71B42B22_A376_44B5_B0C1_23FC1AA3DBA2_.wvu.Rows" localSheetId="2" hidden="1">'Attachment 2 - Incentive ROE'!#REF!,'Attachment 2 - Incentive ROE'!#REF!</definedName>
    <definedName name="Z_DA967730_B71F_4038_B1B7_9D4790729C5D_.wvu.Cols" localSheetId="13" hidden="1">'Attachment 11 - TEC'!#REF!</definedName>
    <definedName name="Z_DA967730_B71F_4038_B1B7_9D4790729C5D_.wvu.Cols" localSheetId="15" hidden="1">'Attachment 12 - TEC True-up'!#REF!</definedName>
    <definedName name="Z_DA967730_B71F_4038_B1B7_9D4790729C5D_.wvu.PrintTitles" localSheetId="13" hidden="1">'Attachment 11 - TEC'!$C:$D</definedName>
    <definedName name="Z_DA967730_B71F_4038_B1B7_9D4790729C5D_.wvu.PrintTitles" localSheetId="15" hidden="1">'Attachment 12 - TEC True-up'!$C:$D</definedName>
    <definedName name="Z_DA967730_B71F_4038_B1B7_9D4790729C5D_.wvu.Rows" localSheetId="2" hidden="1">'Attachment 2 - Incentive ROE'!#REF!</definedName>
    <definedName name="Z_DC91DEF3_837B_4BB9_A81E_3B78C5914E6C_.wvu.Cols" localSheetId="13" hidden="1">'Attachment 11 - TEC'!#REF!</definedName>
    <definedName name="Z_DC91DEF3_837B_4BB9_A81E_3B78C5914E6C_.wvu.Cols" localSheetId="15" hidden="1">'Attachment 12 - TEC True-up'!#REF!</definedName>
    <definedName name="Z_DC91DEF3_837B_4BB9_A81E_3B78C5914E6C_.wvu.PrintTitles" localSheetId="13" hidden="1">'Attachment 11 - TEC'!$C:$D</definedName>
    <definedName name="Z_DC91DEF3_837B_4BB9_A81E_3B78C5914E6C_.wvu.PrintTitles" localSheetId="15" hidden="1">'Attachment 12 - TEC True-up'!$C:$D</definedName>
    <definedName name="Z_DC91DEF3_837B_4BB9_A81E_3B78C5914E6C_.wvu.Rows" localSheetId="2" hidden="1">'Attachment 2 - Incentive ROE'!#REF!</definedName>
    <definedName name="Z_E1861F40_EBD5_44AE_868B_FDE0ED504D72_.wvu.PrintArea" localSheetId="1" hidden="1">'Attachment 1 - Sched 1A'!$B$1:$I$18</definedName>
    <definedName name="Z_E1861F40_EBD5_44AE_868B_FDE0ED504D72_.wvu.PrintArea" localSheetId="13" hidden="1">'Attachment 11 - TEC'!$A$1:$N$88</definedName>
    <definedName name="Z_E1861F40_EBD5_44AE_868B_FDE0ED504D72_.wvu.PrintArea" localSheetId="15" hidden="1">'Attachment 12 - TEC True-up'!$A$1:$L$45</definedName>
    <definedName name="Z_E1861F40_EBD5_44AE_868B_FDE0ED504D72_.wvu.PrintArea" localSheetId="0" hidden="1">'Attachment H-4A JCP&amp;L '!$A$1:$K$263</definedName>
    <definedName name="Z_E1861F40_EBD5_44AE_868B_FDE0ED504D72_.wvu.PrintTitles" localSheetId="13" hidden="1">'Attachment 11 - TEC'!$C:$D</definedName>
    <definedName name="Z_E1861F40_EBD5_44AE_868B_FDE0ED504D72_.wvu.PrintTitles" localSheetId="15" hidden="1">'Attachment 12 - TEC True-up'!$C:$D</definedName>
    <definedName name="Z_F96D6087_3330_4A81_95EC_26BA83722A49_.wvu.Cols" localSheetId="13" hidden="1">'Attachment 11 - TEC'!#REF!</definedName>
    <definedName name="Z_F96D6087_3330_4A81_95EC_26BA83722A49_.wvu.Cols" localSheetId="15" hidden="1">'Attachment 12 - TEC True-up'!#REF!</definedName>
    <definedName name="Z_F96D6087_3330_4A81_95EC_26BA83722A49_.wvu.PrintTitles" localSheetId="13" hidden="1">'Attachment 11 - TEC'!$C:$D</definedName>
    <definedName name="Z_F96D6087_3330_4A81_95EC_26BA83722A49_.wvu.PrintTitles" localSheetId="15" hidden="1">'Attachment 12 - TEC True-up'!$C:$D</definedName>
    <definedName name="Z_F96D6087_3330_4A81_95EC_26BA83722A49_.wvu.Rows" localSheetId="2" hidden="1">'Attachment 2 - Incentive ROE'!#REF!</definedName>
    <definedName name="Z_FAAD9AAC_1337_43AB_BF1F_CCF9DFCF5B78_.wvu.Cols" localSheetId="13" hidden="1">'Attachment 11 - TEC'!#REF!</definedName>
    <definedName name="Z_FAAD9AAC_1337_43AB_BF1F_CCF9DFCF5B78_.wvu.Cols" localSheetId="15" hidden="1">'Attachment 12 - TEC True-up'!#REF!</definedName>
    <definedName name="Z_FAAD9AAC_1337_43AB_BF1F_CCF9DFCF5B78_.wvu.PrintTitles" localSheetId="13" hidden="1">'Attachment 11 - TEC'!$C:$D</definedName>
    <definedName name="Z_FAAD9AAC_1337_43AB_BF1F_CCF9DFCF5B78_.wvu.PrintTitles" localSheetId="15" hidden="1">'Attachment 12 - TEC True-up'!$C:$D</definedName>
    <definedName name="Z_FAAD9AAC_1337_43AB_BF1F_CCF9DFCF5B78_.wvu.Rows" localSheetId="2" hidden="1">'Attachment 2 - Incentive ROE'!#REF!</definedName>
    <definedName name="zero">0</definedName>
    <definedName name="Zone_Inputs">'[41]Attachment O'!$I$19,'[41]Attachment O'!$I$24,'[41]Attachment O'!$D$36:$D$37,'[41]Attachment O'!$D$82:$D$86,'[41]Attachment O'!$D$90:$D$94,'[41]Attachment O'!$D$106:$D$112,'[41]Attachment O'!$D$116,'[41]Attachment O'!$D$120:$D$121,'[41]Attachment O'!$D$139:$D$146,'[41]Attachment O'!$D$150:$D$154,'[41]Attachment O'!$D$159:$D$160,'[41]Attachment O'!$D$162:$D$165,'[41]Attachment O'!$D$174,'[41]Attachment O'!$D$174,'[41]Attachment O'!$D$178,'[41]Attachment O'!$I$188,'[41]Attachment O'!$D$188,'[41]Attachment O'!$D$192,'[41]Attachment O'!$I$192,'[41]Attachment O'!$I$207:$I$208,'[41]Attachment O'!$D$214:$D$217,'[41]Attachment O'!$D$221:$D$223,'[41]Attachment O'!$I$227,'[41]Attachment O'!$I$229,'[41]Attachment O'!$I$232,'[41]Attachment O'!$D$238:$D$239,'[41]Attachment O'!$I$243,'[41]Attachment O'!$I$246:$I$249,'[41]Attachment O'!$D$280:$D$282</definedName>
  </definedNames>
  <calcPr calcId="191029"/>
  <customWorkbookViews>
    <customWorkbookView name="Schock, Michael C - Personal View" guid="{E1861F40-EBD5-44AE-868B-FDE0ED504D72}" mergeInterval="0" personalView="1" maximized="1" xWindow="-8" yWindow="-8" windowWidth="1696" windowHeight="1026" tabRatio="928" activeSheetId="1"/>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37" i="60" l="1"/>
  <c r="L20" i="60"/>
  <c r="Z72" i="68" l="1"/>
  <c r="Z70" i="68"/>
  <c r="K56" i="51" l="1"/>
  <c r="J56" i="51"/>
  <c r="U104" i="70" l="1"/>
  <c r="R104" i="70"/>
  <c r="O104" i="70"/>
  <c r="L104" i="70"/>
  <c r="I104" i="70"/>
  <c r="U95" i="70"/>
  <c r="A93" i="70"/>
  <c r="A94" i="70"/>
  <c r="U45" i="70"/>
  <c r="R45" i="70"/>
  <c r="O45" i="70"/>
  <c r="L45" i="70"/>
  <c r="I45" i="70"/>
  <c r="U43" i="70"/>
  <c r="R43" i="70"/>
  <c r="O43" i="70"/>
  <c r="L43" i="70"/>
  <c r="I43" i="70"/>
  <c r="Q34" i="68" l="1"/>
  <c r="Q35" i="68"/>
  <c r="I59" i="68" l="1"/>
  <c r="I63" i="68"/>
  <c r="W48" i="68" l="1"/>
  <c r="G34" i="70"/>
  <c r="W34" i="70" l="1"/>
  <c r="I80" i="70" l="1"/>
  <c r="I44" i="70"/>
  <c r="I42" i="70"/>
  <c r="R44" i="70"/>
  <c r="U102" i="70" l="1"/>
  <c r="R102" i="70"/>
  <c r="O102" i="70"/>
  <c r="L102" i="70"/>
  <c r="I102" i="70"/>
  <c r="U101" i="70"/>
  <c r="R101" i="70"/>
  <c r="L101" i="70"/>
  <c r="O101" i="70"/>
  <c r="I101" i="70"/>
  <c r="U82" i="70" l="1"/>
  <c r="R82" i="70"/>
  <c r="O82" i="70"/>
  <c r="L82" i="70"/>
  <c r="I82" i="70"/>
  <c r="U81" i="70"/>
  <c r="R81" i="70"/>
  <c r="O81" i="70"/>
  <c r="L81" i="70"/>
  <c r="I81" i="70"/>
  <c r="U80" i="70"/>
  <c r="R80" i="70"/>
  <c r="O80" i="70"/>
  <c r="L80" i="70"/>
  <c r="U44" i="70"/>
  <c r="O44" i="70"/>
  <c r="L44" i="70"/>
  <c r="U42" i="70"/>
  <c r="R42" i="70"/>
  <c r="O42" i="70"/>
  <c r="L42" i="70"/>
  <c r="G72" i="70"/>
  <c r="W72" i="70" l="1"/>
  <c r="W52" i="42" l="1"/>
  <c r="I52" i="42"/>
  <c r="U21" i="42"/>
  <c r="S24" i="42"/>
  <c r="I25" i="42"/>
  <c r="C17" i="42"/>
  <c r="G16" i="56" l="1"/>
  <c r="A12" i="56"/>
  <c r="A13" i="56" s="1"/>
  <c r="A14" i="56" s="1"/>
  <c r="A15" i="56" s="1"/>
  <c r="A11" i="56"/>
  <c r="C7" i="64" l="1"/>
  <c r="AG36" i="55" l="1"/>
  <c r="H41" i="14" l="1"/>
  <c r="E14" i="51" l="1"/>
  <c r="L74" i="70"/>
  <c r="F34" i="6" l="1"/>
  <c r="G20" i="6" l="1"/>
  <c r="G17" i="6"/>
  <c r="G19" i="6"/>
  <c r="G18" i="6"/>
  <c r="Z34" i="68"/>
  <c r="Z27" i="68"/>
  <c r="G28" i="70"/>
  <c r="W28" i="70" l="1"/>
  <c r="Q24" i="42" l="1"/>
  <c r="U24" i="42" l="1"/>
  <c r="Q23" i="42"/>
  <c r="K24" i="42"/>
  <c r="I24" i="42"/>
  <c r="I23" i="42"/>
  <c r="U23" i="42"/>
  <c r="Y51" i="42"/>
  <c r="Y50" i="42"/>
  <c r="W51" i="42"/>
  <c r="S51" i="42"/>
  <c r="S50" i="42"/>
  <c r="Q52" i="42"/>
  <c r="Q51" i="42"/>
  <c r="M52" i="42"/>
  <c r="K52" i="42"/>
  <c r="G51" i="42"/>
  <c r="D51" i="42"/>
  <c r="D50" i="42"/>
  <c r="B51" i="42"/>
  <c r="A51" i="42"/>
  <c r="A50" i="42"/>
  <c r="W50" i="42"/>
  <c r="M25" i="42" l="1"/>
  <c r="Q21" i="42"/>
  <c r="J16" i="22" l="1"/>
  <c r="A10" i="56" l="1"/>
  <c r="I52" i="59" l="1"/>
  <c r="F50" i="51" l="1"/>
  <c r="F67" i="51"/>
  <c r="I15" i="51"/>
  <c r="G15" i="51"/>
  <c r="E15" i="51"/>
  <c r="I14" i="51"/>
  <c r="G14" i="51"/>
  <c r="K71" i="51" l="1"/>
  <c r="J73" i="51"/>
  <c r="I56" i="51"/>
  <c r="K69" i="51" l="1"/>
  <c r="K67" i="51"/>
  <c r="K73" i="51" l="1"/>
  <c r="F11" i="51" l="1"/>
  <c r="H11" i="51" s="1"/>
  <c r="J11" i="51" s="1"/>
  <c r="L11" i="51" s="1"/>
  <c r="R47" i="70" l="1"/>
  <c r="I47" i="70"/>
  <c r="L47" i="70"/>
  <c r="Z63" i="68" l="1"/>
  <c r="Z59" i="68"/>
  <c r="AI12" i="54" l="1"/>
  <c r="AG17" i="54" l="1"/>
  <c r="AG20" i="54"/>
  <c r="I20" i="54"/>
  <c r="I95" i="70"/>
  <c r="R95" i="70"/>
  <c r="U74" i="70"/>
  <c r="G82" i="70"/>
  <c r="W82" i="70" l="1"/>
  <c r="E8" i="13" l="1"/>
  <c r="I84" i="70"/>
  <c r="L84" i="70"/>
  <c r="O84" i="70"/>
  <c r="R84" i="70"/>
  <c r="L95" i="70" l="1"/>
  <c r="O95" i="70"/>
  <c r="R74" i="70"/>
  <c r="O74" i="70"/>
  <c r="I74" i="70"/>
  <c r="O47" i="70"/>
  <c r="I36" i="70"/>
  <c r="L36" i="70"/>
  <c r="O36" i="70"/>
  <c r="R36" i="70"/>
  <c r="U36" i="70"/>
  <c r="G33" i="70"/>
  <c r="G35" i="70"/>
  <c r="G32" i="70"/>
  <c r="W32" i="70" l="1"/>
  <c r="W33" i="70"/>
  <c r="W35" i="70"/>
  <c r="Z43" i="68" l="1"/>
  <c r="Z28" i="68"/>
  <c r="Z29" i="68"/>
  <c r="Q28" i="68"/>
  <c r="Q29" i="68"/>
  <c r="I28" i="68"/>
  <c r="U28" i="68" s="1"/>
  <c r="I29" i="68"/>
  <c r="U29" i="68" s="1"/>
  <c r="I21" i="68"/>
  <c r="U21" i="68" s="1"/>
  <c r="C31" i="68"/>
  <c r="I105" i="70" l="1"/>
  <c r="G21" i="70"/>
  <c r="G22" i="70"/>
  <c r="W22" i="70" l="1"/>
  <c r="W21" i="70"/>
  <c r="E31" i="64" l="1"/>
  <c r="E41" i="64" s="1"/>
  <c r="E28" i="64"/>
  <c r="E25" i="64"/>
  <c r="E22" i="64"/>
  <c r="E16" i="64"/>
  <c r="E13" i="64"/>
  <c r="E10" i="64"/>
  <c r="E7" i="64"/>
  <c r="C7" i="71" l="1"/>
  <c r="I32" i="59" l="1"/>
  <c r="G41" i="14" l="1"/>
  <c r="Q59" i="68" l="1"/>
  <c r="S59" i="68" s="1"/>
  <c r="Z12" i="68"/>
  <c r="I12" i="68"/>
  <c r="U12" i="68" s="1"/>
  <c r="Q12" i="68"/>
  <c r="G188" i="1" l="1"/>
  <c r="J11" i="22" l="1"/>
  <c r="J13" i="22"/>
  <c r="J21" i="22"/>
  <c r="J9" i="22"/>
  <c r="G25" i="61"/>
  <c r="G190" i="1" l="1"/>
  <c r="E11" i="67"/>
  <c r="A19" i="57" l="1"/>
  <c r="W47" i="42"/>
  <c r="G50" i="42" l="1"/>
  <c r="G49" i="42"/>
  <c r="D49" i="42"/>
  <c r="D47" i="42"/>
  <c r="U110" i="70"/>
  <c r="R105" i="70"/>
  <c r="L105" i="70"/>
  <c r="U52" i="70"/>
  <c r="W46" i="42" l="1"/>
  <c r="W48" i="42"/>
  <c r="W49" i="42"/>
  <c r="AO13" i="65" l="1"/>
  <c r="AO12" i="65"/>
  <c r="G47" i="42"/>
  <c r="AI13" i="55"/>
  <c r="AI31" i="55"/>
  <c r="AR13" i="65"/>
  <c r="AI25" i="55"/>
  <c r="AI18" i="55"/>
  <c r="AI43" i="55"/>
  <c r="AI42" i="55"/>
  <c r="AI19" i="55"/>
  <c r="AI12" i="55"/>
  <c r="AR12" i="65"/>
  <c r="AI24" i="55"/>
  <c r="AI37" i="55"/>
  <c r="AI30" i="55"/>
  <c r="AT12" i="65" l="1"/>
  <c r="AT13" i="65"/>
  <c r="O52" i="42"/>
  <c r="G48" i="42"/>
  <c r="G46" i="42"/>
  <c r="D48" i="42"/>
  <c r="D46" i="42"/>
  <c r="B49" i="42"/>
  <c r="B46" i="42"/>
  <c r="B47" i="42"/>
  <c r="B50" i="42"/>
  <c r="B48" i="42"/>
  <c r="AT14" i="65" l="1"/>
  <c r="I110" i="70"/>
  <c r="O105" i="70"/>
  <c r="U58" i="70"/>
  <c r="R58" i="70"/>
  <c r="O58" i="70"/>
  <c r="L58" i="70"/>
  <c r="I58" i="70"/>
  <c r="L52" i="70"/>
  <c r="R52" i="70"/>
  <c r="O52" i="70"/>
  <c r="I52" i="70"/>
  <c r="Q45" i="68" l="1"/>
  <c r="Q14" i="68"/>
  <c r="Q40" i="68"/>
  <c r="I7" i="64"/>
  <c r="AI13" i="54" l="1"/>
  <c r="D5" i="61"/>
  <c r="E5" i="61" s="1"/>
  <c r="G5" i="61" s="1"/>
  <c r="I5" i="61" s="1"/>
  <c r="E35" i="61"/>
  <c r="E28" i="61"/>
  <c r="E21" i="61"/>
  <c r="E14" i="61"/>
  <c r="G26" i="61"/>
  <c r="G18" i="61"/>
  <c r="G11" i="61"/>
  <c r="G12" i="61"/>
  <c r="G32" i="61"/>
  <c r="G19" i="61"/>
  <c r="G33" i="61"/>
  <c r="I33" i="61" l="1"/>
  <c r="I32" i="61"/>
  <c r="I26" i="61"/>
  <c r="I25" i="61"/>
  <c r="I19" i="61"/>
  <c r="I18" i="61"/>
  <c r="I11" i="61"/>
  <c r="I12" i="61"/>
  <c r="I28" i="61" l="1"/>
  <c r="I21" i="61"/>
  <c r="I35" i="61"/>
  <c r="I14" i="61"/>
  <c r="I37" i="61" l="1"/>
  <c r="D192" i="1" l="1"/>
  <c r="AG12" i="55" l="1"/>
  <c r="AK12" i="55" s="1"/>
  <c r="I17" i="54" l="1"/>
  <c r="AI17" i="54" s="1"/>
  <c r="E42" i="64"/>
  <c r="E5" i="55" l="1"/>
  <c r="E31" i="68" l="1"/>
  <c r="W31" i="68"/>
  <c r="W36" i="68"/>
  <c r="G36" i="68"/>
  <c r="E36" i="68"/>
  <c r="E48" i="68"/>
  <c r="G48" i="68"/>
  <c r="Z41" i="68"/>
  <c r="Z42" i="68"/>
  <c r="Z44" i="68"/>
  <c r="Z45" i="68"/>
  <c r="Z46" i="68"/>
  <c r="Z47" i="68"/>
  <c r="I41" i="68"/>
  <c r="U41" i="68" s="1"/>
  <c r="I42" i="68"/>
  <c r="U42" i="68" s="1"/>
  <c r="I43" i="68"/>
  <c r="U43" i="68" s="1"/>
  <c r="I44" i="68"/>
  <c r="U44" i="68" s="1"/>
  <c r="I45" i="68"/>
  <c r="U45" i="68" s="1"/>
  <c r="I46" i="68"/>
  <c r="U46" i="68" s="1"/>
  <c r="I47" i="68"/>
  <c r="U47" i="68" s="1"/>
  <c r="Z13" i="68"/>
  <c r="Q13" i="68"/>
  <c r="I13" i="68"/>
  <c r="Q41" i="68"/>
  <c r="Q42" i="68"/>
  <c r="Q43" i="68"/>
  <c r="Q44" i="68"/>
  <c r="Q46" i="68"/>
  <c r="Q47" i="68"/>
  <c r="W68" i="68"/>
  <c r="U68" i="68"/>
  <c r="W64" i="68"/>
  <c r="U64" i="68"/>
  <c r="W60" i="68"/>
  <c r="U60" i="68"/>
  <c r="G68" i="68"/>
  <c r="E68" i="68"/>
  <c r="E64" i="68"/>
  <c r="G64" i="68"/>
  <c r="G60" i="68"/>
  <c r="E60" i="68"/>
  <c r="W50" i="68" l="1"/>
  <c r="U70" i="68"/>
  <c r="U13" i="68"/>
  <c r="G70" i="68"/>
  <c r="E70" i="68"/>
  <c r="A12" i="68" l="1"/>
  <c r="A13" i="68" s="1"/>
  <c r="A14" i="68" s="1"/>
  <c r="A15" i="68" s="1"/>
  <c r="A16" i="68" s="1"/>
  <c r="A17" i="68" s="1"/>
  <c r="A18" i="68" s="1"/>
  <c r="A19" i="68" s="1"/>
  <c r="A20" i="68" s="1"/>
  <c r="A21" i="68" s="1"/>
  <c r="A22" i="68" s="1"/>
  <c r="A23" i="68" s="1"/>
  <c r="A24" i="68" s="1"/>
  <c r="A25" i="68" s="1"/>
  <c r="A26" i="68" s="1"/>
  <c r="A27" i="68" s="1"/>
  <c r="A28" i="68" s="1"/>
  <c r="A29" i="68" s="1"/>
  <c r="A30" i="68" s="1"/>
  <c r="T68" i="68"/>
  <c r="Z67" i="68"/>
  <c r="Z68" i="68" s="1"/>
  <c r="Q67" i="68"/>
  <c r="I67" i="68"/>
  <c r="T64" i="68"/>
  <c r="Z64" i="68"/>
  <c r="Q63" i="68"/>
  <c r="S63" i="68" s="1"/>
  <c r="T60" i="68"/>
  <c r="Z60" i="68"/>
  <c r="W70" i="68" l="1"/>
  <c r="I70" i="68" l="1"/>
  <c r="Z14" i="68" l="1"/>
  <c r="I14" i="68"/>
  <c r="Z16" i="68"/>
  <c r="Z15" i="68"/>
  <c r="Z17" i="68"/>
  <c r="Z18" i="68"/>
  <c r="Z19" i="68"/>
  <c r="Z20" i="68"/>
  <c r="Z21" i="68"/>
  <c r="Z22" i="68"/>
  <c r="Z23" i="68"/>
  <c r="Z24" i="68"/>
  <c r="Z25" i="68"/>
  <c r="Z26" i="68"/>
  <c r="Z30" i="68"/>
  <c r="Q15" i="68"/>
  <c r="Q16" i="68"/>
  <c r="Q17" i="68"/>
  <c r="Q18" i="68"/>
  <c r="Q19" i="68"/>
  <c r="Q20" i="68"/>
  <c r="Q21" i="68"/>
  <c r="Q22" i="68"/>
  <c r="Q23" i="68"/>
  <c r="Q24" i="68"/>
  <c r="Q25" i="68"/>
  <c r="Q26" i="68"/>
  <c r="Q27" i="68"/>
  <c r="Q30" i="68"/>
  <c r="I15" i="68"/>
  <c r="U15" i="68" s="1"/>
  <c r="I16" i="68"/>
  <c r="U16" i="68" s="1"/>
  <c r="I17" i="68"/>
  <c r="U17" i="68" s="1"/>
  <c r="I18" i="68"/>
  <c r="U18" i="68" s="1"/>
  <c r="I19" i="68"/>
  <c r="U19" i="68" s="1"/>
  <c r="I20" i="68"/>
  <c r="U20" i="68" s="1"/>
  <c r="I22" i="68"/>
  <c r="U22" i="68" s="1"/>
  <c r="I23" i="68"/>
  <c r="U23" i="68" s="1"/>
  <c r="I24" i="68"/>
  <c r="U24" i="68" s="1"/>
  <c r="I25" i="68"/>
  <c r="U25" i="68" s="1"/>
  <c r="I26" i="68"/>
  <c r="U26" i="68" s="1"/>
  <c r="I27" i="68"/>
  <c r="U27" i="68" s="1"/>
  <c r="I30" i="68"/>
  <c r="U30" i="68" s="1"/>
  <c r="Z31" i="68" l="1"/>
  <c r="I31" i="68"/>
  <c r="U14" i="68"/>
  <c r="U31" i="68" s="1"/>
  <c r="T48" i="68"/>
  <c r="Z40" i="68"/>
  <c r="I40" i="68"/>
  <c r="U40" i="68" s="1"/>
  <c r="Z39" i="68"/>
  <c r="Q39" i="68"/>
  <c r="I39" i="68"/>
  <c r="V36" i="68"/>
  <c r="T36" i="68"/>
  <c r="Z35" i="68"/>
  <c r="Z36" i="68" s="1"/>
  <c r="I35" i="68"/>
  <c r="U35" i="68" s="1"/>
  <c r="I34" i="68"/>
  <c r="U34" i="68" s="1"/>
  <c r="V31" i="68"/>
  <c r="T31" i="68"/>
  <c r="G31" i="68"/>
  <c r="A31" i="68"/>
  <c r="X6" i="68"/>
  <c r="E6" i="68"/>
  <c r="G6" i="68" s="1"/>
  <c r="I6" i="68" s="1"/>
  <c r="K6" i="68" s="1"/>
  <c r="M6" i="68" s="1"/>
  <c r="O6" i="68" s="1"/>
  <c r="Q6" i="68" s="1"/>
  <c r="S6" i="68" s="1"/>
  <c r="U6" i="68" s="1"/>
  <c r="W6" i="68" s="1"/>
  <c r="Y6" i="68" s="1"/>
  <c r="Z6" i="68" s="1"/>
  <c r="F10" i="47"/>
  <c r="A36" i="70"/>
  <c r="G73" i="70"/>
  <c r="G66" i="70"/>
  <c r="G69" i="70"/>
  <c r="G64" i="70"/>
  <c r="G65" i="70"/>
  <c r="G67" i="70"/>
  <c r="G20" i="70"/>
  <c r="G62" i="70"/>
  <c r="G94" i="70"/>
  <c r="G68" i="70"/>
  <c r="G63" i="70"/>
  <c r="G71" i="70"/>
  <c r="G93" i="70"/>
  <c r="G70" i="70"/>
  <c r="W93" i="70" l="1"/>
  <c r="I36" i="68"/>
  <c r="W70" i="70"/>
  <c r="W94" i="70"/>
  <c r="W62" i="70"/>
  <c r="W66" i="70"/>
  <c r="W69" i="70"/>
  <c r="W65" i="70"/>
  <c r="W64" i="70"/>
  <c r="W71" i="70"/>
  <c r="W68" i="70"/>
  <c r="W67" i="70"/>
  <c r="W73" i="70"/>
  <c r="W63" i="70"/>
  <c r="W20" i="70"/>
  <c r="Z48" i="68"/>
  <c r="Z50" i="68" s="1"/>
  <c r="U36" i="68"/>
  <c r="E50" i="68"/>
  <c r="U39" i="68"/>
  <c r="U48" i="68" s="1"/>
  <c r="U50" i="68" s="1"/>
  <c r="I48" i="68"/>
  <c r="A33" i="68"/>
  <c r="A34" i="68" s="1"/>
  <c r="A35" i="68" s="1"/>
  <c r="G50" i="68"/>
  <c r="AA6" i="68"/>
  <c r="Z52" i="68" l="1"/>
  <c r="Z53" i="68" s="1"/>
  <c r="Z75" i="68"/>
  <c r="W74" i="70"/>
  <c r="I50" i="68"/>
  <c r="C36" i="68"/>
  <c r="A36" i="68"/>
  <c r="D8" i="2"/>
  <c r="A38" i="68" l="1"/>
  <c r="A39" i="68" l="1"/>
  <c r="A40" i="68" s="1"/>
  <c r="A41" i="68" s="1"/>
  <c r="A42" i="68" s="1"/>
  <c r="A43" i="68" s="1"/>
  <c r="A44" i="68" s="1"/>
  <c r="A45" i="68" s="1"/>
  <c r="A46" i="68" s="1"/>
  <c r="A47" i="68" s="1"/>
  <c r="A48" i="68"/>
  <c r="C48" i="68"/>
  <c r="C50" i="68" l="1"/>
  <c r="A50" i="68"/>
  <c r="A52" i="68" s="1"/>
  <c r="A53" i="68" s="1"/>
  <c r="A56" i="68" s="1"/>
  <c r="A58" i="68" s="1"/>
  <c r="A59" i="68" s="1"/>
  <c r="G78" i="1"/>
  <c r="C14" i="1"/>
  <c r="A60" i="68" l="1"/>
  <c r="A62" i="68" s="1"/>
  <c r="E8" i="72"/>
  <c r="D8" i="72"/>
  <c r="A7" i="72"/>
  <c r="A8" i="72" s="1"/>
  <c r="A9" i="72" s="1"/>
  <c r="A10" i="72" s="1"/>
  <c r="A11" i="72" s="1"/>
  <c r="A12" i="72" s="1"/>
  <c r="A13" i="72" s="1"/>
  <c r="A14" i="72" s="1"/>
  <c r="A15" i="72" s="1"/>
  <c r="A16" i="72" s="1"/>
  <c r="A17" i="72" s="1"/>
  <c r="A18" i="72" s="1"/>
  <c r="A19" i="72" s="1"/>
  <c r="AG24" i="55"/>
  <c r="AK24" i="55" s="1"/>
  <c r="A63" i="68" l="1"/>
  <c r="A64" i="68"/>
  <c r="F8" i="72"/>
  <c r="C20" i="72"/>
  <c r="A20" i="72"/>
  <c r="D9" i="72"/>
  <c r="D10" i="72" s="1"/>
  <c r="D11" i="72" s="1"/>
  <c r="D12" i="72" s="1"/>
  <c r="D13" i="72" s="1"/>
  <c r="D14" i="72" s="1"/>
  <c r="D15" i="72" s="1"/>
  <c r="D16" i="72" s="1"/>
  <c r="D17" i="72" s="1"/>
  <c r="D18" i="72" s="1"/>
  <c r="D19" i="72" s="1"/>
  <c r="H8" i="72" l="1"/>
  <c r="E9" i="72" s="1"/>
  <c r="A66" i="68"/>
  <c r="A68" i="68" l="1"/>
  <c r="C70" i="68" s="1"/>
  <c r="A67" i="68"/>
  <c r="F9" i="72"/>
  <c r="A70" i="68" l="1"/>
  <c r="A72" i="68" s="1"/>
  <c r="A73" i="68" s="1"/>
  <c r="A75" i="68" s="1"/>
  <c r="A76" i="68" s="1"/>
  <c r="H9" i="72"/>
  <c r="E10" i="72" l="1"/>
  <c r="F10" i="72" l="1"/>
  <c r="H10" i="72" l="1"/>
  <c r="E11" i="72" s="1"/>
  <c r="F11" i="72" l="1"/>
  <c r="H11" i="72" l="1"/>
  <c r="E12" i="72" s="1"/>
  <c r="F12" i="72" l="1"/>
  <c r="H12" i="72" s="1"/>
  <c r="E13" i="72" l="1"/>
  <c r="F13" i="72" l="1"/>
  <c r="H13" i="72" s="1"/>
  <c r="E14" i="72" s="1"/>
  <c r="F14" i="72" l="1"/>
  <c r="H14" i="72" s="1"/>
  <c r="E15" i="72" s="1"/>
  <c r="F15" i="72" l="1"/>
  <c r="H15" i="72" s="1"/>
  <c r="E16" i="72" s="1"/>
  <c r="F16" i="72" l="1"/>
  <c r="H16" i="72" s="1"/>
  <c r="E17" i="72" s="1"/>
  <c r="F17" i="72" l="1"/>
  <c r="H17" i="72" s="1"/>
  <c r="E18" i="72" s="1"/>
  <c r="F18" i="72" l="1"/>
  <c r="H18" i="72" s="1"/>
  <c r="E19" i="72" s="1"/>
  <c r="F19" i="72" l="1"/>
  <c r="F20" i="72" l="1"/>
  <c r="D129" i="1" s="1"/>
  <c r="H19" i="72"/>
  <c r="H20" i="72" s="1"/>
  <c r="D78" i="1" s="1"/>
  <c r="I78" i="1" s="1"/>
  <c r="D130" i="1" l="1"/>
  <c r="I129" i="1"/>
  <c r="C29" i="51"/>
  <c r="C21" i="51"/>
  <c r="C24" i="47"/>
  <c r="C18" i="47"/>
  <c r="C12" i="47"/>
  <c r="AE14" i="55" l="1"/>
  <c r="M38" i="59" l="1"/>
  <c r="AK20" i="54"/>
  <c r="E11" i="39" l="1"/>
  <c r="C8" i="14"/>
  <c r="C9" i="14" s="1"/>
  <c r="O7" i="65" l="1"/>
  <c r="Q7" i="65" s="1"/>
  <c r="C9" i="22"/>
  <c r="I7" i="70"/>
  <c r="L7" i="70" s="1"/>
  <c r="Q7" i="57"/>
  <c r="M22" i="57" l="1"/>
  <c r="O22" i="57" s="1"/>
  <c r="Q22" i="57" s="1"/>
  <c r="S22" i="57" s="1"/>
  <c r="U22" i="57" s="1"/>
  <c r="M21" i="57"/>
  <c r="O21" i="57" s="1"/>
  <c r="Q21" i="57" s="1"/>
  <c r="S21" i="57" s="1"/>
  <c r="U21" i="57" s="1"/>
  <c r="W21" i="57" s="1"/>
  <c r="Y21" i="57" s="1"/>
  <c r="M13" i="57"/>
  <c r="O13" i="57" s="1"/>
  <c r="X13" i="57" s="1"/>
  <c r="Z13" i="57" s="1"/>
  <c r="AB13" i="57" s="1"/>
  <c r="AD13" i="57" s="1"/>
  <c r="AF13" i="57" s="1"/>
  <c r="AH13" i="57" s="1"/>
  <c r="AJ13" i="57" s="1"/>
  <c r="AL13" i="57" s="1"/>
  <c r="AN13" i="57" s="1"/>
  <c r="E24" i="57"/>
  <c r="M12" i="57"/>
  <c r="O12" i="57" s="1"/>
  <c r="Q12" i="57" s="1"/>
  <c r="S12" i="57" s="1"/>
  <c r="U12" i="57" s="1"/>
  <c r="W12" i="57" s="1"/>
  <c r="Y12" i="57" s="1"/>
  <c r="E41" i="71"/>
  <c r="E32" i="71"/>
  <c r="E33" i="71" s="1"/>
  <c r="E32" i="64"/>
  <c r="E33" i="64" s="1"/>
  <c r="W22" i="57" l="1"/>
  <c r="Y22" i="57" s="1"/>
  <c r="V22" i="57"/>
  <c r="X22" i="57" s="1"/>
  <c r="Z22" i="57" s="1"/>
  <c r="AB22" i="57" s="1"/>
  <c r="AD22" i="57" s="1"/>
  <c r="AF22" i="57" s="1"/>
  <c r="AH22" i="57" s="1"/>
  <c r="AJ22" i="57" s="1"/>
  <c r="AL22" i="57" s="1"/>
  <c r="AN22" i="57" s="1"/>
  <c r="V21" i="57"/>
  <c r="X21" i="57" s="1"/>
  <c r="Z21" i="57" s="1"/>
  <c r="AB21" i="57" s="1"/>
  <c r="AD21" i="57" s="1"/>
  <c r="AF21" i="57" s="1"/>
  <c r="AH21" i="57" s="1"/>
  <c r="AJ21" i="57" s="1"/>
  <c r="AL21" i="57" s="1"/>
  <c r="AN21" i="57" s="1"/>
  <c r="Q13" i="57"/>
  <c r="AA12" i="57"/>
  <c r="AC12" i="57" s="1"/>
  <c r="AA22" i="57" l="1"/>
  <c r="AC22" i="57" s="1"/>
  <c r="AE22" i="57" s="1"/>
  <c r="U24" i="57"/>
  <c r="S13" i="57"/>
  <c r="U13" i="57" s="1"/>
  <c r="W13" i="57" s="1"/>
  <c r="Y13" i="57" s="1"/>
  <c r="AA13" i="57" s="1"/>
  <c r="AC13" i="57" s="1"/>
  <c r="AG22" i="57" l="1"/>
  <c r="AI22" i="57" s="1"/>
  <c r="AK22" i="57" s="1"/>
  <c r="AM22" i="57" s="1"/>
  <c r="AO22" i="57" s="1"/>
  <c r="AE13" i="57"/>
  <c r="AG13" i="57" s="1"/>
  <c r="AI13" i="57" s="1"/>
  <c r="AK13" i="57" s="1"/>
  <c r="AM13" i="57" s="1"/>
  <c r="AO13" i="57" s="1"/>
  <c r="AQ22" i="57" l="1"/>
  <c r="AA21" i="57"/>
  <c r="AC21" i="57" s="1"/>
  <c r="AE21" i="57" s="1"/>
  <c r="AG21" i="57" s="1"/>
  <c r="AI21" i="57" s="1"/>
  <c r="AK21" i="57" s="1"/>
  <c r="AM21" i="57" s="1"/>
  <c r="AO21" i="57" s="1"/>
  <c r="AW21" i="57" s="1"/>
  <c r="AY21" i="57" s="1"/>
  <c r="AQ13" i="57"/>
  <c r="AQ21" i="57" l="1"/>
  <c r="A10" i="39" l="1"/>
  <c r="I21" i="42"/>
  <c r="M39" i="59" l="1"/>
  <c r="O32" i="59" l="1"/>
  <c r="M50" i="59"/>
  <c r="M48" i="59"/>
  <c r="M40" i="59"/>
  <c r="M41" i="59"/>
  <c r="M42" i="59"/>
  <c r="M43" i="59"/>
  <c r="M44" i="59"/>
  <c r="M45" i="59"/>
  <c r="M46" i="59"/>
  <c r="M47" i="59"/>
  <c r="M49" i="59"/>
  <c r="M51" i="59"/>
  <c r="K52" i="59"/>
  <c r="M52" i="59" l="1"/>
  <c r="A14" i="54" l="1"/>
  <c r="L29" i="60"/>
  <c r="L25" i="60"/>
  <c r="L26" i="60"/>
  <c r="L27" i="60"/>
  <c r="L28" i="60"/>
  <c r="L30" i="60"/>
  <c r="L31" i="60"/>
  <c r="L32" i="60"/>
  <c r="L33" i="60"/>
  <c r="L34" i="60"/>
  <c r="L35" i="60"/>
  <c r="L36" i="60"/>
  <c r="L17" i="60"/>
  <c r="L9" i="60"/>
  <c r="L10" i="60"/>
  <c r="L11" i="60"/>
  <c r="L12" i="60"/>
  <c r="L13" i="60"/>
  <c r="L14" i="60"/>
  <c r="L15" i="60"/>
  <c r="L16" i="60"/>
  <c r="L18" i="60"/>
  <c r="L19" i="60"/>
  <c r="L8" i="60"/>
  <c r="E7" i="67" l="1"/>
  <c r="E5" i="70" l="1"/>
  <c r="E10" i="39" l="1"/>
  <c r="E63" i="5" s="1"/>
  <c r="A60" i="71"/>
  <c r="A59" i="71"/>
  <c r="A55" i="71"/>
  <c r="A53" i="71"/>
  <c r="A40" i="71"/>
  <c r="A36" i="71"/>
  <c r="A34" i="71"/>
  <c r="E29" i="71"/>
  <c r="E30" i="71" s="1"/>
  <c r="E26" i="71"/>
  <c r="E27" i="71" s="1"/>
  <c r="E23" i="71"/>
  <c r="E24" i="71" s="1"/>
  <c r="A21" i="71"/>
  <c r="A19" i="71"/>
  <c r="E17" i="71"/>
  <c r="E18" i="71" s="1"/>
  <c r="E14" i="71"/>
  <c r="E15" i="71" s="1"/>
  <c r="E11" i="71"/>
  <c r="E12" i="71" s="1"/>
  <c r="E8" i="71"/>
  <c r="I7" i="71"/>
  <c r="I8" i="71" s="1"/>
  <c r="I9" i="71" s="1"/>
  <c r="C8" i="71"/>
  <c r="E5" i="71"/>
  <c r="G5" i="71" s="1"/>
  <c r="I5" i="71" s="1"/>
  <c r="K5" i="71" s="1"/>
  <c r="M5" i="71" s="1"/>
  <c r="F37" i="60"/>
  <c r="G8" i="71" l="1"/>
  <c r="K8" i="71" s="1"/>
  <c r="E9" i="71"/>
  <c r="C9" i="71"/>
  <c r="C10" i="71" s="1"/>
  <c r="A8" i="71"/>
  <c r="G7" i="71"/>
  <c r="K7" i="71" s="1"/>
  <c r="A32" i="61"/>
  <c r="A35" i="61"/>
  <c r="F20" i="60"/>
  <c r="C13" i="47"/>
  <c r="K13" i="47"/>
  <c r="I13" i="47"/>
  <c r="G13" i="47"/>
  <c r="E13" i="47"/>
  <c r="H10" i="47"/>
  <c r="E29" i="64"/>
  <c r="E30" i="64" s="1"/>
  <c r="A33" i="61" l="1"/>
  <c r="C35" i="61"/>
  <c r="G40" i="47"/>
  <c r="G9" i="71"/>
  <c r="K9" i="71" s="1"/>
  <c r="M9" i="71" s="1"/>
  <c r="I10" i="71" s="1"/>
  <c r="I11" i="71" s="1"/>
  <c r="E15" i="6"/>
  <c r="H17" i="6" s="1"/>
  <c r="I61" i="71"/>
  <c r="A9" i="71"/>
  <c r="G10" i="71"/>
  <c r="C11" i="71"/>
  <c r="H20" i="6" l="1"/>
  <c r="H19" i="6"/>
  <c r="H18" i="6"/>
  <c r="A10" i="71"/>
  <c r="A11" i="71" s="1"/>
  <c r="K10" i="71"/>
  <c r="C12" i="71"/>
  <c r="G11" i="71"/>
  <c r="K11" i="71" s="1"/>
  <c r="I12" i="71"/>
  <c r="E42" i="71" l="1"/>
  <c r="A12" i="71"/>
  <c r="C13" i="71"/>
  <c r="G12" i="71"/>
  <c r="K12" i="71" s="1"/>
  <c r="M12" i="71" s="1"/>
  <c r="I13" i="71" s="1"/>
  <c r="I14" i="71" l="1"/>
  <c r="A13" i="71"/>
  <c r="E43" i="71"/>
  <c r="C14" i="71"/>
  <c r="G13" i="71"/>
  <c r="K13" i="71" s="1"/>
  <c r="G14" i="71" l="1"/>
  <c r="K14" i="71" s="1"/>
  <c r="C15" i="71"/>
  <c r="E44" i="71"/>
  <c r="I15" i="71"/>
  <c r="A14" i="71"/>
  <c r="F40" i="47"/>
  <c r="E45" i="71" l="1"/>
  <c r="C16" i="71"/>
  <c r="G15" i="71"/>
  <c r="K15" i="71" s="1"/>
  <c r="M15" i="71" s="1"/>
  <c r="I16" i="71" s="1"/>
  <c r="A15" i="71"/>
  <c r="I17" i="71" l="1"/>
  <c r="A16" i="71"/>
  <c r="E46" i="71"/>
  <c r="G16" i="71"/>
  <c r="K16" i="71" s="1"/>
  <c r="C17" i="71"/>
  <c r="A17" i="71" l="1"/>
  <c r="I18" i="71"/>
  <c r="E47" i="71"/>
  <c r="C18" i="71"/>
  <c r="G17" i="71"/>
  <c r="K17" i="71" s="1"/>
  <c r="A18" i="71" l="1"/>
  <c r="E48" i="71"/>
  <c r="C22" i="71"/>
  <c r="G18" i="71"/>
  <c r="K18" i="71" s="1"/>
  <c r="M18" i="71" s="1"/>
  <c r="I20" i="71" s="1"/>
  <c r="I22" i="71" l="1"/>
  <c r="A20" i="71"/>
  <c r="E49" i="71"/>
  <c r="C23" i="71"/>
  <c r="G22" i="71"/>
  <c r="K22" i="71" s="1"/>
  <c r="E50" i="71" l="1"/>
  <c r="C24" i="71"/>
  <c r="G23" i="71"/>
  <c r="I23" i="71"/>
  <c r="A22" i="71"/>
  <c r="K23" i="71" l="1"/>
  <c r="C25" i="71"/>
  <c r="G24" i="71"/>
  <c r="I24" i="71"/>
  <c r="A23" i="71"/>
  <c r="E51" i="71"/>
  <c r="K24" i="71" l="1"/>
  <c r="M24" i="71" s="1"/>
  <c r="I25" i="71" s="1"/>
  <c r="E52" i="71"/>
  <c r="A24" i="71"/>
  <c r="C26" i="71"/>
  <c r="G25" i="71"/>
  <c r="K25" i="71" l="1"/>
  <c r="C27" i="71"/>
  <c r="G26" i="71"/>
  <c r="I26" i="71"/>
  <c r="A25" i="71"/>
  <c r="K26" i="71" l="1"/>
  <c r="C28" i="71"/>
  <c r="G27" i="71"/>
  <c r="A26" i="71"/>
  <c r="I27" i="71"/>
  <c r="K27" i="71" l="1"/>
  <c r="M27" i="71" s="1"/>
  <c r="I28" i="71" s="1"/>
  <c r="C29" i="71"/>
  <c r="G28" i="71"/>
  <c r="A27" i="71"/>
  <c r="K28" i="71" l="1"/>
  <c r="I29" i="71"/>
  <c r="A28" i="71"/>
  <c r="C30" i="71"/>
  <c r="G29" i="71"/>
  <c r="K29" i="71" l="1"/>
  <c r="C31" i="71"/>
  <c r="G30" i="71"/>
  <c r="I30" i="71"/>
  <c r="A29" i="71"/>
  <c r="K30" i="71" l="1"/>
  <c r="M30" i="71" s="1"/>
  <c r="I31" i="71" s="1"/>
  <c r="A30" i="71"/>
  <c r="C32" i="71"/>
  <c r="G31" i="71"/>
  <c r="A31" i="71" l="1"/>
  <c r="I32" i="71"/>
  <c r="K31" i="71"/>
  <c r="C33" i="71"/>
  <c r="G32" i="71"/>
  <c r="K32" i="71" l="1"/>
  <c r="C41" i="71"/>
  <c r="G33" i="71"/>
  <c r="I33" i="71"/>
  <c r="A32" i="71"/>
  <c r="K33" i="71" l="1"/>
  <c r="M33" i="71" s="1"/>
  <c r="I35" i="71" s="1"/>
  <c r="C42" i="71"/>
  <c r="G41" i="71"/>
  <c r="A33" i="71"/>
  <c r="I37" i="71" l="1"/>
  <c r="A35" i="71"/>
  <c r="C43" i="71"/>
  <c r="G42" i="71"/>
  <c r="I39" i="71" l="1"/>
  <c r="A37" i="71"/>
  <c r="A38" i="71" s="1"/>
  <c r="C44" i="71"/>
  <c r="G43" i="71"/>
  <c r="I56" i="71" l="1"/>
  <c r="I58" i="71" s="1"/>
  <c r="I41" i="71"/>
  <c r="C45" i="71"/>
  <c r="G44" i="71"/>
  <c r="A39" i="71"/>
  <c r="A41" i="71" l="1"/>
  <c r="I42" i="71"/>
  <c r="K41" i="71"/>
  <c r="C46" i="71"/>
  <c r="G45" i="71"/>
  <c r="C47" i="71" l="1"/>
  <c r="G46" i="71"/>
  <c r="I43" i="71"/>
  <c r="A42" i="71"/>
  <c r="K42" i="71"/>
  <c r="A43" i="71" l="1"/>
  <c r="K43" i="71"/>
  <c r="M43" i="71" s="1"/>
  <c r="I44" i="71" s="1"/>
  <c r="C48" i="71"/>
  <c r="G47" i="71"/>
  <c r="I45" i="71" l="1"/>
  <c r="A44" i="71"/>
  <c r="K44" i="71"/>
  <c r="C49" i="71"/>
  <c r="G48" i="71"/>
  <c r="C50" i="71" l="1"/>
  <c r="G49" i="71"/>
  <c r="I46" i="71"/>
  <c r="A45" i="71"/>
  <c r="K45" i="71"/>
  <c r="C51" i="71" l="1"/>
  <c r="G50" i="71"/>
  <c r="A46" i="71"/>
  <c r="K46" i="71"/>
  <c r="M46" i="71" s="1"/>
  <c r="I47" i="71" s="1"/>
  <c r="I48" i="71" l="1"/>
  <c r="A47" i="71"/>
  <c r="K47" i="71"/>
  <c r="C52" i="71"/>
  <c r="G52" i="71" s="1"/>
  <c r="G51" i="71"/>
  <c r="A48" i="71" l="1"/>
  <c r="I49" i="71"/>
  <c r="K48" i="71"/>
  <c r="A49" i="71" l="1"/>
  <c r="K49" i="71"/>
  <c r="M49" i="71" s="1"/>
  <c r="I50" i="71" s="1"/>
  <c r="I51" i="71" l="1"/>
  <c r="A50" i="71"/>
  <c r="K50" i="71"/>
  <c r="A51" i="71" l="1"/>
  <c r="I52" i="71"/>
  <c r="K51" i="71"/>
  <c r="K52" i="71" l="1"/>
  <c r="M52" i="71" s="1"/>
  <c r="I54" i="71" s="1"/>
  <c r="A52" i="71"/>
  <c r="A54" i="71" l="1"/>
  <c r="A56" i="71" s="1"/>
  <c r="A57" i="71" s="1"/>
  <c r="A58" i="71" s="1"/>
  <c r="A61" i="71" l="1"/>
  <c r="A62" i="71" s="1"/>
  <c r="A63" i="71" s="1"/>
  <c r="G64" i="71" s="1"/>
  <c r="A64" i="71" s="1"/>
  <c r="A65" i="71" s="1"/>
  <c r="S52" i="59"/>
  <c r="E12" i="67" l="1"/>
  <c r="AI20" i="54" l="1"/>
  <c r="H40" i="47" l="1"/>
  <c r="V105" i="70" l="1"/>
  <c r="T105" i="70"/>
  <c r="S105" i="70"/>
  <c r="Q105" i="70"/>
  <c r="P105" i="70"/>
  <c r="N105" i="70"/>
  <c r="M105" i="70"/>
  <c r="K105" i="70"/>
  <c r="J105" i="70"/>
  <c r="V84" i="70"/>
  <c r="T84" i="70"/>
  <c r="S84" i="70"/>
  <c r="Q84" i="70"/>
  <c r="P84" i="70"/>
  <c r="N84" i="70"/>
  <c r="M84" i="70"/>
  <c r="K84" i="70"/>
  <c r="J84" i="70"/>
  <c r="A11" i="70"/>
  <c r="V47" i="70"/>
  <c r="J47" i="70"/>
  <c r="K47" i="70"/>
  <c r="M47" i="70"/>
  <c r="N47" i="70"/>
  <c r="P47" i="70"/>
  <c r="Q47" i="70"/>
  <c r="S47" i="70"/>
  <c r="T47" i="70"/>
  <c r="G44" i="70"/>
  <c r="G79" i="70"/>
  <c r="G57" i="70"/>
  <c r="G51" i="70"/>
  <c r="G80" i="70"/>
  <c r="G102" i="70"/>
  <c r="G43" i="70"/>
  <c r="G101" i="70"/>
  <c r="G81" i="70"/>
  <c r="G100" i="70"/>
  <c r="G41" i="70"/>
  <c r="G42" i="70"/>
  <c r="W43" i="70" l="1"/>
  <c r="W44" i="70"/>
  <c r="A12" i="70"/>
  <c r="A13" i="70" s="1"/>
  <c r="A14" i="70" s="1"/>
  <c r="A15" i="70" s="1"/>
  <c r="A16" i="70" s="1"/>
  <c r="A17" i="70" s="1"/>
  <c r="A18" i="70" s="1"/>
  <c r="A19" i="70" s="1"/>
  <c r="A20" i="70" s="1"/>
  <c r="A21" i="70" s="1"/>
  <c r="W80" i="70"/>
  <c r="W102" i="70"/>
  <c r="W101" i="70"/>
  <c r="W100" i="70"/>
  <c r="W81" i="70"/>
  <c r="W79" i="70"/>
  <c r="W57" i="70"/>
  <c r="W51" i="70"/>
  <c r="W42" i="70"/>
  <c r="W41" i="70"/>
  <c r="A39" i="70"/>
  <c r="A41" i="70" s="1"/>
  <c r="A22" i="70" l="1"/>
  <c r="A23" i="70" s="1"/>
  <c r="A24" i="70" s="1"/>
  <c r="A25" i="70" s="1"/>
  <c r="A26" i="70" s="1"/>
  <c r="A27" i="70" s="1"/>
  <c r="A28" i="70" s="1"/>
  <c r="A29" i="70" s="1"/>
  <c r="A30" i="70" s="1"/>
  <c r="A31" i="70" s="1"/>
  <c r="A32" i="70" s="1"/>
  <c r="A33" i="70" s="1"/>
  <c r="A34" i="70" s="1"/>
  <c r="A35" i="70" s="1"/>
  <c r="W58" i="70"/>
  <c r="K31" i="13"/>
  <c r="K27" i="13"/>
  <c r="C36" i="70" l="1"/>
  <c r="I14" i="54"/>
  <c r="G7" i="67" l="1"/>
  <c r="I7" i="67"/>
  <c r="I8" i="64" l="1"/>
  <c r="I9" i="64" s="1"/>
  <c r="E8" i="64"/>
  <c r="E9" i="64" l="1"/>
  <c r="I54" i="31" l="1"/>
  <c r="I53" i="31" l="1"/>
  <c r="A120" i="1"/>
  <c r="A54" i="1"/>
  <c r="A121" i="1" l="1"/>
  <c r="A55" i="1"/>
  <c r="A56" i="1" s="1"/>
  <c r="A14" i="1"/>
  <c r="AW22" i="57" l="1"/>
  <c r="A57" i="1"/>
  <c r="A59" i="1" s="1"/>
  <c r="A60" i="1" s="1"/>
  <c r="A15" i="1"/>
  <c r="AW24" i="57" l="1"/>
  <c r="AY22" i="57"/>
  <c r="A122" i="1"/>
  <c r="A61" i="1"/>
  <c r="A16" i="1"/>
  <c r="A62" i="1" l="1"/>
  <c r="AU22" i="57"/>
  <c r="A123" i="1"/>
  <c r="A18" i="1"/>
  <c r="A63" i="1" l="1"/>
  <c r="A64" i="1" s="1"/>
  <c r="A66" i="1" s="1"/>
  <c r="A67" i="1" s="1"/>
  <c r="A68" i="1" s="1"/>
  <c r="A69" i="1" s="1"/>
  <c r="A70" i="1" s="1"/>
  <c r="A71" i="1" s="1"/>
  <c r="A73" i="1" s="1"/>
  <c r="A74" i="1" s="1"/>
  <c r="A75" i="1" s="1"/>
  <c r="A76" i="1" s="1"/>
  <c r="A77" i="1" s="1"/>
  <c r="A20" i="1"/>
  <c r="A78" i="1" l="1"/>
  <c r="A79" i="1" s="1"/>
  <c r="A81" i="1" s="1"/>
  <c r="A83" i="1" s="1"/>
  <c r="A84" i="1" s="1"/>
  <c r="A85" i="1" s="1"/>
  <c r="A86" i="1" s="1"/>
  <c r="A87" i="1" s="1"/>
  <c r="A89" i="1" s="1"/>
  <c r="A24" i="1"/>
  <c r="A25" i="1" s="1"/>
  <c r="A26" i="1" s="1"/>
  <c r="A29" i="1" s="1"/>
  <c r="A33" i="1" s="1"/>
  <c r="A34" i="1" s="1"/>
  <c r="A35" i="1" s="1"/>
  <c r="A36" i="1" s="1"/>
  <c r="A37" i="1" s="1"/>
  <c r="A124" i="1" l="1"/>
  <c r="A126" i="1" l="1"/>
  <c r="A127" i="1" s="1"/>
  <c r="A128" i="1" s="1"/>
  <c r="A129" i="1" s="1"/>
  <c r="A7" i="67"/>
  <c r="A130" i="1" l="1"/>
  <c r="A132" i="1" s="1"/>
  <c r="A134" i="1" s="1"/>
  <c r="A135" i="1" s="1"/>
  <c r="A137" i="1" s="1"/>
  <c r="A140" i="1" s="1"/>
  <c r="A143" i="1" s="1"/>
  <c r="A145" i="1" s="1"/>
  <c r="A8" i="67"/>
  <c r="A9" i="67" s="1"/>
  <c r="A10" i="67" l="1"/>
  <c r="A11" i="67" l="1"/>
  <c r="A12" i="67" l="1"/>
  <c r="A14" i="67" s="1"/>
  <c r="A15" i="67" l="1"/>
  <c r="A16" i="67" s="1"/>
  <c r="A17" i="67" s="1"/>
  <c r="A18" i="67" l="1"/>
  <c r="A20" i="67" l="1"/>
  <c r="A21" i="67" s="1"/>
  <c r="AY24" i="57" l="1"/>
  <c r="A22" i="67"/>
  <c r="A24" i="67" s="1"/>
  <c r="G54" i="31" s="1"/>
  <c r="A25" i="67" l="1"/>
  <c r="G53" i="31" s="1"/>
  <c r="E5" i="56"/>
  <c r="E5" i="54"/>
  <c r="AK13" i="54"/>
  <c r="AM13" i="54" l="1"/>
  <c r="A15" i="54"/>
  <c r="A26" i="67"/>
  <c r="G5" i="56"/>
  <c r="I5" i="56" s="1"/>
  <c r="K5" i="56" s="1"/>
  <c r="U7" i="70"/>
  <c r="X74" i="70"/>
  <c r="R7" i="70"/>
  <c r="O7" i="70"/>
  <c r="G109" i="70"/>
  <c r="W109" i="70" l="1"/>
  <c r="W52" i="70"/>
  <c r="A27" i="67"/>
  <c r="G28" i="67" s="1"/>
  <c r="G55" i="31"/>
  <c r="G5" i="70"/>
  <c r="I5" i="70" s="1"/>
  <c r="L5" i="70" s="1"/>
  <c r="O5" i="70" s="1"/>
  <c r="R5" i="70" s="1"/>
  <c r="U5" i="70" s="1"/>
  <c r="W5" i="70" s="1"/>
  <c r="Y5" i="70" s="1"/>
  <c r="W110" i="70" l="1"/>
  <c r="A28" i="67"/>
  <c r="A29" i="67" s="1"/>
  <c r="G31" i="67" s="1"/>
  <c r="A42" i="70"/>
  <c r="A43" i="70" s="1"/>
  <c r="A44" i="70" s="1"/>
  <c r="A45" i="70" s="1"/>
  <c r="A46" i="70" s="1"/>
  <c r="A47" i="70"/>
  <c r="A31" i="67" l="1"/>
  <c r="C135" i="1" s="1"/>
  <c r="C47" i="70"/>
  <c r="A49" i="70"/>
  <c r="A51" i="70" s="1"/>
  <c r="C52" i="70" l="1"/>
  <c r="A52" i="70"/>
  <c r="A55" i="70" l="1"/>
  <c r="A12" i="54" l="1"/>
  <c r="A12" i="55"/>
  <c r="A12" i="57"/>
  <c r="C16" i="56" l="1"/>
  <c r="A13" i="54"/>
  <c r="C14" i="54" s="1"/>
  <c r="A58" i="70"/>
  <c r="A57" i="70"/>
  <c r="A13" i="55"/>
  <c r="C14" i="55" s="1"/>
  <c r="A13" i="57"/>
  <c r="C15" i="57" s="1"/>
  <c r="K8" i="67"/>
  <c r="K12" i="67"/>
  <c r="K11" i="67"/>
  <c r="E14" i="67" l="1"/>
  <c r="E18" i="67" s="1"/>
  <c r="C58" i="70"/>
  <c r="A60" i="70"/>
  <c r="A62" i="70" s="1"/>
  <c r="C11" i="67"/>
  <c r="Z73" i="68" l="1"/>
  <c r="I48" i="31"/>
  <c r="I52" i="31" s="1"/>
  <c r="I58" i="31" s="1"/>
  <c r="I72" i="68"/>
  <c r="A74" i="70"/>
  <c r="A77" i="70" s="1"/>
  <c r="A63" i="70"/>
  <c r="A64" i="70" s="1"/>
  <c r="A65" i="70" s="1"/>
  <c r="A66" i="70" s="1"/>
  <c r="A67" i="70" s="1"/>
  <c r="A68" i="70" s="1"/>
  <c r="A69" i="70" s="1"/>
  <c r="A70" i="70" s="1"/>
  <c r="A71" i="70" s="1"/>
  <c r="C12" i="67"/>
  <c r="AM14" i="65"/>
  <c r="AK14" i="65"/>
  <c r="AI14" i="65"/>
  <c r="AG14" i="65"/>
  <c r="AE14" i="65"/>
  <c r="AC14" i="65"/>
  <c r="AA14" i="65"/>
  <c r="Y14" i="65"/>
  <c r="W14" i="65"/>
  <c r="U14" i="65"/>
  <c r="S14" i="65"/>
  <c r="Q14" i="65"/>
  <c r="O14" i="65"/>
  <c r="AM7" i="65"/>
  <c r="AK7" i="65"/>
  <c r="AI7" i="65"/>
  <c r="AG7" i="65"/>
  <c r="AE7" i="65"/>
  <c r="AC7" i="65"/>
  <c r="AA7" i="65"/>
  <c r="Y7" i="65"/>
  <c r="W7" i="65"/>
  <c r="U7" i="65"/>
  <c r="S7" i="65"/>
  <c r="E5" i="65"/>
  <c r="G5" i="65" s="1"/>
  <c r="I5" i="65" s="1"/>
  <c r="K5" i="65" s="1"/>
  <c r="M5" i="65" s="1"/>
  <c r="O5" i="65" s="1"/>
  <c r="A59" i="64"/>
  <c r="A60" i="64"/>
  <c r="G7" i="64"/>
  <c r="K7" i="64" s="1"/>
  <c r="A19" i="64"/>
  <c r="A21" i="64"/>
  <c r="A34" i="64"/>
  <c r="A36" i="64"/>
  <c r="A40" i="64"/>
  <c r="A53" i="64"/>
  <c r="A55" i="64"/>
  <c r="E5" i="64"/>
  <c r="G5" i="64" s="1"/>
  <c r="I5" i="64" s="1"/>
  <c r="K5" i="64" s="1"/>
  <c r="M5" i="64" s="1"/>
  <c r="E26" i="64"/>
  <c r="E27" i="64" s="1"/>
  <c r="E23" i="64"/>
  <c r="E17" i="64"/>
  <c r="E14" i="64"/>
  <c r="E15" i="64" s="1"/>
  <c r="E11" i="64"/>
  <c r="A72" i="70" l="1"/>
  <c r="A73" i="70" s="1"/>
  <c r="C74" i="70" s="1"/>
  <c r="Z76" i="68"/>
  <c r="A79" i="70"/>
  <c r="A80" i="70" s="1"/>
  <c r="A81" i="70" s="1"/>
  <c r="A82" i="70" s="1"/>
  <c r="A83" i="70" s="1"/>
  <c r="A84" i="70"/>
  <c r="Q5" i="65"/>
  <c r="S5" i="65" s="1"/>
  <c r="U5" i="65" s="1"/>
  <c r="W5" i="65" s="1"/>
  <c r="Y5" i="65" s="1"/>
  <c r="AA5" i="65" s="1"/>
  <c r="AC5" i="65" s="1"/>
  <c r="AE5" i="65" s="1"/>
  <c r="AG5" i="65" s="1"/>
  <c r="AI5" i="65" s="1"/>
  <c r="AK5" i="65" s="1"/>
  <c r="AM5" i="65" s="1"/>
  <c r="AO5" i="65" s="1"/>
  <c r="AQ5" i="65" s="1"/>
  <c r="AR5" i="65" s="1"/>
  <c r="AT5" i="65" s="1"/>
  <c r="AO14" i="65"/>
  <c r="D77" i="1"/>
  <c r="I77" i="1" s="1"/>
  <c r="C8" i="64"/>
  <c r="E18" i="64"/>
  <c r="E24" i="64"/>
  <c r="E12" i="64"/>
  <c r="C84" i="70" l="1"/>
  <c r="C9" i="64"/>
  <c r="G8" i="64"/>
  <c r="K8" i="64" s="1"/>
  <c r="A86" i="70"/>
  <c r="A8" i="64"/>
  <c r="C10" i="64" l="1"/>
  <c r="G9" i="64"/>
  <c r="K9" i="64" s="1"/>
  <c r="E43" i="64"/>
  <c r="A88" i="70"/>
  <c r="A95" i="70"/>
  <c r="A9" i="64"/>
  <c r="E44" i="64" l="1"/>
  <c r="E45" i="64" s="1"/>
  <c r="E46" i="64" s="1"/>
  <c r="E47" i="64" s="1"/>
  <c r="E48" i="64" s="1"/>
  <c r="E49" i="64" s="1"/>
  <c r="E50" i="64" s="1"/>
  <c r="E51" i="64" s="1"/>
  <c r="E52" i="64" s="1"/>
  <c r="A89" i="70"/>
  <c r="A90" i="70" s="1"/>
  <c r="C11" i="64"/>
  <c r="G10" i="64"/>
  <c r="A98" i="70"/>
  <c r="A100" i="70" s="1"/>
  <c r="M9" i="64"/>
  <c r="I10" i="64" s="1"/>
  <c r="C95" i="70" l="1"/>
  <c r="A91" i="70"/>
  <c r="A92" i="70" s="1"/>
  <c r="C12" i="64"/>
  <c r="G11" i="64"/>
  <c r="A105" i="70"/>
  <c r="A10" i="64"/>
  <c r="K10" i="64"/>
  <c r="I11" i="64"/>
  <c r="I12" i="64" s="1"/>
  <c r="A101" i="70" l="1"/>
  <c r="A102" i="70" s="1"/>
  <c r="A103" i="70" s="1"/>
  <c r="A104" i="70" s="1"/>
  <c r="A11" i="64"/>
  <c r="A12" i="64" s="1"/>
  <c r="K11" i="64"/>
  <c r="C13" i="64"/>
  <c r="G12" i="64"/>
  <c r="K12" i="64" s="1"/>
  <c r="A107" i="70"/>
  <c r="C105" i="70" l="1"/>
  <c r="M12" i="64"/>
  <c r="I13" i="64" s="1"/>
  <c r="I14" i="64" s="1"/>
  <c r="C14" i="64"/>
  <c r="G13" i="64"/>
  <c r="A109" i="70"/>
  <c r="C110" i="70" s="1"/>
  <c r="A110" i="70"/>
  <c r="K13" i="64" l="1"/>
  <c r="A13" i="64"/>
  <c r="A14" i="64" s="1"/>
  <c r="G14" i="64"/>
  <c r="K14" i="64" s="1"/>
  <c r="C15" i="64"/>
  <c r="A112" i="70"/>
  <c r="I15" i="64"/>
  <c r="C16" i="64" l="1"/>
  <c r="G15" i="64"/>
  <c r="K15" i="64" s="1"/>
  <c r="A15" i="64"/>
  <c r="G16" i="64" l="1"/>
  <c r="C17" i="64"/>
  <c r="M15" i="64"/>
  <c r="I16" i="64" s="1"/>
  <c r="I17" i="64" s="1"/>
  <c r="I18" i="64" s="1"/>
  <c r="G17" i="64" l="1"/>
  <c r="K17" i="64" s="1"/>
  <c r="C18" i="64"/>
  <c r="A16" i="64"/>
  <c r="K16" i="64"/>
  <c r="C22" i="64" l="1"/>
  <c r="G18" i="64"/>
  <c r="A17" i="64"/>
  <c r="A18" i="64" s="1"/>
  <c r="G22" i="64" l="1"/>
  <c r="C23" i="64"/>
  <c r="K18" i="64"/>
  <c r="M18" i="64" s="1"/>
  <c r="I20" i="64" s="1"/>
  <c r="I22" i="64" s="1"/>
  <c r="C24" i="64" l="1"/>
  <c r="G23" i="64"/>
  <c r="K22" i="64"/>
  <c r="A20" i="64"/>
  <c r="A22" i="64" s="1"/>
  <c r="I23" i="64"/>
  <c r="C25" i="64" l="1"/>
  <c r="G24" i="64"/>
  <c r="A23" i="64"/>
  <c r="I24" i="64"/>
  <c r="K23" i="64"/>
  <c r="C26" i="64" l="1"/>
  <c r="G25" i="64"/>
  <c r="K24" i="64"/>
  <c r="M24" i="64" s="1"/>
  <c r="I25" i="64" s="1"/>
  <c r="A24" i="64"/>
  <c r="C27" i="64" l="1"/>
  <c r="G26" i="64"/>
  <c r="I26" i="64"/>
  <c r="I27" i="64" s="1"/>
  <c r="G27" i="64" l="1"/>
  <c r="K27" i="64" s="1"/>
  <c r="C28" i="64"/>
  <c r="A25" i="64"/>
  <c r="A26" i="64" s="1"/>
  <c r="A27" i="64" s="1"/>
  <c r="K25" i="64"/>
  <c r="K26" i="64"/>
  <c r="G28" i="64" l="1"/>
  <c r="C29" i="64"/>
  <c r="M27" i="64"/>
  <c r="I28" i="64" s="1"/>
  <c r="I29" i="64" s="1"/>
  <c r="G29" i="64" l="1"/>
  <c r="K29" i="64" s="1"/>
  <c r="C30" i="64"/>
  <c r="A28" i="64"/>
  <c r="A29" i="64" s="1"/>
  <c r="K28" i="64"/>
  <c r="I30" i="64"/>
  <c r="C31" i="64" l="1"/>
  <c r="G30" i="64"/>
  <c r="K30" i="64" s="1"/>
  <c r="M30" i="64" s="1"/>
  <c r="A30" i="64"/>
  <c r="G31" i="64" l="1"/>
  <c r="C32" i="64"/>
  <c r="G32" i="64" s="1"/>
  <c r="I31" i="64"/>
  <c r="K31" i="64" l="1"/>
  <c r="C33" i="64"/>
  <c r="A31" i="64"/>
  <c r="I32" i="64"/>
  <c r="I33" i="64" s="1"/>
  <c r="G33" i="64" l="1"/>
  <c r="K33" i="64" s="1"/>
  <c r="C41" i="64"/>
  <c r="G41" i="64" s="1"/>
  <c r="K32" i="64"/>
  <c r="A32" i="64"/>
  <c r="A33" i="64" s="1"/>
  <c r="C42" i="64" l="1"/>
  <c r="M33" i="64"/>
  <c r="I35" i="64" s="1"/>
  <c r="G42" i="64" l="1"/>
  <c r="C43" i="64"/>
  <c r="I37" i="64"/>
  <c r="I39" i="64" s="1"/>
  <c r="I56" i="64" s="1"/>
  <c r="I58" i="64" s="1"/>
  <c r="A35" i="64"/>
  <c r="I41" i="64" l="1"/>
  <c r="G43" i="64"/>
  <c r="C44" i="64"/>
  <c r="A37" i="64"/>
  <c r="A38" i="64" s="1"/>
  <c r="A39" i="64" s="1"/>
  <c r="I42" i="64" l="1"/>
  <c r="I43" i="64" s="1"/>
  <c r="K43" i="64" s="1"/>
  <c r="K41" i="64"/>
  <c r="C45" i="64"/>
  <c r="G44" i="64"/>
  <c r="A41" i="64"/>
  <c r="A42" i="64" s="1"/>
  <c r="K42" i="64" l="1"/>
  <c r="M43" i="64" s="1"/>
  <c r="I44" i="64" s="1"/>
  <c r="I45" i="64" s="1"/>
  <c r="C46" i="64"/>
  <c r="G45" i="64"/>
  <c r="A43" i="64"/>
  <c r="G46" i="64" l="1"/>
  <c r="C47" i="64"/>
  <c r="A44" i="64"/>
  <c r="A45" i="64" s="1"/>
  <c r="K44" i="64"/>
  <c r="I46" i="64"/>
  <c r="K45" i="64"/>
  <c r="G47" i="64" l="1"/>
  <c r="C48" i="64"/>
  <c r="K46" i="64"/>
  <c r="M46" i="64" s="1"/>
  <c r="I47" i="64" s="1"/>
  <c r="A46" i="64"/>
  <c r="C49" i="64" l="1"/>
  <c r="G48" i="64"/>
  <c r="K47" i="64"/>
  <c r="I48" i="64"/>
  <c r="A47" i="64"/>
  <c r="C50" i="64" l="1"/>
  <c r="G49" i="64"/>
  <c r="A48" i="64"/>
  <c r="K48" i="64"/>
  <c r="I49" i="64"/>
  <c r="C51" i="64" l="1"/>
  <c r="G50" i="64"/>
  <c r="K49" i="64"/>
  <c r="M49" i="64" s="1"/>
  <c r="I50" i="64" s="1"/>
  <c r="A49" i="64"/>
  <c r="C52" i="64" l="1"/>
  <c r="G52" i="64" s="1"/>
  <c r="G51" i="64"/>
  <c r="I51" i="64"/>
  <c r="K50" i="64"/>
  <c r="A50" i="64"/>
  <c r="A51" i="64" l="1"/>
  <c r="I52" i="64"/>
  <c r="K51" i="64"/>
  <c r="K52" i="64" l="1"/>
  <c r="M52" i="64" s="1"/>
  <c r="I54" i="64" s="1"/>
  <c r="A52" i="64"/>
  <c r="A54" i="64" l="1"/>
  <c r="A56" i="64" s="1"/>
  <c r="A57" i="64" s="1"/>
  <c r="A58" i="64" s="1"/>
  <c r="A61" i="64" l="1"/>
  <c r="A62" i="64" s="1"/>
  <c r="A63" i="64" s="1"/>
  <c r="G64" i="64" s="1"/>
  <c r="A64" i="64" s="1"/>
  <c r="A65" i="64" s="1"/>
  <c r="F5" i="60" l="1"/>
  <c r="H5" i="60" s="1"/>
  <c r="J5" i="60" s="1"/>
  <c r="L5" i="60" s="1"/>
  <c r="B9" i="60"/>
  <c r="B10" i="60" s="1"/>
  <c r="I61" i="64" l="1"/>
  <c r="B11" i="60"/>
  <c r="B12" i="60" s="1"/>
  <c r="A11" i="61"/>
  <c r="G5" i="59"/>
  <c r="I5" i="59" s="1"/>
  <c r="K5" i="59" s="1"/>
  <c r="M5" i="59" s="1"/>
  <c r="O5" i="59" s="1"/>
  <c r="Q5" i="59" s="1"/>
  <c r="S5" i="59" s="1"/>
  <c r="U5" i="59" s="1"/>
  <c r="W5" i="59" s="1"/>
  <c r="I179" i="1"/>
  <c r="B13" i="60" l="1"/>
  <c r="B14" i="60" s="1"/>
  <c r="A12" i="61"/>
  <c r="C14" i="61" s="1"/>
  <c r="A14" i="61"/>
  <c r="A8" i="59"/>
  <c r="D14" i="1" l="1"/>
  <c r="B15" i="60"/>
  <c r="A9" i="59"/>
  <c r="A10" i="59" s="1"/>
  <c r="A11" i="59" s="1"/>
  <c r="E15" i="57"/>
  <c r="A15" i="57"/>
  <c r="E5" i="57"/>
  <c r="G5" i="57" s="1"/>
  <c r="I5" i="57" s="1"/>
  <c r="K5" i="57" s="1"/>
  <c r="M5" i="57" s="1"/>
  <c r="O5" i="57" s="1"/>
  <c r="Q5" i="57" s="1"/>
  <c r="S5" i="57" s="1"/>
  <c r="U5" i="57" s="1"/>
  <c r="W5" i="57" s="1"/>
  <c r="Y5" i="57" s="1"/>
  <c r="AA5" i="57" s="1"/>
  <c r="AC5" i="57" s="1"/>
  <c r="AE5" i="57" s="1"/>
  <c r="AG5" i="57" s="1"/>
  <c r="AI5" i="57" s="1"/>
  <c r="AK5" i="57" s="1"/>
  <c r="AM5" i="57" s="1"/>
  <c r="AO5" i="57" s="1"/>
  <c r="AQ5" i="57" s="1"/>
  <c r="AS5" i="57" s="1"/>
  <c r="AU5" i="57" s="1"/>
  <c r="AW5" i="57" s="1"/>
  <c r="AY5" i="57" s="1"/>
  <c r="BA5" i="57" s="1"/>
  <c r="AO7" i="57"/>
  <c r="AM7" i="57"/>
  <c r="AK7" i="57"/>
  <c r="AI7" i="57"/>
  <c r="AG7" i="57"/>
  <c r="AE7" i="57"/>
  <c r="AC7" i="57"/>
  <c r="AA7" i="57"/>
  <c r="Y7" i="57"/>
  <c r="W7" i="57"/>
  <c r="U7" i="57"/>
  <c r="S7" i="57"/>
  <c r="B16" i="60" l="1"/>
  <c r="A12" i="59"/>
  <c r="A13" i="59" s="1"/>
  <c r="A16" i="57"/>
  <c r="B17" i="60" l="1"/>
  <c r="O15" i="57"/>
  <c r="A18" i="61"/>
  <c r="A14" i="59"/>
  <c r="A16" i="56"/>
  <c r="AW13" i="57" l="1"/>
  <c r="AY13" i="57" s="1"/>
  <c r="B18" i="60"/>
  <c r="AE12" i="57"/>
  <c r="Q15" i="57"/>
  <c r="A19" i="61"/>
  <c r="C21" i="61" s="1"/>
  <c r="A17" i="56"/>
  <c r="C132" i="1"/>
  <c r="AU13" i="57"/>
  <c r="A21" i="61"/>
  <c r="A15" i="59"/>
  <c r="A17" i="54"/>
  <c r="A20" i="54" s="1"/>
  <c r="AE44" i="55"/>
  <c r="AC44" i="55"/>
  <c r="AA44" i="55"/>
  <c r="Y44" i="55"/>
  <c r="W44" i="55"/>
  <c r="U44" i="55"/>
  <c r="S44" i="55"/>
  <c r="Q44" i="55"/>
  <c r="O44" i="55"/>
  <c r="M44" i="55"/>
  <c r="K44" i="55"/>
  <c r="I44" i="55"/>
  <c r="G44" i="55"/>
  <c r="AG43" i="55"/>
  <c r="AK43" i="55" s="1"/>
  <c r="AG42" i="55"/>
  <c r="AK42" i="55" s="1"/>
  <c r="AE38" i="55"/>
  <c r="AC38" i="55"/>
  <c r="AA38" i="55"/>
  <c r="Y38" i="55"/>
  <c r="W38" i="55"/>
  <c r="U38" i="55"/>
  <c r="S38" i="55"/>
  <c r="Q38" i="55"/>
  <c r="O38" i="55"/>
  <c r="M38" i="55"/>
  <c r="K38" i="55"/>
  <c r="I38" i="55"/>
  <c r="G38" i="55"/>
  <c r="AG37" i="55"/>
  <c r="AK37" i="55" s="1"/>
  <c r="AE32" i="55"/>
  <c r="AC32" i="55"/>
  <c r="AA32" i="55"/>
  <c r="Y32" i="55"/>
  <c r="W32" i="55"/>
  <c r="U32" i="55"/>
  <c r="S32" i="55"/>
  <c r="Q32" i="55"/>
  <c r="O32" i="55"/>
  <c r="M32" i="55"/>
  <c r="K32" i="55"/>
  <c r="I32" i="55"/>
  <c r="G32" i="55"/>
  <c r="AG31" i="55"/>
  <c r="AK31" i="55" s="1"/>
  <c r="AG30" i="55"/>
  <c r="AK30" i="55" s="1"/>
  <c r="AE26" i="55"/>
  <c r="AC26" i="55"/>
  <c r="AA26" i="55"/>
  <c r="Y26" i="55"/>
  <c r="W26" i="55"/>
  <c r="U26" i="55"/>
  <c r="S26" i="55"/>
  <c r="Q26" i="55"/>
  <c r="O26" i="55"/>
  <c r="M26" i="55"/>
  <c r="K26" i="55"/>
  <c r="I26" i="55"/>
  <c r="G26" i="55"/>
  <c r="AG25" i="55"/>
  <c r="AE20" i="55"/>
  <c r="AC20" i="55"/>
  <c r="AA20" i="55"/>
  <c r="Y20" i="55"/>
  <c r="W20" i="55"/>
  <c r="U20" i="55"/>
  <c r="S20" i="55"/>
  <c r="Q20" i="55"/>
  <c r="O20" i="55"/>
  <c r="M20" i="55"/>
  <c r="K20" i="55"/>
  <c r="I20" i="55"/>
  <c r="G20" i="55"/>
  <c r="AG19" i="55"/>
  <c r="AK19" i="55" s="1"/>
  <c r="AG18" i="55"/>
  <c r="A14" i="55"/>
  <c r="A16" i="55" s="1"/>
  <c r="AK25" i="55" l="1"/>
  <c r="AK26" i="55" s="1"/>
  <c r="AK18" i="55"/>
  <c r="AK20" i="55" s="1"/>
  <c r="AK32" i="55"/>
  <c r="AK44" i="55"/>
  <c r="AG20" i="55"/>
  <c r="AG12" i="57"/>
  <c r="AI12" i="57" s="1"/>
  <c r="U15" i="57"/>
  <c r="S15" i="57"/>
  <c r="B19" i="60"/>
  <c r="B20" i="60" s="1"/>
  <c r="B25" i="60" s="1"/>
  <c r="B26" i="60" s="1"/>
  <c r="B27" i="60" s="1"/>
  <c r="B28" i="60" s="1"/>
  <c r="B29" i="60" s="1"/>
  <c r="B30" i="60" s="1"/>
  <c r="B31" i="60" s="1"/>
  <c r="B32" i="60" s="1"/>
  <c r="B33" i="60" s="1"/>
  <c r="B34" i="60" s="1"/>
  <c r="B35" i="60" s="1"/>
  <c r="B36" i="60" s="1"/>
  <c r="B37" i="60" s="1"/>
  <c r="A18" i="55"/>
  <c r="AG44" i="55"/>
  <c r="AG38" i="55"/>
  <c r="A16" i="59"/>
  <c r="W15" i="57"/>
  <c r="AG32" i="55"/>
  <c r="AG26" i="55"/>
  <c r="AC14" i="55"/>
  <c r="AA14" i="55"/>
  <c r="Y14" i="55"/>
  <c r="W14" i="55"/>
  <c r="U14" i="55"/>
  <c r="S14" i="55"/>
  <c r="Q14" i="55"/>
  <c r="O14" i="55"/>
  <c r="M14" i="55"/>
  <c r="K14" i="55"/>
  <c r="I14" i="55"/>
  <c r="G14" i="55"/>
  <c r="AG13" i="55"/>
  <c r="AK13" i="55" s="1"/>
  <c r="AK14" i="55" s="1"/>
  <c r="AE7" i="55"/>
  <c r="AC7" i="55"/>
  <c r="AA7" i="55"/>
  <c r="Y7" i="55"/>
  <c r="W7" i="55"/>
  <c r="U7" i="55"/>
  <c r="S7" i="55"/>
  <c r="Q7" i="55"/>
  <c r="O7" i="55"/>
  <c r="M7" i="55"/>
  <c r="K7" i="55"/>
  <c r="I7" i="55"/>
  <c r="K7" i="54"/>
  <c r="M7" i="54"/>
  <c r="O7" i="54"/>
  <c r="Q7" i="54"/>
  <c r="S7" i="54"/>
  <c r="U7" i="54"/>
  <c r="W7" i="54"/>
  <c r="Y7" i="54"/>
  <c r="AA7" i="54"/>
  <c r="AC7" i="54"/>
  <c r="AE7" i="54"/>
  <c r="AG7" i="54"/>
  <c r="K14" i="54"/>
  <c r="M14" i="54"/>
  <c r="O14" i="54"/>
  <c r="Q14" i="54"/>
  <c r="S14" i="54"/>
  <c r="U14" i="54"/>
  <c r="W14" i="54"/>
  <c r="Y14" i="54"/>
  <c r="AA14" i="54"/>
  <c r="AC14" i="54"/>
  <c r="AE14" i="54"/>
  <c r="AG14" i="54"/>
  <c r="AG14" i="55" l="1"/>
  <c r="AG46" i="55" s="1"/>
  <c r="A20" i="55"/>
  <c r="A22" i="55" s="1"/>
  <c r="AK12" i="57"/>
  <c r="AM12" i="57" s="1"/>
  <c r="AO12" i="57" s="1"/>
  <c r="A24" i="57"/>
  <c r="A21" i="57"/>
  <c r="G5" i="55"/>
  <c r="I5" i="55" s="1"/>
  <c r="K5" i="55" s="1"/>
  <c r="M5" i="55" s="1"/>
  <c r="O5" i="55" s="1"/>
  <c r="Q5" i="55" s="1"/>
  <c r="S5" i="55" s="1"/>
  <c r="U5" i="55" s="1"/>
  <c r="W5" i="55" s="1"/>
  <c r="Y5" i="55" s="1"/>
  <c r="AA5" i="55" s="1"/>
  <c r="AC5" i="55" s="1"/>
  <c r="AE5" i="55" s="1"/>
  <c r="AG5" i="55" s="1"/>
  <c r="AH5" i="55" s="1"/>
  <c r="AI5" i="55" s="1"/>
  <c r="AK5" i="55" s="1"/>
  <c r="A19" i="55"/>
  <c r="C20" i="55" s="1"/>
  <c r="G5" i="54"/>
  <c r="I5" i="54" s="1"/>
  <c r="K5" i="54" s="1"/>
  <c r="M5" i="54" s="1"/>
  <c r="O5" i="54" s="1"/>
  <c r="Q5" i="54" s="1"/>
  <c r="S5" i="54" s="1"/>
  <c r="U5" i="54" s="1"/>
  <c r="W5" i="54" s="1"/>
  <c r="Y5" i="54" s="1"/>
  <c r="AA5" i="54" s="1"/>
  <c r="AC5" i="54" s="1"/>
  <c r="AE5" i="54" s="1"/>
  <c r="AG5" i="54" s="1"/>
  <c r="AI5" i="54" s="1"/>
  <c r="A17" i="59"/>
  <c r="A18" i="59" s="1"/>
  <c r="A19" i="59" s="1"/>
  <c r="A20" i="59" s="1"/>
  <c r="A21" i="59" s="1"/>
  <c r="Y15" i="57"/>
  <c r="AW12" i="57" l="1"/>
  <c r="AY12" i="57" s="1"/>
  <c r="AQ12" i="57"/>
  <c r="AU12" i="57" s="1"/>
  <c r="A25" i="57"/>
  <c r="C27" i="57"/>
  <c r="A22" i="57"/>
  <c r="C24" i="57"/>
  <c r="AK5" i="54"/>
  <c r="AM5" i="54" s="1"/>
  <c r="A25" i="61"/>
  <c r="A22" i="59"/>
  <c r="A23" i="59" s="1"/>
  <c r="AA15" i="57"/>
  <c r="A24" i="55" l="1"/>
  <c r="A26" i="55"/>
  <c r="A28" i="55" s="1"/>
  <c r="AW15" i="57"/>
  <c r="AY15" i="57"/>
  <c r="AY27" i="57" s="1"/>
  <c r="D123" i="1" s="1"/>
  <c r="I123" i="1" s="1"/>
  <c r="A26" i="61"/>
  <c r="C28" i="61" s="1"/>
  <c r="A27" i="57"/>
  <c r="A28" i="61"/>
  <c r="A24" i="59"/>
  <c r="A25" i="59" s="1"/>
  <c r="A26" i="59" s="1"/>
  <c r="A27" i="59" s="1"/>
  <c r="A28" i="59" s="1"/>
  <c r="A29" i="59" s="1"/>
  <c r="A30" i="59" s="1"/>
  <c r="A31" i="59" s="1"/>
  <c r="AC15" i="57"/>
  <c r="A25" i="55" l="1"/>
  <c r="C26" i="55"/>
  <c r="A32" i="59"/>
  <c r="E32" i="59"/>
  <c r="AE15" i="57"/>
  <c r="A30" i="55" l="1"/>
  <c r="A32" i="55"/>
  <c r="A34" i="55" s="1"/>
  <c r="A38" i="59"/>
  <c r="A39" i="59" s="1"/>
  <c r="A40" i="59" s="1"/>
  <c r="A41" i="59" s="1"/>
  <c r="A42" i="59" s="1"/>
  <c r="A43" i="59" s="1"/>
  <c r="A44" i="59" s="1"/>
  <c r="A45" i="59" s="1"/>
  <c r="A46" i="59" s="1"/>
  <c r="A47" i="59" s="1"/>
  <c r="A48" i="59" s="1"/>
  <c r="A49" i="59" s="1"/>
  <c r="A50" i="59" s="1"/>
  <c r="A51" i="59" s="1"/>
  <c r="AG15" i="57"/>
  <c r="A31" i="55" l="1"/>
  <c r="C32" i="55" s="1"/>
  <c r="A52" i="59"/>
  <c r="E52" i="59"/>
  <c r="AI15" i="57"/>
  <c r="C122" i="1" l="1"/>
  <c r="U54" i="59"/>
  <c r="A36" i="55"/>
  <c r="A37" i="55" s="1"/>
  <c r="C38" i="55" s="1"/>
  <c r="A38" i="55"/>
  <c r="A40" i="55" s="1"/>
  <c r="A54" i="59"/>
  <c r="AK15" i="57"/>
  <c r="AO15" i="57" l="1"/>
  <c r="AM15" i="57"/>
  <c r="A42" i="55" l="1"/>
  <c r="A44" i="55"/>
  <c r="AQ15" i="57"/>
  <c r="AU15" i="57"/>
  <c r="A46" i="55" l="1"/>
  <c r="A48" i="55" s="1"/>
  <c r="C46" i="55"/>
  <c r="A43" i="55"/>
  <c r="C44" i="55" s="1"/>
  <c r="T12" i="39"/>
  <c r="T13" i="39"/>
  <c r="T11" i="39"/>
  <c r="T10" i="39"/>
  <c r="E12" i="39"/>
  <c r="E13" i="39"/>
  <c r="AI13" i="39" l="1"/>
  <c r="K29" i="13"/>
  <c r="Q46" i="42" l="1"/>
  <c r="Q19" i="42"/>
  <c r="K33" i="13"/>
  <c r="G191" i="1"/>
  <c r="S46" i="42" l="1"/>
  <c r="K19" i="42"/>
  <c r="G6" i="39"/>
  <c r="H6" i="39" s="1"/>
  <c r="I6" i="39" s="1"/>
  <c r="J6" i="39" s="1"/>
  <c r="C39" i="42"/>
  <c r="F44" i="47" l="1"/>
  <c r="F42" i="47"/>
  <c r="F46" i="47" l="1"/>
  <c r="E10" i="33"/>
  <c r="E12" i="33" s="1"/>
  <c r="I46" i="47" l="1"/>
  <c r="J40" i="47" l="1"/>
  <c r="F71" i="51" l="1"/>
  <c r="F69" i="51"/>
  <c r="E56" i="51"/>
  <c r="F54" i="51"/>
  <c r="F52" i="51"/>
  <c r="K31" i="51"/>
  <c r="I31" i="51"/>
  <c r="G31" i="51"/>
  <c r="E31" i="51"/>
  <c r="C31" i="51"/>
  <c r="K30" i="51"/>
  <c r="I30" i="51"/>
  <c r="G30" i="51"/>
  <c r="E30" i="51"/>
  <c r="C30" i="51"/>
  <c r="F27" i="51"/>
  <c r="H27" i="51" s="1"/>
  <c r="J27" i="51" s="1"/>
  <c r="L27" i="51" s="1"/>
  <c r="F26" i="51"/>
  <c r="H26" i="51" s="1"/>
  <c r="J26" i="51" s="1"/>
  <c r="L26" i="51" s="1"/>
  <c r="K23" i="51"/>
  <c r="I23" i="51"/>
  <c r="G23" i="51"/>
  <c r="E23" i="51"/>
  <c r="C23" i="51"/>
  <c r="K22" i="51"/>
  <c r="I22" i="51"/>
  <c r="G22" i="51"/>
  <c r="E22" i="51"/>
  <c r="C22" i="51"/>
  <c r="F19" i="51"/>
  <c r="H19" i="51" s="1"/>
  <c r="J19" i="51" s="1"/>
  <c r="L19" i="51" s="1"/>
  <c r="F18" i="51"/>
  <c r="H18" i="51" s="1"/>
  <c r="J18" i="51" s="1"/>
  <c r="L18" i="51" s="1"/>
  <c r="K15" i="51"/>
  <c r="C15" i="51"/>
  <c r="K14" i="51"/>
  <c r="C14" i="51"/>
  <c r="C13" i="51"/>
  <c r="F10" i="51"/>
  <c r="H10" i="51" s="1"/>
  <c r="J10" i="51" s="1"/>
  <c r="L10" i="51" s="1"/>
  <c r="K25" i="47"/>
  <c r="I25" i="47"/>
  <c r="G25" i="47"/>
  <c r="E25" i="47"/>
  <c r="C25" i="47"/>
  <c r="F22" i="47"/>
  <c r="H22" i="47" s="1"/>
  <c r="J22" i="47" s="1"/>
  <c r="L22" i="47" s="1"/>
  <c r="K19" i="47"/>
  <c r="I19" i="47"/>
  <c r="G19" i="47"/>
  <c r="E19" i="47"/>
  <c r="C19" i="47"/>
  <c r="F16" i="47"/>
  <c r="H16" i="47" s="1"/>
  <c r="J16" i="47" s="1"/>
  <c r="L16" i="47" s="1"/>
  <c r="J10" i="47"/>
  <c r="L10" i="47" s="1"/>
  <c r="G67" i="51" l="1"/>
  <c r="G50" i="51"/>
  <c r="H50" i="51"/>
  <c r="G42" i="47"/>
  <c r="H42" i="47" s="1"/>
  <c r="J42" i="47" s="1"/>
  <c r="G44" i="47"/>
  <c r="G54" i="51"/>
  <c r="H54" i="51" s="1"/>
  <c r="F56" i="51"/>
  <c r="G71" i="51"/>
  <c r="F73" i="51"/>
  <c r="G52" i="51"/>
  <c r="H52" i="51" s="1"/>
  <c r="J52" i="51" s="1"/>
  <c r="K52" i="51" s="1"/>
  <c r="G69" i="51"/>
  <c r="H69" i="51" s="1"/>
  <c r="G56" i="51" l="1"/>
  <c r="J54" i="51"/>
  <c r="K54" i="51" s="1"/>
  <c r="J50" i="51"/>
  <c r="K50" i="51" s="1"/>
  <c r="H56" i="51"/>
  <c r="I69" i="51"/>
  <c r="G46" i="47"/>
  <c r="G73" i="51"/>
  <c r="L69" i="51" l="1"/>
  <c r="U83" i="70" l="1"/>
  <c r="W83" i="70" s="1"/>
  <c r="M69" i="51"/>
  <c r="U84" i="70" l="1"/>
  <c r="Q47" i="42"/>
  <c r="K20" i="42" s="1"/>
  <c r="S47" i="42" l="1"/>
  <c r="Y46" i="42"/>
  <c r="U19" i="42" s="1"/>
  <c r="Q50" i="42"/>
  <c r="Q49" i="42"/>
  <c r="K22" i="42" s="1"/>
  <c r="F62" i="14" l="1"/>
  <c r="I62" i="13"/>
  <c r="F62" i="13"/>
  <c r="G62" i="13"/>
  <c r="I41" i="13"/>
  <c r="E41" i="13"/>
  <c r="F41" i="13"/>
  <c r="H41" i="13"/>
  <c r="F62" i="1"/>
  <c r="A47" i="42" l="1"/>
  <c r="A48" i="42"/>
  <c r="A49" i="42"/>
  <c r="A46" i="42"/>
  <c r="I32" i="1" l="1"/>
  <c r="A11" i="39" l="1"/>
  <c r="C11" i="39"/>
  <c r="D11" i="39"/>
  <c r="A12" i="39"/>
  <c r="C12" i="39"/>
  <c r="D12" i="39"/>
  <c r="A13" i="39"/>
  <c r="C13" i="39"/>
  <c r="D13" i="39"/>
  <c r="D10" i="39"/>
  <c r="C10" i="39"/>
  <c r="I20" i="14" l="1"/>
  <c r="I19" i="14"/>
  <c r="I18" i="14"/>
  <c r="I17" i="14"/>
  <c r="I16" i="14"/>
  <c r="I15" i="14"/>
  <c r="I14" i="14"/>
  <c r="I13" i="14"/>
  <c r="I12" i="14"/>
  <c r="I11" i="14"/>
  <c r="I10" i="14"/>
  <c r="I9" i="14"/>
  <c r="I8" i="14"/>
  <c r="H20" i="14"/>
  <c r="H19" i="14"/>
  <c r="H18" i="14"/>
  <c r="H17" i="14"/>
  <c r="H16" i="14"/>
  <c r="H15" i="14"/>
  <c r="H14" i="14"/>
  <c r="H13" i="14"/>
  <c r="H12" i="14"/>
  <c r="H11" i="14"/>
  <c r="H10" i="14"/>
  <c r="H9" i="14"/>
  <c r="H8" i="14"/>
  <c r="G20" i="14"/>
  <c r="G19" i="14"/>
  <c r="G18" i="14"/>
  <c r="G17" i="14"/>
  <c r="G16" i="14"/>
  <c r="G15" i="14"/>
  <c r="G14" i="14"/>
  <c r="G13" i="14"/>
  <c r="G12" i="14"/>
  <c r="G11" i="14"/>
  <c r="G10" i="14"/>
  <c r="G9" i="14"/>
  <c r="G8" i="14"/>
  <c r="E20" i="14"/>
  <c r="E19" i="14"/>
  <c r="E18" i="14"/>
  <c r="E17" i="14"/>
  <c r="E16" i="14"/>
  <c r="E15" i="14"/>
  <c r="E14" i="14"/>
  <c r="E13" i="14"/>
  <c r="E12" i="14"/>
  <c r="E11" i="14"/>
  <c r="E10" i="14"/>
  <c r="E9" i="14"/>
  <c r="E8" i="14"/>
  <c r="I62" i="14"/>
  <c r="H62" i="14"/>
  <c r="G62" i="14"/>
  <c r="E62" i="14"/>
  <c r="C48" i="14"/>
  <c r="C49" i="14" s="1"/>
  <c r="C50" i="14" s="1"/>
  <c r="C51" i="14" s="1"/>
  <c r="C52" i="14" s="1"/>
  <c r="C53" i="14" s="1"/>
  <c r="C54" i="14" s="1"/>
  <c r="C55" i="14" s="1"/>
  <c r="C56" i="14" s="1"/>
  <c r="C57" i="14" s="1"/>
  <c r="C58" i="14" s="1"/>
  <c r="C59" i="14" s="1"/>
  <c r="C60" i="14" s="1"/>
  <c r="I20" i="13"/>
  <c r="I19" i="13"/>
  <c r="I18" i="13"/>
  <c r="I17" i="13"/>
  <c r="I16" i="13"/>
  <c r="I15" i="13"/>
  <c r="I14" i="13"/>
  <c r="I13" i="13"/>
  <c r="I12" i="13"/>
  <c r="I11" i="13"/>
  <c r="I10" i="13"/>
  <c r="I9" i="13"/>
  <c r="I8" i="13"/>
  <c r="H20" i="13"/>
  <c r="H19" i="13"/>
  <c r="H18" i="13"/>
  <c r="H17" i="13"/>
  <c r="H16" i="13"/>
  <c r="H15" i="13"/>
  <c r="H14" i="13"/>
  <c r="H13" i="13"/>
  <c r="H12" i="13"/>
  <c r="H11" i="13"/>
  <c r="H10" i="13"/>
  <c r="H9" i="13"/>
  <c r="H8" i="13"/>
  <c r="G20" i="13"/>
  <c r="G19" i="13"/>
  <c r="G18" i="13"/>
  <c r="G17" i="13"/>
  <c r="G16" i="13"/>
  <c r="G15" i="13"/>
  <c r="G14" i="13"/>
  <c r="G13" i="13"/>
  <c r="G12" i="13"/>
  <c r="G11" i="13"/>
  <c r="G10" i="13"/>
  <c r="G9" i="13"/>
  <c r="G8" i="13"/>
  <c r="E20" i="13"/>
  <c r="E19" i="13"/>
  <c r="E18" i="13"/>
  <c r="E17" i="13"/>
  <c r="E16" i="13"/>
  <c r="E15" i="13"/>
  <c r="E14" i="13"/>
  <c r="E13" i="13"/>
  <c r="E12" i="13"/>
  <c r="E11" i="13"/>
  <c r="E10" i="13"/>
  <c r="E9" i="13"/>
  <c r="H62" i="13"/>
  <c r="E62" i="13"/>
  <c r="H22" i="13" l="1"/>
  <c r="E22" i="13"/>
  <c r="H22" i="14"/>
  <c r="I22" i="14"/>
  <c r="G22" i="14"/>
  <c r="H66" i="5" l="1"/>
  <c r="E66" i="5"/>
  <c r="Q20" i="42" l="1"/>
  <c r="Q22" i="42"/>
  <c r="I20" i="42"/>
  <c r="I22" i="42"/>
  <c r="Q48" i="42"/>
  <c r="S48" i="42" s="1"/>
  <c r="Q25" i="42" l="1"/>
  <c r="W24" i="42" s="1"/>
  <c r="S23" i="42"/>
  <c r="K21" i="42"/>
  <c r="K23" i="42"/>
  <c r="S49" i="42"/>
  <c r="Y49" i="42" s="1"/>
  <c r="U22" i="42" s="1"/>
  <c r="Y48" i="42"/>
  <c r="Y47" i="42"/>
  <c r="U20" i="42" s="1"/>
  <c r="K41" i="1" l="1"/>
  <c r="K109" i="1" s="1"/>
  <c r="K161" i="1" s="1"/>
  <c r="K225" i="1" s="1"/>
  <c r="AI1" i="39"/>
  <c r="J10" i="22" l="1"/>
  <c r="J12" i="22"/>
  <c r="J14" i="22"/>
  <c r="J15" i="22"/>
  <c r="J17" i="22"/>
  <c r="J18" i="22"/>
  <c r="J19" i="22"/>
  <c r="J20" i="22"/>
  <c r="I23" i="22"/>
  <c r="E65" i="5" l="1"/>
  <c r="AI12" i="39" l="1"/>
  <c r="H65" i="5" s="1"/>
  <c r="C27" i="14" l="1"/>
  <c r="C48" i="13"/>
  <c r="C27" i="13"/>
  <c r="U6" i="39"/>
  <c r="H23" i="22"/>
  <c r="I19" i="31" s="1"/>
  <c r="V6" i="39" l="1"/>
  <c r="W6" i="39"/>
  <c r="X6" i="39" l="1"/>
  <c r="K6" i="39" l="1"/>
  <c r="Y6" i="39"/>
  <c r="L6" i="39" l="1"/>
  <c r="Z6" i="39"/>
  <c r="M6" i="39" l="1"/>
  <c r="AA6" i="39"/>
  <c r="N6" i="39" l="1"/>
  <c r="AB6" i="39"/>
  <c r="O6" i="39" l="1"/>
  <c r="AC6" i="39"/>
  <c r="P6" i="39" l="1"/>
  <c r="AD6" i="39"/>
  <c r="Q6" i="39" l="1"/>
  <c r="AE6" i="39"/>
  <c r="R6" i="39" l="1"/>
  <c r="AG6" i="39" s="1"/>
  <c r="AF6" i="39"/>
  <c r="I19" i="42" l="1"/>
  <c r="W23" i="42" l="1"/>
  <c r="S22" i="42"/>
  <c r="W22" i="42" s="1"/>
  <c r="S19" i="42"/>
  <c r="S21" i="42"/>
  <c r="W21" i="42" s="1"/>
  <c r="S20" i="42"/>
  <c r="W20" i="42" s="1"/>
  <c r="S25" i="42" l="1"/>
  <c r="W19" i="42"/>
  <c r="W25" i="42" s="1"/>
  <c r="G202" i="1" l="1"/>
  <c r="T1" i="39"/>
  <c r="S47" i="5"/>
  <c r="S3" i="5"/>
  <c r="E64" i="5"/>
  <c r="AI11" i="39" l="1"/>
  <c r="H64" i="5" s="1"/>
  <c r="AI10" i="39"/>
  <c r="H63" i="5" s="1"/>
  <c r="S49" i="5"/>
  <c r="S3" i="39"/>
  <c r="AI3" i="39" l="1"/>
  <c r="M3" i="6"/>
  <c r="K3" i="71" l="1"/>
  <c r="J3" i="60" s="1"/>
  <c r="AK3" i="54" s="1"/>
  <c r="AH3" i="55" s="1"/>
  <c r="I3" i="67" s="1"/>
  <c r="Y3" i="68" s="1"/>
  <c r="I3" i="72" s="1"/>
  <c r="AT3" i="65" s="1"/>
  <c r="I3" i="61" s="1"/>
  <c r="AZ3" i="57" s="1"/>
  <c r="V3" i="59" s="1"/>
  <c r="K3" i="64"/>
  <c r="F9" i="14"/>
  <c r="F10" i="14"/>
  <c r="F11" i="14"/>
  <c r="F12" i="14"/>
  <c r="F13" i="14"/>
  <c r="F14" i="14"/>
  <c r="F15" i="14"/>
  <c r="F16" i="14"/>
  <c r="F17" i="14"/>
  <c r="F18" i="14"/>
  <c r="F19" i="14"/>
  <c r="F20" i="14"/>
  <c r="F8" i="14"/>
  <c r="C10" i="14"/>
  <c r="C11" i="14" s="1"/>
  <c r="C12" i="14" s="1"/>
  <c r="C13" i="14" s="1"/>
  <c r="C14" i="14" s="1"/>
  <c r="C15" i="14" s="1"/>
  <c r="C16" i="14" s="1"/>
  <c r="C17" i="14" s="1"/>
  <c r="C18" i="14" s="1"/>
  <c r="C19" i="14" s="1"/>
  <c r="C20" i="14" s="1"/>
  <c r="F9" i="13"/>
  <c r="F10" i="13"/>
  <c r="F11" i="13"/>
  <c r="F12" i="13"/>
  <c r="F13" i="13"/>
  <c r="K13" i="13" s="1"/>
  <c r="F14" i="13"/>
  <c r="F15" i="13"/>
  <c r="F16" i="13"/>
  <c r="F17" i="13"/>
  <c r="K17" i="13" s="1"/>
  <c r="F18" i="13"/>
  <c r="F19" i="13"/>
  <c r="F20" i="13"/>
  <c r="F8" i="13"/>
  <c r="K8" i="13" s="1"/>
  <c r="G22" i="13"/>
  <c r="D55" i="1" s="1"/>
  <c r="C9" i="13"/>
  <c r="C10" i="13" s="1"/>
  <c r="C11" i="13" s="1"/>
  <c r="C12" i="13" s="1"/>
  <c r="C13" i="13" s="1"/>
  <c r="C14" i="13" s="1"/>
  <c r="C15" i="13" s="1"/>
  <c r="C16" i="13" s="1"/>
  <c r="C17" i="13" s="1"/>
  <c r="C18" i="13" s="1"/>
  <c r="C19" i="13" s="1"/>
  <c r="C20" i="13" s="1"/>
  <c r="F22" i="13" l="1"/>
  <c r="D54" i="1" s="1"/>
  <c r="I171" i="1" s="1"/>
  <c r="D53" i="1"/>
  <c r="D62" i="1"/>
  <c r="K15" i="13"/>
  <c r="K13" i="14"/>
  <c r="K19" i="14"/>
  <c r="K17" i="14"/>
  <c r="K11" i="14"/>
  <c r="K9" i="14"/>
  <c r="I22" i="13"/>
  <c r="K18" i="13"/>
  <c r="K14" i="13"/>
  <c r="K10" i="13"/>
  <c r="K11" i="13"/>
  <c r="K9" i="13"/>
  <c r="K19" i="13"/>
  <c r="K18" i="14"/>
  <c r="K14" i="14"/>
  <c r="K10" i="14"/>
  <c r="K15" i="14"/>
  <c r="D63" i="1"/>
  <c r="K20" i="14"/>
  <c r="K16" i="14"/>
  <c r="K12" i="14"/>
  <c r="F22" i="14"/>
  <c r="D61" i="1" s="1"/>
  <c r="K8" i="14"/>
  <c r="E22" i="14"/>
  <c r="D60" i="1" s="1"/>
  <c r="K20" i="13"/>
  <c r="K16" i="13"/>
  <c r="K12" i="13"/>
  <c r="I174" i="1" l="1"/>
  <c r="I175" i="1" s="1"/>
  <c r="E189" i="1" s="1"/>
  <c r="G189" i="1" s="1"/>
  <c r="D64" i="1"/>
  <c r="K22" i="13"/>
  <c r="D56" i="1"/>
  <c r="D57" i="1" s="1"/>
  <c r="K22" i="14"/>
  <c r="A7" i="33"/>
  <c r="A8" i="33" s="1"/>
  <c r="G192" i="1" l="1"/>
  <c r="I192" i="1" s="1"/>
  <c r="I183" i="1"/>
  <c r="A9" i="33"/>
  <c r="A10" i="33" s="1"/>
  <c r="A11" i="33" s="1"/>
  <c r="A12" i="33" s="1"/>
  <c r="A14" i="33" s="1"/>
  <c r="A15" i="33" s="1"/>
  <c r="G11" i="70"/>
  <c r="G127" i="1" l="1"/>
  <c r="I14" i="1"/>
  <c r="I14" i="31"/>
  <c r="A14" i="31" l="1"/>
  <c r="A17" i="31" l="1"/>
  <c r="A18" i="31" s="1"/>
  <c r="A19" i="31" s="1"/>
  <c r="A20" i="31" s="1"/>
  <c r="A21" i="31" s="1"/>
  <c r="A25" i="31" s="1"/>
  <c r="A26" i="31" s="1"/>
  <c r="A27" i="31" s="1"/>
  <c r="A28" i="31" s="1"/>
  <c r="A30" i="31" s="1"/>
  <c r="A31" i="31" s="1"/>
  <c r="A32" i="31" l="1"/>
  <c r="A34" i="31" l="1"/>
  <c r="A35" i="31" l="1"/>
  <c r="A36" i="31" l="1"/>
  <c r="A38" i="31" l="1"/>
  <c r="A39" i="31" l="1"/>
  <c r="A40" i="31" s="1"/>
  <c r="A41" i="31" s="1"/>
  <c r="G41" i="31" l="1"/>
  <c r="A43" i="31"/>
  <c r="G43" i="31"/>
  <c r="A48" i="31" l="1"/>
  <c r="A49" i="31" s="1"/>
  <c r="G23" i="22" l="1"/>
  <c r="I20" i="31" s="1"/>
  <c r="F23" i="22"/>
  <c r="E23" i="22"/>
  <c r="I17" i="31" s="1"/>
  <c r="C10" i="22"/>
  <c r="C11" i="22" s="1"/>
  <c r="C12" i="22" s="1"/>
  <c r="C13" i="22" s="1"/>
  <c r="C14" i="22" s="1"/>
  <c r="C15" i="22" s="1"/>
  <c r="C16" i="22" s="1"/>
  <c r="C17" i="22" s="1"/>
  <c r="C18" i="22" s="1"/>
  <c r="C19" i="22" s="1"/>
  <c r="C20" i="22" s="1"/>
  <c r="C21" i="22" s="1"/>
  <c r="C49" i="13"/>
  <c r="C50" i="13" s="1"/>
  <c r="C51" i="13" s="1"/>
  <c r="C52" i="13" s="1"/>
  <c r="C53" i="13" s="1"/>
  <c r="C54" i="13" s="1"/>
  <c r="C55" i="13" s="1"/>
  <c r="C56" i="13" s="1"/>
  <c r="C57" i="13" s="1"/>
  <c r="C58" i="13" s="1"/>
  <c r="C59" i="13" s="1"/>
  <c r="C60" i="13" s="1"/>
  <c r="I41" i="14"/>
  <c r="F41" i="14"/>
  <c r="E41" i="14"/>
  <c r="K39" i="14"/>
  <c r="K38" i="14"/>
  <c r="K37" i="14"/>
  <c r="K36" i="14"/>
  <c r="K35" i="14"/>
  <c r="K34" i="14"/>
  <c r="K33" i="14"/>
  <c r="K32" i="14"/>
  <c r="K31" i="14"/>
  <c r="K30" i="14"/>
  <c r="K29" i="14"/>
  <c r="K27" i="14"/>
  <c r="K28" i="14"/>
  <c r="C28" i="14"/>
  <c r="C29" i="14" s="1"/>
  <c r="C30" i="14" s="1"/>
  <c r="C31" i="14" s="1"/>
  <c r="C32" i="14" s="1"/>
  <c r="C33" i="14" s="1"/>
  <c r="C34" i="14" s="1"/>
  <c r="C35" i="14" s="1"/>
  <c r="C36" i="14" s="1"/>
  <c r="C37" i="14" s="1"/>
  <c r="C38" i="14" s="1"/>
  <c r="C39" i="14" s="1"/>
  <c r="K28" i="13"/>
  <c r="K30" i="13"/>
  <c r="K32" i="13"/>
  <c r="K34" i="13"/>
  <c r="K35" i="13"/>
  <c r="K36" i="13"/>
  <c r="K37" i="13"/>
  <c r="K38" i="13"/>
  <c r="K39" i="13"/>
  <c r="G41" i="13"/>
  <c r="C28" i="13"/>
  <c r="C29" i="13" s="1"/>
  <c r="C30" i="13" s="1"/>
  <c r="C31" i="13" s="1"/>
  <c r="C32" i="13" s="1"/>
  <c r="C33" i="13" s="1"/>
  <c r="C34" i="13" s="1"/>
  <c r="C35" i="13" s="1"/>
  <c r="C36" i="13" s="1"/>
  <c r="C37" i="13" s="1"/>
  <c r="C38" i="13" s="1"/>
  <c r="C39" i="13" s="1"/>
  <c r="A56" i="5"/>
  <c r="A55" i="5"/>
  <c r="J3" i="2"/>
  <c r="M39" i="51" s="1"/>
  <c r="D10" i="2"/>
  <c r="D13" i="2" s="1"/>
  <c r="K164" i="1"/>
  <c r="K228" i="1"/>
  <c r="K112" i="1"/>
  <c r="K44" i="1"/>
  <c r="D47" i="1"/>
  <c r="B60" i="1"/>
  <c r="B67" i="1" s="1"/>
  <c r="F60" i="1"/>
  <c r="G60" i="1"/>
  <c r="B61" i="1"/>
  <c r="B68" i="1" s="1"/>
  <c r="F61" i="1"/>
  <c r="B62" i="1"/>
  <c r="B69" i="1" s="1"/>
  <c r="G62" i="1"/>
  <c r="B63" i="1"/>
  <c r="B70" i="1" s="1"/>
  <c r="D115" i="1"/>
  <c r="B127" i="1"/>
  <c r="D167" i="1"/>
  <c r="D231" i="1"/>
  <c r="I211" i="1"/>
  <c r="K23" i="22"/>
  <c r="D202" i="1" s="1"/>
  <c r="J23" i="22"/>
  <c r="D204" i="1" s="1"/>
  <c r="I25" i="31" l="1"/>
  <c r="G54" i="1"/>
  <c r="G61" i="1" s="1"/>
  <c r="M4" i="51"/>
  <c r="M4" i="47"/>
  <c r="D203" i="1"/>
  <c r="I18" i="31"/>
  <c r="I27" i="31"/>
  <c r="I21" i="31"/>
  <c r="M3" i="22"/>
  <c r="H3" i="33"/>
  <c r="K3" i="56" s="1"/>
  <c r="K3" i="14"/>
  <c r="Y3" i="70" s="1"/>
  <c r="I3" i="26"/>
  <c r="K3" i="13"/>
  <c r="K41" i="13"/>
  <c r="K3" i="31"/>
  <c r="AA3" i="42"/>
  <c r="D67" i="1"/>
  <c r="D70" i="1"/>
  <c r="K41" i="14"/>
  <c r="D69" i="1"/>
  <c r="D68" i="1"/>
  <c r="I34" i="31"/>
  <c r="I26" i="31" l="1"/>
  <c r="D205" i="1"/>
  <c r="I28" i="31" s="1"/>
  <c r="D71" i="1"/>
  <c r="I54" i="1"/>
  <c r="G203" i="1"/>
  <c r="I35" i="31" s="1"/>
  <c r="G104" i="70"/>
  <c r="G45" i="70"/>
  <c r="G90" i="70"/>
  <c r="G16" i="70"/>
  <c r="G14" i="70"/>
  <c r="G91" i="70"/>
  <c r="G18" i="70"/>
  <c r="I12" i="56"/>
  <c r="G31" i="70"/>
  <c r="G19" i="70"/>
  <c r="G89" i="70"/>
  <c r="I11" i="56"/>
  <c r="G17" i="70"/>
  <c r="G24" i="70"/>
  <c r="G13" i="70"/>
  <c r="G29" i="70"/>
  <c r="AI36" i="55"/>
  <c r="G25" i="70"/>
  <c r="I10" i="56"/>
  <c r="G30" i="70"/>
  <c r="G26" i="70"/>
  <c r="G27" i="70"/>
  <c r="W104" i="70" l="1"/>
  <c r="W45" i="70"/>
  <c r="W31" i="70"/>
  <c r="W30" i="70"/>
  <c r="K10" i="56"/>
  <c r="W29" i="70"/>
  <c r="W25" i="70"/>
  <c r="W27" i="70"/>
  <c r="W24" i="70"/>
  <c r="W26" i="70"/>
  <c r="W19" i="70"/>
  <c r="W18" i="70"/>
  <c r="W91" i="70"/>
  <c r="W89" i="70"/>
  <c r="W13" i="70"/>
  <c r="W14" i="70"/>
  <c r="W90" i="70"/>
  <c r="W16" i="70"/>
  <c r="W17" i="70"/>
  <c r="W11" i="70"/>
  <c r="AK36" i="55"/>
  <c r="AK38" i="55" s="1"/>
  <c r="AK46" i="55" s="1"/>
  <c r="K12" i="56"/>
  <c r="K11" i="56"/>
  <c r="O48" i="59"/>
  <c r="Q48" i="59" s="1"/>
  <c r="U48" i="59" s="1"/>
  <c r="O43" i="59"/>
  <c r="Q43" i="59" s="1"/>
  <c r="U43" i="59" s="1"/>
  <c r="O39" i="59"/>
  <c r="O45" i="59"/>
  <c r="Q45" i="59" s="1"/>
  <c r="U45" i="59" s="1"/>
  <c r="O44" i="59"/>
  <c r="Q44" i="59" s="1"/>
  <c r="U44" i="59" s="1"/>
  <c r="Q46" i="59"/>
  <c r="U46" i="59" s="1"/>
  <c r="O51" i="59"/>
  <c r="Q51" i="59" s="1"/>
  <c r="U51" i="59" s="1"/>
  <c r="O47" i="59"/>
  <c r="Q47" i="59" s="1"/>
  <c r="U47" i="59" s="1"/>
  <c r="O42" i="59"/>
  <c r="Q42" i="59" s="1"/>
  <c r="U42" i="59" s="1"/>
  <c r="O38" i="59"/>
  <c r="Q38" i="59" s="1"/>
  <c r="O50" i="59"/>
  <c r="Q50" i="59" s="1"/>
  <c r="U50" i="59" s="1"/>
  <c r="O41" i="59"/>
  <c r="Q41" i="59" s="1"/>
  <c r="U41" i="59" s="1"/>
  <c r="O49" i="59"/>
  <c r="Q49" i="59" s="1"/>
  <c r="U49" i="59" s="1"/>
  <c r="O40" i="59"/>
  <c r="Q40" i="59" s="1"/>
  <c r="U40" i="59" s="1"/>
  <c r="E15" i="33"/>
  <c r="E16" i="33" s="1"/>
  <c r="E18" i="33" s="1"/>
  <c r="G56" i="1"/>
  <c r="I56" i="1" s="1"/>
  <c r="I57" i="1" s="1"/>
  <c r="G18" i="5"/>
  <c r="I61" i="1"/>
  <c r="D75" i="1" l="1"/>
  <c r="I75" i="1" s="1"/>
  <c r="Q39" i="59"/>
  <c r="U39" i="59" s="1"/>
  <c r="U38" i="59"/>
  <c r="D121" i="1"/>
  <c r="I55" i="31"/>
  <c r="I59" i="31" s="1"/>
  <c r="I68" i="1"/>
  <c r="G63" i="1"/>
  <c r="I63" i="1" s="1"/>
  <c r="I70" i="1" s="1"/>
  <c r="G128" i="1"/>
  <c r="I128" i="1" s="1"/>
  <c r="E204" i="1"/>
  <c r="I204" i="1" s="1"/>
  <c r="E203" i="1"/>
  <c r="E202" i="1"/>
  <c r="I127" i="1"/>
  <c r="U52" i="59" l="1"/>
  <c r="Q52" i="59"/>
  <c r="I121" i="1"/>
  <c r="G19" i="5"/>
  <c r="I71" i="1"/>
  <c r="I64" i="1"/>
  <c r="G57" i="1"/>
  <c r="I32" i="31"/>
  <c r="I40" i="31" s="1"/>
  <c r="I202" i="1"/>
  <c r="I30" i="31"/>
  <c r="I38" i="31" s="1"/>
  <c r="I203" i="1"/>
  <c r="I31" i="31"/>
  <c r="I39" i="31" s="1"/>
  <c r="G15" i="70"/>
  <c r="I14" i="56"/>
  <c r="E25" i="67"/>
  <c r="I13" i="56"/>
  <c r="G23" i="70"/>
  <c r="G88" i="70"/>
  <c r="G12" i="70"/>
  <c r="AK12" i="54"/>
  <c r="G92" i="70"/>
  <c r="AK17" i="54"/>
  <c r="I15" i="56"/>
  <c r="D122" i="1" l="1"/>
  <c r="K13" i="56"/>
  <c r="E27" i="67"/>
  <c r="E28" i="67" s="1"/>
  <c r="W23" i="70"/>
  <c r="W12" i="70"/>
  <c r="W15" i="70"/>
  <c r="W92" i="70"/>
  <c r="W88" i="70"/>
  <c r="AM12" i="54"/>
  <c r="AM14" i="54" s="1"/>
  <c r="K15" i="56"/>
  <c r="K14" i="56"/>
  <c r="I41" i="31"/>
  <c r="I49" i="31" s="1"/>
  <c r="AM17" i="54"/>
  <c r="AM20" i="54"/>
  <c r="I57" i="31"/>
  <c r="I205" i="1"/>
  <c r="E15" i="67" s="1"/>
  <c r="E21" i="67" s="1"/>
  <c r="W36" i="70" l="1"/>
  <c r="K16" i="56"/>
  <c r="W95" i="70"/>
  <c r="E29" i="67"/>
  <c r="D81" i="1"/>
  <c r="I81" i="1" s="1"/>
  <c r="D85" i="1"/>
  <c r="AO24" i="57"/>
  <c r="H71" i="51" l="1"/>
  <c r="I71" i="51" s="1"/>
  <c r="L71" i="51" s="1"/>
  <c r="I85" i="1"/>
  <c r="D132" i="1"/>
  <c r="O24" i="57"/>
  <c r="AW27" i="57"/>
  <c r="Q24" i="57"/>
  <c r="E73" i="51" l="1"/>
  <c r="U103" i="70"/>
  <c r="W103" i="70" s="1"/>
  <c r="H67" i="51"/>
  <c r="I67" i="51" s="1"/>
  <c r="M71" i="51"/>
  <c r="I132" i="1"/>
  <c r="S24" i="57"/>
  <c r="K42" i="47"/>
  <c r="H73" i="51" l="1"/>
  <c r="U105" i="70"/>
  <c r="L67" i="51"/>
  <c r="I73" i="51"/>
  <c r="W84" i="70"/>
  <c r="M67" i="51" l="1"/>
  <c r="M73" i="51" s="1"/>
  <c r="U46" i="70"/>
  <c r="W46" i="70" s="1"/>
  <c r="W24" i="57"/>
  <c r="Y24" i="57" l="1"/>
  <c r="AA24" i="57" l="1"/>
  <c r="AC24" i="57" l="1"/>
  <c r="AE24" i="57" l="1"/>
  <c r="AG24" i="57" l="1"/>
  <c r="AI24" i="57" l="1"/>
  <c r="AK24" i="57" l="1"/>
  <c r="AM24" i="57" l="1"/>
  <c r="AQ24" i="57" l="1"/>
  <c r="AQ27" i="57" s="1"/>
  <c r="AU21" i="57"/>
  <c r="I130" i="1"/>
  <c r="AU24" i="57" l="1"/>
  <c r="AU27" i="57" s="1"/>
  <c r="D76" i="1" s="1"/>
  <c r="I76" i="1" s="1"/>
  <c r="G26" i="5"/>
  <c r="G27" i="5" s="1"/>
  <c r="I27" i="5" l="1"/>
  <c r="I122" i="1" l="1"/>
  <c r="G30" i="5"/>
  <c r="G31" i="5" l="1"/>
  <c r="I31" i="5" s="1"/>
  <c r="K40" i="47"/>
  <c r="H44" i="47"/>
  <c r="E46" i="47"/>
  <c r="J44" i="47" l="1"/>
  <c r="J46" i="47" s="1"/>
  <c r="H46" i="47"/>
  <c r="K44" i="47" l="1"/>
  <c r="K46" i="47" s="1"/>
  <c r="W105" i="70" l="1"/>
  <c r="D86" i="1"/>
  <c r="AI14" i="54"/>
  <c r="I86" i="1" l="1"/>
  <c r="I181" i="1" l="1"/>
  <c r="I182" i="1" s="1"/>
  <c r="I184" i="1" s="1"/>
  <c r="K8" i="59" l="1"/>
  <c r="M8" i="59" s="1"/>
  <c r="Q8" i="59" s="1"/>
  <c r="K12" i="59"/>
  <c r="M12" i="59" s="1"/>
  <c r="Q12" i="59" s="1"/>
  <c r="K16" i="59"/>
  <c r="M16" i="59" s="1"/>
  <c r="Q16" i="59" s="1"/>
  <c r="K20" i="59"/>
  <c r="M20" i="59" s="1"/>
  <c r="Q20" i="59" s="1"/>
  <c r="K24" i="59"/>
  <c r="M24" i="59" s="1"/>
  <c r="Q24" i="59" s="1"/>
  <c r="K28" i="59"/>
  <c r="M28" i="59" s="1"/>
  <c r="Q28" i="59" s="1"/>
  <c r="K7" i="59"/>
  <c r="M7" i="59" s="1"/>
  <c r="Q7" i="59" s="1"/>
  <c r="K10" i="59"/>
  <c r="M10" i="59" s="1"/>
  <c r="Q10" i="59" s="1"/>
  <c r="K14" i="59"/>
  <c r="M14" i="59" s="1"/>
  <c r="Q14" i="59" s="1"/>
  <c r="K18" i="59"/>
  <c r="M18" i="59" s="1"/>
  <c r="Q18" i="59" s="1"/>
  <c r="K26" i="59"/>
  <c r="M26" i="59" s="1"/>
  <c r="Q26" i="59" s="1"/>
  <c r="K30" i="59"/>
  <c r="M30" i="59" s="1"/>
  <c r="Q30" i="59" s="1"/>
  <c r="K15" i="59"/>
  <c r="M15" i="59" s="1"/>
  <c r="Q15" i="59" s="1"/>
  <c r="K23" i="59"/>
  <c r="M23" i="59" s="1"/>
  <c r="Q23" i="59" s="1"/>
  <c r="K31" i="59"/>
  <c r="M31" i="59" s="1"/>
  <c r="Q31" i="59" s="1"/>
  <c r="K9" i="59"/>
  <c r="M9" i="59" s="1"/>
  <c r="Q9" i="59" s="1"/>
  <c r="K13" i="59"/>
  <c r="M13" i="59" s="1"/>
  <c r="Q13" i="59" s="1"/>
  <c r="K17" i="59"/>
  <c r="M17" i="59" s="1"/>
  <c r="Q17" i="59" s="1"/>
  <c r="K21" i="59"/>
  <c r="M21" i="59" s="1"/>
  <c r="Q21" i="59" s="1"/>
  <c r="K25" i="59"/>
  <c r="M25" i="59" s="1"/>
  <c r="Q25" i="59" s="1"/>
  <c r="K29" i="59"/>
  <c r="M29" i="59" s="1"/>
  <c r="Q29" i="59" s="1"/>
  <c r="K22" i="59"/>
  <c r="M22" i="59" s="1"/>
  <c r="Q22" i="59" s="1"/>
  <c r="K11" i="59"/>
  <c r="M11" i="59" s="1"/>
  <c r="Q11" i="59" s="1"/>
  <c r="K19" i="59"/>
  <c r="M19" i="59" s="1"/>
  <c r="Q19" i="59" s="1"/>
  <c r="K27" i="59"/>
  <c r="M27" i="59" s="1"/>
  <c r="Q27" i="59" s="1"/>
  <c r="Q32" i="59" l="1"/>
  <c r="W54" i="59" s="1"/>
  <c r="M32" i="59"/>
  <c r="D120" i="1" l="1"/>
  <c r="I120" i="1" s="1"/>
  <c r="I124" i="1" s="1"/>
  <c r="I84" i="1" s="1"/>
  <c r="D124" i="1" l="1"/>
  <c r="D84" i="1" s="1"/>
  <c r="G22" i="5"/>
  <c r="I87" i="1"/>
  <c r="D87" i="1" l="1"/>
  <c r="G23" i="5"/>
  <c r="I23" i="5" l="1"/>
  <c r="I33" i="5" s="1"/>
  <c r="F66" i="5" l="1"/>
  <c r="G66" i="5" s="1"/>
  <c r="F63" i="5"/>
  <c r="G63" i="5" s="1"/>
  <c r="F64" i="5"/>
  <c r="G64" i="5" s="1"/>
  <c r="F65" i="5"/>
  <c r="G65" i="5" s="1"/>
  <c r="L73" i="51"/>
  <c r="U47" i="70" l="1"/>
  <c r="W47" i="70"/>
  <c r="Y112" i="70" l="1"/>
  <c r="D74" i="1" l="1"/>
  <c r="D79" i="1" s="1"/>
  <c r="D89" i="1" s="1"/>
  <c r="D137" i="1" s="1"/>
  <c r="I74" i="1" l="1"/>
  <c r="I79" i="1" s="1"/>
  <c r="I89" i="1" s="1"/>
  <c r="I11" i="31" s="1"/>
  <c r="I43" i="31" s="1"/>
  <c r="I71" i="31" l="1"/>
  <c r="I137" i="1"/>
  <c r="I66" i="31" s="1"/>
  <c r="Q40" i="5"/>
  <c r="Q41" i="5" s="1"/>
  <c r="S41" i="5" s="1"/>
  <c r="I56" i="31"/>
  <c r="I60" i="31" s="1"/>
  <c r="Q36" i="5" s="1"/>
  <c r="Q37" i="5" s="1"/>
  <c r="S37" i="5" s="1"/>
  <c r="G40" i="5" l="1"/>
  <c r="G41" i="5" s="1"/>
  <c r="I41" i="5" s="1"/>
  <c r="E20" i="67"/>
  <c r="E22" i="67" s="1"/>
  <c r="E31" i="67" s="1"/>
  <c r="I64" i="31"/>
  <c r="I69" i="31" s="1"/>
  <c r="S43" i="5"/>
  <c r="D135" i="1" l="1"/>
  <c r="D140" i="1" s="1"/>
  <c r="I135" i="1" l="1"/>
  <c r="I67" i="31" s="1"/>
  <c r="I68" i="31" s="1"/>
  <c r="I70" i="31" s="1"/>
  <c r="I72" i="31" s="1"/>
  <c r="I140" i="1" l="1"/>
  <c r="G36" i="5"/>
  <c r="G37" i="5" s="1"/>
  <c r="I37" i="5" s="1"/>
  <c r="I43" i="5" s="1"/>
  <c r="I64" i="5" s="1"/>
  <c r="J64" i="5" s="1"/>
  <c r="L64" i="5" s="1"/>
  <c r="S45" i="5" l="1"/>
  <c r="M64" i="5" s="1"/>
  <c r="N64" i="5" s="1"/>
  <c r="P64" i="5" s="1"/>
  <c r="J18" i="6" s="1"/>
  <c r="I65" i="5"/>
  <c r="J65" i="5" s="1"/>
  <c r="L65" i="5" s="1"/>
  <c r="I63" i="5"/>
  <c r="I66" i="5"/>
  <c r="J66" i="5" s="1"/>
  <c r="L66" i="5" s="1"/>
  <c r="J63" i="5" l="1"/>
  <c r="L63" i="5" s="1"/>
  <c r="M65" i="5"/>
  <c r="N65" i="5" s="1"/>
  <c r="P65" i="5" s="1"/>
  <c r="J19" i="6" s="1"/>
  <c r="M63" i="5"/>
  <c r="M66" i="5"/>
  <c r="N66" i="5" s="1"/>
  <c r="P66" i="5" s="1"/>
  <c r="J20" i="6" s="1"/>
  <c r="N63" i="5" l="1"/>
  <c r="P63" i="5" s="1"/>
  <c r="J17" i="6" s="1"/>
  <c r="M80" i="5"/>
  <c r="J34" i="6" l="1"/>
  <c r="I34" i="6"/>
  <c r="I62" i="71" s="1"/>
  <c r="I63" i="71" s="1"/>
  <c r="I64" i="71" s="1"/>
  <c r="L36" i="6" s="1"/>
  <c r="N79" i="5"/>
  <c r="D15" i="1" s="1"/>
  <c r="I15" i="1" s="1"/>
  <c r="D143" i="1"/>
  <c r="D145" i="1" s="1"/>
  <c r="I16" i="1" l="1"/>
  <c r="K17" i="6"/>
  <c r="L17" i="6" s="1"/>
  <c r="I65" i="71"/>
  <c r="K19" i="6"/>
  <c r="L19" i="6" s="1"/>
  <c r="K20" i="6"/>
  <c r="L20" i="6" s="1"/>
  <c r="K18" i="6"/>
  <c r="L18" i="6" s="1"/>
  <c r="D16" i="1"/>
  <c r="I143" i="1"/>
  <c r="I145" i="1" s="1"/>
  <c r="I11" i="1" s="1"/>
  <c r="I20" i="1" l="1"/>
  <c r="L34" i="6"/>
  <c r="D33" i="1" l="1"/>
  <c r="D35" i="1" s="1"/>
  <c r="D36" i="1" s="1"/>
  <c r="I63" i="64"/>
  <c r="I64" i="64" s="1"/>
  <c r="I65" i="64" s="1"/>
  <c r="D29" i="1"/>
  <c r="I33" i="1"/>
  <c r="I37" i="1" s="1"/>
  <c r="D37" i="1" l="1"/>
  <c r="D34" i="1"/>
  <c r="I35" i="1"/>
  <c r="I36" i="1" s="1"/>
  <c r="I34" i="1"/>
</calcChain>
</file>

<file path=xl/sharedStrings.xml><?xml version="1.0" encoding="utf-8"?>
<sst xmlns="http://schemas.openxmlformats.org/spreadsheetml/2006/main" count="2205" uniqueCount="1166">
  <si>
    <t>page 1 of 5</t>
  </si>
  <si>
    <t xml:space="preserve">Formula Rate - Non-Levelized </t>
  </si>
  <si>
    <t xml:space="preserve">     Rate Formula Template</t>
  </si>
  <si>
    <t xml:space="preserve"> </t>
  </si>
  <si>
    <t xml:space="preserve"> Utilizing FERC Form 1 Data</t>
  </si>
  <si>
    <t>Line</t>
  </si>
  <si>
    <t>Allocated</t>
  </si>
  <si>
    <t>No.</t>
  </si>
  <si>
    <t>Amount</t>
  </si>
  <si>
    <t>Total</t>
  </si>
  <si>
    <t>Allocator</t>
  </si>
  <si>
    <t>TP</t>
  </si>
  <si>
    <t xml:space="preserve">DIVISOR </t>
  </si>
  <si>
    <t>(Note A)</t>
  </si>
  <si>
    <t>(Note B)</t>
  </si>
  <si>
    <t>page 2 of 5</t>
  </si>
  <si>
    <t>(1)</t>
  </si>
  <si>
    <t>(2)</t>
  </si>
  <si>
    <t>(3)</t>
  </si>
  <si>
    <t>(4)</t>
  </si>
  <si>
    <t>(5)</t>
  </si>
  <si>
    <t>(6)</t>
  </si>
  <si>
    <t>Transmission</t>
  </si>
  <si>
    <t>Company Total</t>
  </si>
  <si>
    <t xml:space="preserve">                  Allocator</t>
  </si>
  <si>
    <t>(Col 3 times Col 4)</t>
  </si>
  <si>
    <t>RATE BASE:</t>
  </si>
  <si>
    <t>GROSS PLANT IN SERVICE</t>
  </si>
  <si>
    <t xml:space="preserve">  Production</t>
  </si>
  <si>
    <t>NA</t>
  </si>
  <si>
    <t xml:space="preserve">  Transmission</t>
  </si>
  <si>
    <t xml:space="preserve">  Distribution</t>
  </si>
  <si>
    <t xml:space="preserve">  General &amp; Intangible</t>
  </si>
  <si>
    <t>W/S</t>
  </si>
  <si>
    <t>GP=</t>
  </si>
  <si>
    <t>ACCUMULATED DEPRECIATION</t>
  </si>
  <si>
    <t>219.20-24.c</t>
  </si>
  <si>
    <t>219.26.c</t>
  </si>
  <si>
    <t>NET PLANT IN SERVICE</t>
  </si>
  <si>
    <t xml:space="preserve">LAND HELD FOR FUTURE USE </t>
  </si>
  <si>
    <t xml:space="preserve">  CWC  </t>
  </si>
  <si>
    <t xml:space="preserve">  Prepayments (Account 165)</t>
  </si>
  <si>
    <t xml:space="preserve">  Transmission </t>
  </si>
  <si>
    <t>263.i</t>
  </si>
  <si>
    <t xml:space="preserve">INCOME TAXES          </t>
  </si>
  <si>
    <t xml:space="preserve">     T=1 - {[(1 - SIT) * (1 - FIT)] / (1 - SIT * FIT * p)} =</t>
  </si>
  <si>
    <t xml:space="preserve">     CIT=(T/1-T) * (1-(WCLTD/R)) =</t>
  </si>
  <si>
    <t>Total Income Taxes</t>
  </si>
  <si>
    <t xml:space="preserve">RETURN </t>
  </si>
  <si>
    <t xml:space="preserve">                SUPPORTING CALCULATIONS AND NOTES</t>
  </si>
  <si>
    <t>TRANSMISSION PLANT INCLUDED IN ISO RATES</t>
  </si>
  <si>
    <t>Transmission plant included in ISO rates  (line 1 less lines 2 &amp; 3)</t>
  </si>
  <si>
    <t>TP=</t>
  </si>
  <si>
    <t>WAGES &amp; SALARY ALLOCATOR   (W&amp;S)</t>
  </si>
  <si>
    <t>Form 1 Reference</t>
  </si>
  <si>
    <t>$</t>
  </si>
  <si>
    <t>Allocation</t>
  </si>
  <si>
    <t>W&amp;S Allocator</t>
  </si>
  <si>
    <t xml:space="preserve">  Other</t>
  </si>
  <si>
    <t>($ / Allocation)</t>
  </si>
  <si>
    <t>=</t>
  </si>
  <si>
    <t>RETURN (R)</t>
  </si>
  <si>
    <t>Common Stock</t>
  </si>
  <si>
    <t>Cost</t>
  </si>
  <si>
    <t>%</t>
  </si>
  <si>
    <t>Weighted</t>
  </si>
  <si>
    <t>=WCLTD</t>
  </si>
  <si>
    <t>REVENUE CREDITS</t>
  </si>
  <si>
    <t>ACCOUNT 447 (SALES FOR RESALE)</t>
  </si>
  <si>
    <t>(310-311)</t>
  </si>
  <si>
    <t xml:space="preserve">  Total of (a)-(b)</t>
  </si>
  <si>
    <t>page 5 of 5</t>
  </si>
  <si>
    <t>General Note:  References to pages in this formulary rate are indicated as:  (page#, line#, col.#)</t>
  </si>
  <si>
    <t>Note</t>
  </si>
  <si>
    <t>Letter</t>
  </si>
  <si>
    <t>A</t>
  </si>
  <si>
    <t>B</t>
  </si>
  <si>
    <t>C</t>
  </si>
  <si>
    <t>D</t>
  </si>
  <si>
    <t>E</t>
  </si>
  <si>
    <t>F</t>
  </si>
  <si>
    <t>G</t>
  </si>
  <si>
    <t>Identified in Form 1 as being only transmission related.</t>
  </si>
  <si>
    <t>H</t>
  </si>
  <si>
    <t>I</t>
  </si>
  <si>
    <t>J</t>
  </si>
  <si>
    <t>K</t>
  </si>
  <si>
    <t>L</t>
  </si>
  <si>
    <t>M</t>
  </si>
  <si>
    <t>N</t>
  </si>
  <si>
    <t>O</t>
  </si>
  <si>
    <t>Enter dollar amounts</t>
  </si>
  <si>
    <t>P</t>
  </si>
  <si>
    <t>Q</t>
  </si>
  <si>
    <t>T</t>
  </si>
  <si>
    <t>205.46.g</t>
  </si>
  <si>
    <t>207.75.g</t>
  </si>
  <si>
    <t>354.20.b</t>
  </si>
  <si>
    <t>354.21.b</t>
  </si>
  <si>
    <t>354.23.b</t>
  </si>
  <si>
    <t>page 3 of 5</t>
  </si>
  <si>
    <t>page 4 of 5</t>
  </si>
  <si>
    <t>(Note E)</t>
  </si>
  <si>
    <t>References to data from FERC Form 1 are indicated as:   #.y.x  (page, line, column)</t>
  </si>
  <si>
    <t>(line 1- line 7)</t>
  </si>
  <si>
    <t>(line 2- line 8)</t>
  </si>
  <si>
    <t>(line 3 - line 9)</t>
  </si>
  <si>
    <t>(line 4 - line 10)</t>
  </si>
  <si>
    <t>Total transmission plant  (page 2, line 2, column 3)</t>
  </si>
  <si>
    <t>= WS</t>
  </si>
  <si>
    <t>Percentage of transmission plant included in ISO Rates  (line 4 divided by line 1)</t>
  </si>
  <si>
    <t>Preferred Dividends  (118.29c) (positive number)</t>
  </si>
  <si>
    <t>Revenue Credits for Sched 1A  - Note A</t>
  </si>
  <si>
    <t>Net Schedule 1A Expenses (Line 1 - Line 2)</t>
  </si>
  <si>
    <t>Note:</t>
  </si>
  <si>
    <t>Gross Transmission Plant - Total</t>
  </si>
  <si>
    <t>Net Transmission Plant - Total</t>
  </si>
  <si>
    <t>O&amp;M EXPENSE</t>
  </si>
  <si>
    <t>Total O&amp;M Allocated to Transmission</t>
  </si>
  <si>
    <t>Annual Allocation Factor for O&amp;M</t>
  </si>
  <si>
    <t>TAXES OTHER THAN INCOME TAXES</t>
  </si>
  <si>
    <t>Total Other Taxes</t>
  </si>
  <si>
    <t>Annual Allocation Factor for Other Taxes</t>
  </si>
  <si>
    <t>7</t>
  </si>
  <si>
    <t>Annual Allocation Factor for Expense</t>
  </si>
  <si>
    <t>INCOME TAXES</t>
  </si>
  <si>
    <t>8</t>
  </si>
  <si>
    <t>9</t>
  </si>
  <si>
    <t>Annual Allocation Factor for Income Taxes</t>
  </si>
  <si>
    <t>10</t>
  </si>
  <si>
    <t>Return on Rate Base</t>
  </si>
  <si>
    <t>11</t>
  </si>
  <si>
    <t>Annual Allocation Factor for Return on Rate Base</t>
  </si>
  <si>
    <t>12</t>
  </si>
  <si>
    <t>Annual Allocation Factor for Return</t>
  </si>
  <si>
    <t>Line No.</t>
  </si>
  <si>
    <t>Project Name</t>
  </si>
  <si>
    <t>Annual Expense Charge</t>
  </si>
  <si>
    <t xml:space="preserve">Project Net Plant </t>
  </si>
  <si>
    <t>Annual Return Charge</t>
  </si>
  <si>
    <t>Project Depreciation Expense</t>
  </si>
  <si>
    <t>(Col. 3 * Col. 4)</t>
  </si>
  <si>
    <t>(Col. 6 * Col. 7)</t>
  </si>
  <si>
    <t>Project Net Plant is the Project Gross Plant Identified in Column 3 less the associated Accumulated Depreciation.</t>
  </si>
  <si>
    <t>page 1 of 1</t>
  </si>
  <si>
    <t>Schedule 1A Rate Calculation</t>
  </si>
  <si>
    <t>Reference</t>
  </si>
  <si>
    <t>page 1 of 2</t>
  </si>
  <si>
    <t>(line 3 divided by line 1, col. 3)</t>
  </si>
  <si>
    <t>(line 5 divided by line 1, col. 3)</t>
  </si>
  <si>
    <t>page 2 of 2</t>
  </si>
  <si>
    <t>1 Coincident Peak (CP) (MW)</t>
  </si>
  <si>
    <t>RTEP Project Number</t>
  </si>
  <si>
    <t>Notes</t>
  </si>
  <si>
    <t>Schedule 1A rate $/MWh (Line 3/ Line 4)</t>
  </si>
  <si>
    <t>Project Gross Plant is the total capital investment for the project calculated in the same method as the gross plant value in line 1 above.  This value includes subsequent capital investments required to maintain the project in-service.</t>
  </si>
  <si>
    <t xml:space="preserve">DEPRECIATION AND AMORTIZATION EXPENSE </t>
  </si>
  <si>
    <t>December</t>
  </si>
  <si>
    <t>January</t>
  </si>
  <si>
    <t>February</t>
  </si>
  <si>
    <t>March</t>
  </si>
  <si>
    <t>April</t>
  </si>
  <si>
    <t>May</t>
  </si>
  <si>
    <t>July</t>
  </si>
  <si>
    <t>August</t>
  </si>
  <si>
    <t>September</t>
  </si>
  <si>
    <t>November</t>
  </si>
  <si>
    <t>October</t>
  </si>
  <si>
    <t>3</t>
  </si>
  <si>
    <t>4</t>
  </si>
  <si>
    <t>13</t>
  </si>
  <si>
    <t>14</t>
  </si>
  <si>
    <t>15</t>
  </si>
  <si>
    <t>June</t>
  </si>
  <si>
    <t>Production</t>
  </si>
  <si>
    <t>Distribution</t>
  </si>
  <si>
    <t>General</t>
  </si>
  <si>
    <t>Intangible</t>
  </si>
  <si>
    <t>207.58.g</t>
  </si>
  <si>
    <t>205.5.g</t>
  </si>
  <si>
    <t>207.99.g</t>
  </si>
  <si>
    <t>13-month Average</t>
  </si>
  <si>
    <t>[A]</t>
  </si>
  <si>
    <t>Notes:</t>
  </si>
  <si>
    <t>Reference for December balances as would be reported in FERC Form 1.</t>
  </si>
  <si>
    <t>219.25.c</t>
  </si>
  <si>
    <t>200.21.c</t>
  </si>
  <si>
    <t>219.28.c</t>
  </si>
  <si>
    <t>December 31</t>
  </si>
  <si>
    <t>[B]</t>
  </si>
  <si>
    <t>Proprietary</t>
  </si>
  <si>
    <t>Capital</t>
  </si>
  <si>
    <t>Preferred Stock</t>
  </si>
  <si>
    <t>Account 216.1</t>
  </si>
  <si>
    <t>Long Term Debt</t>
  </si>
  <si>
    <t>112.16.c</t>
  </si>
  <si>
    <t>112.12.c</t>
  </si>
  <si>
    <t>207.57.g</t>
  </si>
  <si>
    <t>True-up Adjustment</t>
  </si>
  <si>
    <t>Projected Annual Revenue Requirement</t>
  </si>
  <si>
    <t>Actual Annual Revenue Requirement</t>
  </si>
  <si>
    <t>Subtotal</t>
  </si>
  <si>
    <t>(a)</t>
  </si>
  <si>
    <t>(b)</t>
  </si>
  <si>
    <t xml:space="preserve">(c) </t>
  </si>
  <si>
    <t>(d)</t>
  </si>
  <si>
    <t>(e)</t>
  </si>
  <si>
    <t>(f)</t>
  </si>
  <si>
    <t>(g)</t>
  </si>
  <si>
    <t>(h)</t>
  </si>
  <si>
    <t>(i)</t>
  </si>
  <si>
    <t>(j)</t>
  </si>
  <si>
    <t>NOTE</t>
  </si>
  <si>
    <t>Amortized Investment Tax Credit (266.8.f) (enter negative)</t>
  </si>
  <si>
    <t xml:space="preserve">  a. Bundled Non-RQ Sales for Resale (311.x.h)</t>
  </si>
  <si>
    <t xml:space="preserve">  b. Bundled Sales for Resale included in Divisor on page 1</t>
  </si>
  <si>
    <t>Calculate using a 13 month average balance.</t>
  </si>
  <si>
    <t>Months</t>
  </si>
  <si>
    <t>Monthly</t>
  </si>
  <si>
    <t>Project Gross Plant</t>
  </si>
  <si>
    <t>Removes dollar amount of transmission plant included in the development of OATT ancillary services rates and generation step-up facilities, which are deemed included in OATT ancillary services.  For these purposes, generation step-up facilities are those facilities at a generator substation on which there is no through-flow when the generator is shut down.</t>
  </si>
  <si>
    <t>[C]</t>
  </si>
  <si>
    <t>Formula Rate Protocols</t>
  </si>
  <si>
    <t>1. Rate of Return on Common Equity ("ROE")</t>
  </si>
  <si>
    <t>2. Postretirement Benefits Other Than Pension ("PBOP")</t>
  </si>
  <si>
    <t>*sometimes referred to as Other Post Employment Benefits, or "OPEB"</t>
  </si>
  <si>
    <t>FERC Account</t>
  </si>
  <si>
    <t>Depr %</t>
  </si>
  <si>
    <t>Section VIII.A</t>
  </si>
  <si>
    <t>Return Calculation</t>
  </si>
  <si>
    <t>Source  Reference</t>
  </si>
  <si>
    <t>Income Tax Rates</t>
  </si>
  <si>
    <t>Source</t>
  </si>
  <si>
    <t xml:space="preserve">  CWIP</t>
  </si>
  <si>
    <t>Tax Effect of Permanent Differences and AFUDC Equity</t>
  </si>
  <si>
    <t xml:space="preserve">       Less Preferred Stock </t>
  </si>
  <si>
    <t xml:space="preserve">       Less Accumulated Other Comprehensive Income Account 219</t>
  </si>
  <si>
    <t>Income Taxes</t>
  </si>
  <si>
    <t>Income Tax Calculation</t>
  </si>
  <si>
    <t xml:space="preserve">ITC adjustment </t>
  </si>
  <si>
    <t xml:space="preserve">Permanent Differences and AFUDC Equity Tax Adjustment </t>
  </si>
  <si>
    <t>(Excess)/Deficient Deferred Income Taxes</t>
  </si>
  <si>
    <t xml:space="preserve">(Excess)/Deficient Deferred Income Tax Adjustment </t>
  </si>
  <si>
    <t>Calculated</t>
  </si>
  <si>
    <t xml:space="preserve">      1 / (1 - T)  = (from line 23)</t>
  </si>
  <si>
    <t>Calculation of PBOP Expenses</t>
  </si>
  <si>
    <t>Increased Return and Taxes</t>
  </si>
  <si>
    <t>(line 7 divided by line 1, col. 3)</t>
  </si>
  <si>
    <t xml:space="preserve">Annual Revenue Requirement </t>
  </si>
  <si>
    <t>(Sum Col. 5, 8, &amp; 9)</t>
  </si>
  <si>
    <t>DA</t>
  </si>
  <si>
    <t>company records</t>
  </si>
  <si>
    <t>(Line 12 * Line 15)</t>
  </si>
  <si>
    <t>(Line 13 * Line 16)</t>
  </si>
  <si>
    <t>(Line 14 * Line 17)</t>
  </si>
  <si>
    <t>Sum lines 29 to 32</t>
  </si>
  <si>
    <t>(line 22 * line 24)</t>
  </si>
  <si>
    <t>(Line 22 + Line 33)</t>
  </si>
  <si>
    <t>Line 34</t>
  </si>
  <si>
    <t>Return without incentive adder</t>
  </si>
  <si>
    <t>Income Tax without incentive adder</t>
  </si>
  <si>
    <t>Line 1</t>
  </si>
  <si>
    <t xml:space="preserve">Rate Base </t>
  </si>
  <si>
    <t>(Note G)</t>
  </si>
  <si>
    <t>Jersey Central Power &amp; Light</t>
  </si>
  <si>
    <t>Accumulated Depreciation</t>
  </si>
  <si>
    <t>Project Net Plant</t>
  </si>
  <si>
    <t>Net Plant Detail</t>
  </si>
  <si>
    <t>Project Gross Plant is the total capital investment for the project, including subsequent capital investments required to maintain the project in-service.  Utilizing a 13-month average.</t>
  </si>
  <si>
    <t>Based on a 13-month average</t>
  </si>
  <si>
    <t>12b</t>
  </si>
  <si>
    <t>13b</t>
  </si>
  <si>
    <t>14b</t>
  </si>
  <si>
    <t>(7)</t>
  </si>
  <si>
    <t>(8)</t>
  </si>
  <si>
    <t>(9)</t>
  </si>
  <si>
    <t xml:space="preserve">Transmission </t>
  </si>
  <si>
    <t>(line 12 divided by line 2, col. 3)</t>
  </si>
  <si>
    <t>(line 12b divided by line 2, col. 3)</t>
  </si>
  <si>
    <t>Line 35 + Line 36</t>
  </si>
  <si>
    <t>Line 38 - Line 37</t>
  </si>
  <si>
    <t>Line 39 / Line 40</t>
  </si>
  <si>
    <t xml:space="preserve">TABLE 1:  Summary Cost of Long Term Debt  </t>
  </si>
  <si>
    <t>CALCULATION OF COST OF DEBT</t>
  </si>
  <si>
    <t>YEAR ENDED</t>
  </si>
  <si>
    <t>(c)</t>
  </si>
  <si>
    <t>Net</t>
  </si>
  <si>
    <t>Average Net</t>
  </si>
  <si>
    <t>Outstanding</t>
  </si>
  <si>
    <t>Effective</t>
  </si>
  <si>
    <t>Debt Cost</t>
  </si>
  <si>
    <t>ORIGINAL</t>
  </si>
  <si>
    <t>Net Proceeds</t>
  </si>
  <si>
    <t>in Year*</t>
  </si>
  <si>
    <t>Cost Rate</t>
  </si>
  <si>
    <t>at t = N</t>
  </si>
  <si>
    <t>t=N</t>
  </si>
  <si>
    <t>Issue Date</t>
  </si>
  <si>
    <t>Maturity Date</t>
  </si>
  <si>
    <t>ISSUANCE</t>
  </si>
  <si>
    <t>At Issuance</t>
  </si>
  <si>
    <t>at t=N</t>
  </si>
  <si>
    <t>z*</t>
  </si>
  <si>
    <t>Ratios</t>
  </si>
  <si>
    <t>(h) * (i)</t>
  </si>
  <si>
    <t>Long Term Debt Cost at Year Ended:</t>
  </si>
  <si>
    <t>First Mortgage Bonds:</t>
  </si>
  <si>
    <t>**</t>
  </si>
  <si>
    <t>t = time</t>
  </si>
  <si>
    <t>The current portion of long term debt is included in the Net Amount Outstanding at t = N in these calculations.</t>
  </si>
  <si>
    <t>The outstanding amount (column (e)) for debt retired during the year is the outstanding amount at the last month it was outstanding.</t>
  </si>
  <si>
    <t>*  z = Average of monthly balances for months outstanding during the year (averge of the balances for the 12 months of the year, with zero in months that the issuance is not outstanding in a month.).</t>
  </si>
  <si>
    <t>Interim (individual debenture) debt cost calculations shall be taken to four decimals in percentages (7.2300%, 5.2582%); Final Total Weighted Average Debt Cost for the Formula Rate shall be rounded to two decimals of a percent (7.03%).</t>
  </si>
  <si>
    <t>TABLE 2:  Effective Cost Rates For Traditional Front-Loaded Debt Issuances:</t>
  </si>
  <si>
    <t>(aa)</t>
  </si>
  <si>
    <t>(bb)</t>
  </si>
  <si>
    <t>(cc)</t>
  </si>
  <si>
    <t>(dd)</t>
  </si>
  <si>
    <t>(ee)</t>
  </si>
  <si>
    <t>(ff)</t>
  </si>
  <si>
    <t>(gg)</t>
  </si>
  <si>
    <t>(hh)</t>
  </si>
  <si>
    <t>(ii)</t>
  </si>
  <si>
    <t>(jj)</t>
  </si>
  <si>
    <t>(kk)</t>
  </si>
  <si>
    <t>(Discount)</t>
  </si>
  <si>
    <t xml:space="preserve">Loss/Gain on </t>
  </si>
  <si>
    <t>Effective Cost Rate*</t>
  </si>
  <si>
    <t>Issue</t>
  </si>
  <si>
    <t>Maturity</t>
  </si>
  <si>
    <t>Premium</t>
  </si>
  <si>
    <t>Issuance</t>
  </si>
  <si>
    <t>Reacquired</t>
  </si>
  <si>
    <t>Proceeds</t>
  </si>
  <si>
    <t>Coupon</t>
  </si>
  <si>
    <t xml:space="preserve">Annual </t>
  </si>
  <si>
    <t>(Yield to Maturity</t>
  </si>
  <si>
    <t xml:space="preserve">Long Term Debt Issuances </t>
  </si>
  <si>
    <t>Affiliate</t>
  </si>
  <si>
    <t>Date</t>
  </si>
  <si>
    <t>Issued</t>
  </si>
  <si>
    <t>at Issuance</t>
  </si>
  <si>
    <t>Expense</t>
  </si>
  <si>
    <t>Debt</t>
  </si>
  <si>
    <t>Ratio</t>
  </si>
  <si>
    <t>Rate</t>
  </si>
  <si>
    <t>Interest</t>
  </si>
  <si>
    <t>at Issuance, t = 0)</t>
  </si>
  <si>
    <t>TOTALS</t>
  </si>
  <si>
    <t>* YTM at issuance calculated from an acceptable bond table or from YTM = Internal Rate of Return (IRR) calculation</t>
  </si>
  <si>
    <t>112.15.c</t>
  </si>
  <si>
    <t>Account 219</t>
  </si>
  <si>
    <t>Total Annual Revenue Requirement</t>
  </si>
  <si>
    <t>Net Revenue Requirement
with True-up</t>
  </si>
  <si>
    <t>(Sum Col. 10 &amp; 11)</t>
  </si>
  <si>
    <t>Additional Annual Allocation Factor for Return</t>
  </si>
  <si>
    <t>Pro-rated Q1</t>
  </si>
  <si>
    <t>Pro-rated Q2</t>
  </si>
  <si>
    <t>Pro-rated Q3</t>
  </si>
  <si>
    <t>Pro-rated Q4</t>
  </si>
  <si>
    <t>Amount included in revenues reported on pages 328-330 of FERC Form 1.</t>
  </si>
  <si>
    <t>% of Total Revenue Requirement</t>
  </si>
  <si>
    <t>Revenue Received</t>
  </si>
  <si>
    <t>Col c, line 1 * Col e</t>
  </si>
  <si>
    <t>Col. f - Col. G</t>
  </si>
  <si>
    <t>2a</t>
  </si>
  <si>
    <t>2b</t>
  </si>
  <si>
    <t>2c</t>
  </si>
  <si>
    <t>ADDITIONAL INCENTIVE REVENUE</t>
  </si>
  <si>
    <t>GROSS REV. REQUIREMENT (WITHOUT INCENTIVE)</t>
  </si>
  <si>
    <t>NET REVENUE REQUIREMENT</t>
  </si>
  <si>
    <t>True-up Adjustment with Interest</t>
  </si>
  <si>
    <t>Actual RTEP Credit Revenues for true-up year</t>
  </si>
  <si>
    <t xml:space="preserve">Col. h + Col. i </t>
  </si>
  <si>
    <t>Sum of line 4, 6, &amp; 8</t>
  </si>
  <si>
    <t>10b</t>
  </si>
  <si>
    <t>11b</t>
  </si>
  <si>
    <t>(line 10b divided by line 2, col. 3)</t>
  </si>
  <si>
    <t>Sum of line 11b and 13b</t>
  </si>
  <si>
    <t>Line 14 b, col. 9 less line 14, col. 4</t>
  </si>
  <si>
    <t>Sum of line 11 and 13</t>
  </si>
  <si>
    <t xml:space="preserve">  TEC Revenue </t>
  </si>
  <si>
    <t>Goodwill</t>
  </si>
  <si>
    <t>(1) - (2) - (3) - (4) - (5)</t>
  </si>
  <si>
    <t>(Page 1, line 9)</t>
  </si>
  <si>
    <t>Page 1, line 14</t>
  </si>
  <si>
    <t>(Note C &amp; H)</t>
  </si>
  <si>
    <t>(Note D &amp; H)</t>
  </si>
  <si>
    <t xml:space="preserve">(Sum Col. 12 &amp; 13) </t>
  </si>
  <si>
    <t>Any actual ROE incentive must be approved by the Commission</t>
  </si>
  <si>
    <t>Additional Incentive Annual Allocation Factor for Return (Note F)</t>
  </si>
  <si>
    <t>Attachment 11, Page 2, Line 3, Col. 12</t>
  </si>
  <si>
    <t>[1]</t>
  </si>
  <si>
    <t>[2]</t>
  </si>
  <si>
    <t>[3]</t>
  </si>
  <si>
    <t>[4]</t>
  </si>
  <si>
    <t>[5]</t>
  </si>
  <si>
    <t>[6]</t>
  </si>
  <si>
    <t>[7]</t>
  </si>
  <si>
    <t xml:space="preserve">Includes only CWIP authorized by the Commission for inclusion in rate base.  </t>
  </si>
  <si>
    <t>Any actual ROE incentive must be approved by the Commission; therefore, line will remain zero until a project(s) is granted an ROE incentive adder.</t>
  </si>
  <si>
    <t>Rate Base</t>
  </si>
  <si>
    <t>Preferred Dividends</t>
  </si>
  <si>
    <t xml:space="preserve"> enter positive</t>
  </si>
  <si>
    <t>Proprietary Capital</t>
  </si>
  <si>
    <t>Capitalization</t>
  </si>
  <si>
    <t>Total  Capitalization</t>
  </si>
  <si>
    <t>Debt %</t>
  </si>
  <si>
    <t>Total Long Term Debt</t>
  </si>
  <si>
    <t>Preferred %</t>
  </si>
  <si>
    <t>Common %</t>
  </si>
  <si>
    <t>Preferred Cost</t>
  </si>
  <si>
    <t>Common Cost</t>
  </si>
  <si>
    <t>Weighted Cost of Debt</t>
  </si>
  <si>
    <t>Total Long Term Debt (WCLTD)</t>
  </si>
  <si>
    <t>Weighted Cost of Preferred</t>
  </si>
  <si>
    <t>Weighted Cost of Common</t>
  </si>
  <si>
    <t>Rate of Return on Rate Base ( ROR )</t>
  </si>
  <si>
    <t>Investment Return = Rate Base * Rate of Return</t>
  </si>
  <si>
    <t>Incentive ROE Calculation</t>
  </si>
  <si>
    <t>Gross Plant Calculation</t>
  </si>
  <si>
    <t>Accumulated Depreciation Calculation</t>
  </si>
  <si>
    <t>Capital Structure Calculation</t>
  </si>
  <si>
    <t>Stated Value Inputs</t>
  </si>
  <si>
    <t>Debt Cost Calculation</t>
  </si>
  <si>
    <t>Columns 5-9 (page 1) only applies with incentive ROE project(s) (Note F)</t>
  </si>
  <si>
    <t>To be completed after Attachment 11 for the True-up Year is updated using actual data</t>
  </si>
  <si>
    <t>Income Tax Adjustments</t>
  </si>
  <si>
    <t xml:space="preserve">       Less Account 216.1 &amp; Goodwill</t>
  </si>
  <si>
    <t>Attachment 8, Line 14, Col. 1</t>
  </si>
  <si>
    <t>Attachment 8, Line 14, Col. 2</t>
  </si>
  <si>
    <t>Attachment 8, Line 14, Col. 6</t>
  </si>
  <si>
    <t>Attachment 8, Line 14, Col. 3 &amp; 5</t>
  </si>
  <si>
    <t>Attachment 8, Line 14, Col. 4</t>
  </si>
  <si>
    <t>Attachment 2, line 33</t>
  </si>
  <si>
    <t>Attachment 2, line 22</t>
  </si>
  <si>
    <t>Actual Revenues for Attachment 11</t>
  </si>
  <si>
    <t>Transmission-related only</t>
  </si>
  <si>
    <t>112.3.c</t>
  </si>
  <si>
    <t>207.98.g</t>
  </si>
  <si>
    <t>JCP&amp;L</t>
  </si>
  <si>
    <t>Annual MWh in JCP&amp;L Zone - Note B</t>
  </si>
  <si>
    <t>Load expressed in MWh consistent with load used for billing under Schedule 1A for the JCP&amp;L zone.  Data from RTO settlement systems for the calendar year prior to the rate year.</t>
  </si>
  <si>
    <r>
      <t xml:space="preserve">Return and Income taxes </t>
    </r>
    <r>
      <rPr>
        <u/>
        <sz val="12"/>
        <rFont val="Arial"/>
        <family val="2"/>
      </rPr>
      <t>without</t>
    </r>
    <r>
      <rPr>
        <sz val="12"/>
        <rFont val="Arial"/>
        <family val="2"/>
      </rPr>
      <t xml:space="preserve"> increase in ROE</t>
    </r>
  </si>
  <si>
    <t>Return and Income taxes with increase in ROE</t>
  </si>
  <si>
    <t>Incremental Return and incomes taxes for increase in ROE</t>
  </si>
  <si>
    <t>Incremental Return and incomes taxes for increase in ROE divided by rate base</t>
  </si>
  <si>
    <t>True-up adjustment is calculated on the project true-up schedule, attachment 12 column j</t>
  </si>
  <si>
    <t>Attachment  H-4A</t>
  </si>
  <si>
    <t>Attachment  H-4A, Attachment 1</t>
  </si>
  <si>
    <t>Revenues received pursuant to PJM Schedule 1A revenue allocation procedures for transmission service outside of JCP&amp;L's zone during the year used to calculate rates under Attachment H-4A.</t>
  </si>
  <si>
    <t>Attachment  H-4A, Attachment 2</t>
  </si>
  <si>
    <t>Attachment  H-4A, Attachment 3</t>
  </si>
  <si>
    <t>Attachment  H-4A, Attachment 4</t>
  </si>
  <si>
    <t>Attachment  H-4A, Attachment 6</t>
  </si>
  <si>
    <t>Attachment  H-4A, Attachment 8</t>
  </si>
  <si>
    <t>Attachment  H-4A, Attachment 9</t>
  </si>
  <si>
    <t>Attachment  H-4A, Attachment 10</t>
  </si>
  <si>
    <t>Attachment  H-4A, Attachment 11</t>
  </si>
  <si>
    <t>To be completed in conjunction with Attachment H-4A</t>
  </si>
  <si>
    <t>Attach. H-4A, p. 2, line 2, col. 5 (Note A)</t>
  </si>
  <si>
    <t>Attach. H-4A, p. 2, line 14, col. 5 (Note B)</t>
  </si>
  <si>
    <t xml:space="preserve">Gross Transmission Plant is that identified on page 2 line 2 of Attachment H-4A. </t>
  </si>
  <si>
    <t>Net Transmission Plant is that identified on page 2 line 14 of Attachment H-4A.</t>
  </si>
  <si>
    <t>Attachment  H-4A, Attachment 11a</t>
  </si>
  <si>
    <t>Attachment  H-4A, Attachment 12</t>
  </si>
  <si>
    <t>New Jersey</t>
  </si>
  <si>
    <t xml:space="preserve">ADJUSTMENTS TO RATE BASE  </t>
  </si>
  <si>
    <t>Annual Rate ($/MW/Yr)</t>
  </si>
  <si>
    <t>(table 2, col. cc)</t>
  </si>
  <si>
    <t>(col. g/col. g total)</t>
  </si>
  <si>
    <t>((col e. * col. F)/12)</t>
  </si>
  <si>
    <t>(line 10 divided by line 2, col. 3)</t>
  </si>
  <si>
    <t>[A] [C]</t>
  </si>
  <si>
    <t>Asset Retirement Costs</t>
  </si>
  <si>
    <t>cost per labor dollar (line 3 / line 4)</t>
  </si>
  <si>
    <t>PBOP Expense for current year (line 5 * line 6)</t>
  </si>
  <si>
    <t>(Col. 6 * Page 1, line 15, Col. 9)</t>
  </si>
  <si>
    <t>True-up Adjustment Principal
Over/(Under)</t>
  </si>
  <si>
    <t>Applicable Interest Rate on 
Over/(Under)</t>
  </si>
  <si>
    <t>Total True-up Adjustment with Interest
Over(Under)</t>
  </si>
  <si>
    <t>Col. H line 2x / Col. H line 3  * Col. J line 4</t>
  </si>
  <si>
    <t>2d</t>
  </si>
  <si>
    <t xml:space="preserve">Total FirstEnergy PBOP expenses </t>
  </si>
  <si>
    <t>Labor dollars (FirstEnergy)</t>
  </si>
  <si>
    <t>Company Records</t>
  </si>
  <si>
    <t>207.74.g</t>
  </si>
  <si>
    <t xml:space="preserve">GROSS REV. REQUIREMENT </t>
  </si>
  <si>
    <t>Average 12 CPs (MW)</t>
  </si>
  <si>
    <t>Point-to-Point Rate ($/MW/Year)</t>
  </si>
  <si>
    <t>Point-to-Point Rate ($/MW/Month)</t>
  </si>
  <si>
    <t>Point-to-Point Rate ($/MW/Week)</t>
  </si>
  <si>
    <t>Point-to-Point Rate ($/MW/Day)</t>
  </si>
  <si>
    <t>Point-to-Point Rate ($/MWh)</t>
  </si>
  <si>
    <t>Peak Rate</t>
  </si>
  <si>
    <t>Off-Peak Rate</t>
  </si>
  <si>
    <t xml:space="preserve">As provided by PJM and in effect at the time of the annual rate calculations pursuant to Section 34.1 of the PJM OATT.  </t>
  </si>
  <si>
    <t>Line 17 to include an incentive ROE that is used only to determine the increase in return and incomes taxes associated with a specific increase in ROE.  Any actual ROE incentive must be approved by the Commission.  Until an ROE incentive is approved, line 17 will reflect the current ROE.</t>
  </si>
  <si>
    <t>Reserve for Depreciation of Asset Retirement Costs</t>
  </si>
  <si>
    <t>Balance excludes Asset Retirements Costs</t>
  </si>
  <si>
    <t>Balance excludes reserve for depreciation of asset retirement costs</t>
  </si>
  <si>
    <t>Q1 Activity</t>
  </si>
  <si>
    <t>Ending Q1</t>
  </si>
  <si>
    <t>Q2 Activity</t>
  </si>
  <si>
    <t xml:space="preserve">Ending Q2 </t>
  </si>
  <si>
    <t>Q3 Activity</t>
  </si>
  <si>
    <t xml:space="preserve">Ending Q3 </t>
  </si>
  <si>
    <t>Q4 Activity</t>
  </si>
  <si>
    <t>Ending Q4</t>
  </si>
  <si>
    <r>
      <t>Effective Cost Rate of Individual Debenture (YTM at issuance):  the t=0 Cashflow C</t>
    </r>
    <r>
      <rPr>
        <vertAlign val="subscript"/>
        <sz val="10"/>
        <rFont val="Arial"/>
        <family val="2"/>
      </rPr>
      <t xml:space="preserve">o </t>
    </r>
    <r>
      <rPr>
        <sz val="10"/>
        <rFont val="Arial"/>
        <family val="2"/>
      </rPr>
      <t>equals Net Proceeds column (gg); Semi-annual (or other) interest cashflows (C</t>
    </r>
    <r>
      <rPr>
        <vertAlign val="subscript"/>
        <sz val="10"/>
        <rFont val="Arial"/>
        <family val="2"/>
      </rPr>
      <t>t=1</t>
    </r>
    <r>
      <rPr>
        <sz val="10"/>
        <rFont val="Arial"/>
        <family val="2"/>
      </rPr>
      <t>, C</t>
    </r>
    <r>
      <rPr>
        <vertAlign val="subscript"/>
        <sz val="10"/>
        <rFont val="Arial"/>
        <family val="2"/>
      </rPr>
      <t>t=2</t>
    </r>
    <r>
      <rPr>
        <sz val="10"/>
        <rFont val="Arial"/>
        <family val="2"/>
      </rPr>
      <t>, etc.).</t>
    </r>
  </si>
  <si>
    <t>Peak as would be reported on page 401, column d of Form 1 at the time of the zonal peak for the twelve month period ending October 31 of the calendar year used to calculate rates.  The projection year will utilize the most recent preceding 12-month period at the time of the filing.</t>
  </si>
  <si>
    <t>Transmission Enhancement Charge (TEC) Worksheet</t>
  </si>
  <si>
    <t>TEC Worksheet Support</t>
  </si>
  <si>
    <t>TEC - True-up</t>
  </si>
  <si>
    <t>205.44.g</t>
  </si>
  <si>
    <t>Removes transmission plant determined by Commission order to be state-jurisdictional according to the seven-factor test (until Form 1 balances are adjusted to reflect application of seven-factor test).</t>
  </si>
  <si>
    <t>Col d, line 2 / Col. d, line 3</t>
  </si>
  <si>
    <t>Lines 3-4 cannot change absent a Section 205 or 206 filing approved or accepted by FERC in a separate proceeding</t>
  </si>
  <si>
    <t>JCP&amp;L Labor: Company Records</t>
  </si>
  <si>
    <t>JCP&amp;L Account 926: Company Records</t>
  </si>
  <si>
    <t>Description</t>
  </si>
  <si>
    <t>ARAM</t>
  </si>
  <si>
    <t>PTRR</t>
  </si>
  <si>
    <t>Page 1, B+D+F+H</t>
  </si>
  <si>
    <t>Page 1, row 3,7,11 Column A+B+D+F+H</t>
  </si>
  <si>
    <t>A-C</t>
  </si>
  <si>
    <t>D-E</t>
  </si>
  <si>
    <t>Account</t>
  </si>
  <si>
    <t xml:space="preserve">Projected Activity </t>
  </si>
  <si>
    <t>Prorated Ending Balance</t>
  </si>
  <si>
    <t>Prorated - Estimated End (Before Adjustments)</t>
  </si>
  <si>
    <t>Sum of end ADIT Adjustments</t>
  </si>
  <si>
    <t>Total Account 190</t>
  </si>
  <si>
    <t>Total Account 282</t>
  </si>
  <si>
    <t>Total Account 283</t>
  </si>
  <si>
    <t>Total ADIT Subject to Normalization</t>
  </si>
  <si>
    <t xml:space="preserve"> Notes:</t>
  </si>
  <si>
    <t>ATRR</t>
  </si>
  <si>
    <t>Page 1, row 4,8,12 column   A+B+D+F+H</t>
  </si>
  <si>
    <t>H-J</t>
  </si>
  <si>
    <t>D-K</t>
  </si>
  <si>
    <t>E-M</t>
  </si>
  <si>
    <t>K+L-M-N</t>
  </si>
  <si>
    <t>Actual Activity</t>
  </si>
  <si>
    <t>Prorated - Actual End (Before Adjustments)</t>
  </si>
  <si>
    <t>Prorated Activity  Not Projected</t>
  </si>
  <si>
    <t>ADIT Adjustments not projected</t>
  </si>
  <si>
    <t>FirstEnergy 2018 Actuarial Study</t>
  </si>
  <si>
    <t>FirstEnergy 2018 Actual: Company Records</t>
  </si>
  <si>
    <t>Page 1, row 2,4,6 Column A+B+D+F+H</t>
  </si>
  <si>
    <t>J-L</t>
  </si>
  <si>
    <t>M-N</t>
  </si>
  <si>
    <t>Line 7= J-N-O                               Lines 8-9= -J+N+O</t>
  </si>
  <si>
    <t>Beginning 190 (including adjustments)</t>
  </si>
  <si>
    <t xml:space="preserve">Beginning 282 (including adjustments) </t>
  </si>
  <si>
    <t xml:space="preserve">Beginning 190 (including adjustments) </t>
  </si>
  <si>
    <t xml:space="preserve">labor (labor not capitalized) current year, transmission only </t>
  </si>
  <si>
    <t>Total FirstEnergy PBOP expenses</t>
  </si>
  <si>
    <t>PBOP expense in Account 926 for current year, total company</t>
  </si>
  <si>
    <t xml:space="preserve">W&amp;S Labor Allocator </t>
  </si>
  <si>
    <t>Allocated Transmission PBOP (line 8 * line 9)</t>
  </si>
  <si>
    <t>354.24, 354.25, 354.26.b</t>
  </si>
  <si>
    <t>Line 1= A-E-F                               Lines 2-3= -A+E+F</t>
  </si>
  <si>
    <t>Line 5= H-M-O                               Lines 6-7= -H+M+O</t>
  </si>
  <si>
    <t>Attach. H-4A, p. 3, line 14, col. 5</t>
  </si>
  <si>
    <t>Operation Supervision and Engineering</t>
  </si>
  <si>
    <t>Load Dispatch-Reliability</t>
  </si>
  <si>
    <t>Load Dispatch-Monitor and Operate Transmission System</t>
  </si>
  <si>
    <t>Load-Dispatch-Transmission Service and Scheduling</t>
  </si>
  <si>
    <t>Scheduling, System Control and Dispatch Services</t>
  </si>
  <si>
    <t>Reliability, Planning and Standards Development</t>
  </si>
  <si>
    <t>Transmission Service Studies</t>
  </si>
  <si>
    <t>Generation Interconnection Studies</t>
  </si>
  <si>
    <t>Reliability, Planning and Standards Development Services</t>
  </si>
  <si>
    <t>Station Expenses</t>
  </si>
  <si>
    <t>Overhead Lines Expense</t>
  </si>
  <si>
    <t>Underground Lines Expense</t>
  </si>
  <si>
    <t>Transmission of Electricity by Others</t>
  </si>
  <si>
    <t>Miscellaneous Transmission Expense</t>
  </si>
  <si>
    <t>Rents</t>
  </si>
  <si>
    <t>Maintenance Supervision and Engineering</t>
  </si>
  <si>
    <t>Maintenance of Structures</t>
  </si>
  <si>
    <t>Maintenance of Computer Hardware</t>
  </si>
  <si>
    <t>Maintenance of Computer Software</t>
  </si>
  <si>
    <t>Maintenance of Communication Equipment</t>
  </si>
  <si>
    <t>Maintenance of Miscellaneous Regional Transmission Plant</t>
  </si>
  <si>
    <t>Maintenance of Station Equipment</t>
  </si>
  <si>
    <t>Maintenance of Overhead Lines</t>
  </si>
  <si>
    <t>Maintenance of Underground Lines</t>
  </si>
  <si>
    <t>Maintenance of Miscellaneous Transmission Plant</t>
  </si>
  <si>
    <t>Administrative and General Salaries</t>
  </si>
  <si>
    <t>Office Supplies and Expenses</t>
  </si>
  <si>
    <t>Administrative Expenses Transferred - Credit</t>
  </si>
  <si>
    <t>Outside Services Employed</t>
  </si>
  <si>
    <t>Property Insurance</t>
  </si>
  <si>
    <t>Injuries and Damages</t>
  </si>
  <si>
    <t>Employee Pensions and Benefits</t>
  </si>
  <si>
    <t>Franchise Requirements</t>
  </si>
  <si>
    <t>Regulatory Commission Expense</t>
  </si>
  <si>
    <t>(Less) Duplicate Charges-Cr.</t>
  </si>
  <si>
    <t>General Advertising Expenses</t>
  </si>
  <si>
    <t>Miscellaneous General Expenses</t>
  </si>
  <si>
    <t>Maintenance of General Plant</t>
  </si>
  <si>
    <t>3. Depreciation Rates (1)(2)</t>
  </si>
  <si>
    <t xml:space="preserve">Note:        (1) </t>
  </si>
  <si>
    <t xml:space="preserve">Account 303 amortization period is 7 years. </t>
  </si>
  <si>
    <t xml:space="preserve">cost per labor dollar </t>
  </si>
  <si>
    <t>$-0.0658</t>
  </si>
  <si>
    <t xml:space="preserve">Ending ADIT Balance Included in Formula Rate </t>
  </si>
  <si>
    <t xml:space="preserve">Normalization </t>
  </si>
  <si>
    <t xml:space="preserve">Estimated  Ending Balance (Before Adjustments) </t>
  </si>
  <si>
    <t xml:space="preserve">Actual  Ending Balance (Before Adjustments) </t>
  </si>
  <si>
    <t xml:space="preserve">FERC Account No. 165 </t>
  </si>
  <si>
    <t>November 30</t>
  </si>
  <si>
    <t>October 31</t>
  </si>
  <si>
    <t>September 30</t>
  </si>
  <si>
    <t>August 31</t>
  </si>
  <si>
    <t>July 31</t>
  </si>
  <si>
    <t>June 30</t>
  </si>
  <si>
    <t>May 31</t>
  </si>
  <si>
    <t>April 30</t>
  </si>
  <si>
    <t>March 31</t>
  </si>
  <si>
    <t>February 28/29</t>
  </si>
  <si>
    <t>January 31</t>
  </si>
  <si>
    <t>Exp. Acct.</t>
  </si>
  <si>
    <t>Text Description</t>
  </si>
  <si>
    <t xml:space="preserve">Line Item </t>
  </si>
  <si>
    <t>(A)</t>
  </si>
  <si>
    <r>
      <t xml:space="preserve">(a) Average calculated as [Sum of Columns (D) through (P)] </t>
    </r>
    <r>
      <rPr>
        <sz val="12"/>
        <rFont val="Calibri"/>
        <family val="2"/>
      </rPr>
      <t>÷</t>
    </r>
    <r>
      <rPr>
        <sz val="12"/>
        <rFont val="Times New Roman"/>
        <family val="1"/>
      </rPr>
      <t xml:space="preserve"> 13.</t>
    </r>
  </si>
  <si>
    <t>Average (a)</t>
  </si>
  <si>
    <t>Ln.</t>
  </si>
  <si>
    <t>Taxes Other Than Income</t>
  </si>
  <si>
    <t>Amort. Start Date</t>
  </si>
  <si>
    <t>Amort. End Date</t>
  </si>
  <si>
    <t>Monthly Amort. Expense</t>
  </si>
  <si>
    <t>Total Amort. Exp.</t>
  </si>
  <si>
    <t>To Rate Base</t>
  </si>
  <si>
    <t>FERC Docket No.</t>
  </si>
  <si>
    <t>FERC A/C</t>
  </si>
  <si>
    <t>Title</t>
  </si>
  <si>
    <t>FERC Form No. 1 Balance</t>
  </si>
  <si>
    <t>-</t>
  </si>
  <si>
    <t>×</t>
  </si>
  <si>
    <t>FERC Form No. 1 Citation</t>
  </si>
  <si>
    <t>Page 321.83.b</t>
  </si>
  <si>
    <t>Page 321.85.b</t>
  </si>
  <si>
    <t>Page 321.86.b</t>
  </si>
  <si>
    <t>Page 321.87.b</t>
  </si>
  <si>
    <t>Page 321.88.b</t>
  </si>
  <si>
    <t>Page 321.89.b</t>
  </si>
  <si>
    <t>Page 321.90.b</t>
  </si>
  <si>
    <t>Page 321.91.b</t>
  </si>
  <si>
    <t>Page 321.92.b</t>
  </si>
  <si>
    <t>Page 321.93.b</t>
  </si>
  <si>
    <t>Page 321.94.b</t>
  </si>
  <si>
    <t>Page 321.95.b</t>
  </si>
  <si>
    <t>Page 321.96.b</t>
  </si>
  <si>
    <t>Page 321.97.b</t>
  </si>
  <si>
    <t>Page 321.98.b</t>
  </si>
  <si>
    <t>Page 321.101.b</t>
  </si>
  <si>
    <t>Page 321.102.b</t>
  </si>
  <si>
    <t>Page 321.103.b</t>
  </si>
  <si>
    <t>Page 321.104.b</t>
  </si>
  <si>
    <t>Page 321.105.b</t>
  </si>
  <si>
    <t>Page 321.106.b</t>
  </si>
  <si>
    <t>Page 321.107.b</t>
  </si>
  <si>
    <t>Page 321.108.b</t>
  </si>
  <si>
    <t>Page 321.109.b</t>
  </si>
  <si>
    <t>Page 321.110.b</t>
  </si>
  <si>
    <t>Page 323.181.b</t>
  </si>
  <si>
    <t>Page 323.182.b</t>
  </si>
  <si>
    <t>Page 323.183.b</t>
  </si>
  <si>
    <t>Page 323.184.b</t>
  </si>
  <si>
    <t>Page 323.185.b</t>
  </si>
  <si>
    <t>Page 323.186.b</t>
  </si>
  <si>
    <t>Page 323.187.b</t>
  </si>
  <si>
    <t>Page 323.188.b</t>
  </si>
  <si>
    <t>Page 323.189.b</t>
  </si>
  <si>
    <t>Page 323.190.b</t>
  </si>
  <si>
    <t>Page 323.191.b</t>
  </si>
  <si>
    <t>Page 323.192.b</t>
  </si>
  <si>
    <t>Page 323.193.b</t>
  </si>
  <si>
    <t>Page 323.196.b</t>
  </si>
  <si>
    <t>Operating Expenses</t>
  </si>
  <si>
    <t xml:space="preserve">  Unfunded Reserves</t>
  </si>
  <si>
    <t>Month</t>
  </si>
  <si>
    <t>+</t>
  </si>
  <si>
    <t>254 Item 2</t>
  </si>
  <si>
    <t>Annual Rate</t>
  </si>
  <si>
    <t>True-Up Adj.</t>
  </si>
  <si>
    <t>Compounding</t>
  </si>
  <si>
    <t>Year 1 True-Up Adjustment + Interest EB</t>
  </si>
  <si>
    <t>Year 2 True-Up Adjustment + Interest EB</t>
  </si>
  <si>
    <t>Principle Amortization</t>
  </si>
  <si>
    <t>Interest Amortization</t>
  </si>
  <si>
    <t>Year 3 Monthly Amortization</t>
  </si>
  <si>
    <t>Year 3 True-Up Adjustment + Interest EB</t>
  </si>
  <si>
    <t>Total Amount Refunded/Surcharged</t>
  </si>
  <si>
    <t>True-Up Before Interest</t>
  </si>
  <si>
    <t>Interest Refunded/Surcharged</t>
  </si>
  <si>
    <t>Base Refund or (Surcharge):</t>
  </si>
  <si>
    <t>Total Refund or (Surcharge):</t>
  </si>
  <si>
    <t>Construction Work in Progress</t>
  </si>
  <si>
    <t>Project ID</t>
  </si>
  <si>
    <t>Project Start Date</t>
  </si>
  <si>
    <t>Original In-Service Date</t>
  </si>
  <si>
    <t>Revised In-Service Date</t>
  </si>
  <si>
    <t>Item</t>
  </si>
  <si>
    <t>Nominal Federal Tax Rate (FIT)</t>
  </si>
  <si>
    <t>FIT</t>
  </si>
  <si>
    <t>p</t>
  </si>
  <si>
    <t>SIT</t>
  </si>
  <si>
    <t>Percent of Federal Deducted for State</t>
  </si>
  <si>
    <t xml:space="preserve">  Revenue Credits</t>
  </si>
  <si>
    <t xml:space="preserve">  PBOPs Expense Adjustment</t>
  </si>
  <si>
    <t>State</t>
  </si>
  <si>
    <t xml:space="preserve">Nominal State Tax Rate </t>
  </si>
  <si>
    <t>Apportionment Percentage (p)</t>
  </si>
  <si>
    <t>Combined Tax Rate</t>
  </si>
  <si>
    <t>Composite Tax Factor</t>
  </si>
  <si>
    <t xml:space="preserve">1 - {[(1 - SIT) * (1 - FIT)] / (1 - SIT * FIT * p)} </t>
  </si>
  <si>
    <t xml:space="preserve">(T / (1 - T)) * (1 - (WCLTD / ROR)) </t>
  </si>
  <si>
    <t>=ROR</t>
  </si>
  <si>
    <t>Amort. Period</t>
  </si>
  <si>
    <t>Protected / 
Non-protected</t>
  </si>
  <si>
    <t>Property / 
Non-property</t>
  </si>
  <si>
    <t>FERC Account No. 281</t>
  </si>
  <si>
    <t>Allocator Output</t>
  </si>
  <si>
    <t>December 31 Balance</t>
  </si>
  <si>
    <t>December Balance</t>
  </si>
  <si>
    <t>If JCP&amp;L is including an ITC amortization as part of its income tax calculation on Attachment 15, it does not need to input data for FERC Account No. 255 on this Attachment.</t>
  </si>
  <si>
    <t xml:space="preserve">  Accumulated Deferred Income Taxes</t>
  </si>
  <si>
    <t>TOTAL OTHER TAXES</t>
  </si>
  <si>
    <t>FERC Form No. 1 p.111.57.d &amp; c</t>
  </si>
  <si>
    <t>FERC Form No. 1 p.227.8.b &amp; c</t>
  </si>
  <si>
    <t>FERC Account No. 154 (Transmission Only)</t>
  </si>
  <si>
    <t xml:space="preserve">(b) JCP&amp;L may add or remove sublines without a FPA Section 205 filing. </t>
  </si>
  <si>
    <t xml:space="preserve">(c) JCP&amp;L may add or remove sublines for prepayments without a FPA Section 205 filing. </t>
  </si>
  <si>
    <t>Average</t>
  </si>
  <si>
    <t>Composite Tax Factor (CTF)</t>
  </si>
  <si>
    <t>JPC&amp;L may add or remove sublines without making a Section 205 filing.</t>
  </si>
  <si>
    <t>[Placeholder 1]</t>
  </si>
  <si>
    <t>[Placeholder 2]</t>
  </si>
  <si>
    <t>Total CWIP in Rate Base</t>
  </si>
  <si>
    <t>Amortization Account</t>
  </si>
  <si>
    <t>Amortization Start Date</t>
  </si>
  <si>
    <t>Tax Gross-up Factor (TGUF)</t>
  </si>
  <si>
    <t>(T / (1 - T))</t>
  </si>
  <si>
    <t>Grossed-Up Income Tax Adjustments</t>
  </si>
  <si>
    <t>Income Taxes Allowable</t>
  </si>
  <si>
    <t>Preliminary Income Taxes Allowable</t>
  </si>
  <si>
    <t>Gross-up on Income Tax Adjustments</t>
  </si>
  <si>
    <t>(b) JCP&amp;L shall add or remove as many sublines as needed to adequately show the detail of its balances.</t>
  </si>
  <si>
    <t>Protected Property &amp; Non-Protected Property:</t>
  </si>
  <si>
    <t>Non-Protected, Non-Property:</t>
  </si>
  <si>
    <t>Protected, Non-Property:</t>
  </si>
  <si>
    <t>CATEGORY 1</t>
  </si>
  <si>
    <t>CATEGORY 3</t>
  </si>
  <si>
    <t>CATEGORY 4</t>
  </si>
  <si>
    <t>CATEGORY 5</t>
  </si>
  <si>
    <t>(d) Per settlement of Docket No. ER20-227, the amortization schedule of the DDIT/EDIT balances related to Tax Cuts and Job Act of 2017 by classification is:</t>
  </si>
  <si>
    <t>(h) Column (W) shall equal Column (U) × Column (V) unless the FERC orders JCP&amp;L to exclude the unamortized balance from rate base, at which point Column (W) shall equal zero.</t>
  </si>
  <si>
    <t>GP</t>
  </si>
  <si>
    <t xml:space="preserve">  A&amp;G </t>
  </si>
  <si>
    <t>TOTAL REVENUE CREDITS  (sum lines 2-3)</t>
  </si>
  <si>
    <t>(Line 1 - Line 4 + Line 5)</t>
  </si>
  <si>
    <t>TOTAL GROSS PLANT (sum lines 1-4)</t>
  </si>
  <si>
    <t>TOTAL ACCUM. DEPRECIATION  (sum lines 7-10)</t>
  </si>
  <si>
    <t>TOTAL NET PLANT (sum lines 13-16)</t>
  </si>
  <si>
    <t>Total G &amp; I depreciation expense</t>
  </si>
  <si>
    <t>Annual allocation factor for G &amp; I depreciation expense</t>
  </si>
  <si>
    <t>Attach. H-4A, p. 3, line 9, col. 5</t>
  </si>
  <si>
    <t>254 Item 1</t>
  </si>
  <si>
    <t>Taken to Attachment H-4A, page 2, lines 7-10, Col. 3</t>
  </si>
  <si>
    <t>Taken to Attachment H-4A, page 2, lines 1-4, Col. 3</t>
  </si>
  <si>
    <t>1/8*(Page 3, Line 6 minus Page 3, Line 5)</t>
  </si>
  <si>
    <t>(b) JCP&amp;L may add or remove as many sublines as necessary to list all of the FERC Account No. 182.3 regulatory assets and FERC Account No. 254 regulatory liabilities recorded on its books (in the case of the ATRR) or projected to be on its books (in the case of the PTRR) without filing a Section 205 filing to do so.  Adding or removing sublines does not constitute FERC approval for cost recovery.</t>
  </si>
  <si>
    <t>FERC Form No. 1, p.232</t>
  </si>
  <si>
    <t>FERC Form No. 1, p.278</t>
  </si>
  <si>
    <t>FERC Account No. 281 ADIT Adjustments</t>
  </si>
  <si>
    <t>FERC Account No. 282 ADIT Adjustments</t>
  </si>
  <si>
    <t>FERC Account No. 283 ADIT Adjustments</t>
  </si>
  <si>
    <t>FERC Account No. 105 (Transmission Only)</t>
  </si>
  <si>
    <t>Allocator Output (b)</t>
  </si>
  <si>
    <t xml:space="preserve">  Materials &amp; Supplies</t>
  </si>
  <si>
    <t>Attachment H-4A, Page 3, Line 14, Col. 5</t>
  </si>
  <si>
    <r>
      <t xml:space="preserve">(a) Average calculated as [Sum of Columns (G) through (S)] </t>
    </r>
    <r>
      <rPr>
        <sz val="12"/>
        <rFont val="Calibri"/>
        <family val="2"/>
      </rPr>
      <t>÷</t>
    </r>
    <r>
      <rPr>
        <sz val="12"/>
        <rFont val="Times New Roman"/>
        <family val="1"/>
      </rPr>
      <t xml:space="preserve"> 13.</t>
    </r>
  </si>
  <si>
    <t>FERC Approved Regulatory Assets and Liabilities</t>
  </si>
  <si>
    <t>FERC Approved Reg. Asset/Liab. Amortizations</t>
  </si>
  <si>
    <t>FF1, Page 115.14g</t>
  </si>
  <si>
    <t>GENERAL &amp; INTANGIBLE (G &amp; I) DEPRECIATION EXPENSE</t>
  </si>
  <si>
    <t>PJM Bill</t>
  </si>
  <si>
    <t>NITS Charge Code</t>
  </si>
  <si>
    <t>Attachment 13b - PJM Billings, Line 13, Col. E:</t>
  </si>
  <si>
    <t>TEC Charge Code</t>
  </si>
  <si>
    <t>Attachment 13b - PJM Billings, Line 26, Col. E:</t>
  </si>
  <si>
    <t>Total Interest (Sourced from Attachment 13a, line 49)</t>
  </si>
  <si>
    <t>PTRR (True-up Vintage)
Attachment 11
p 2 of 2, col. 14</t>
  </si>
  <si>
    <t>ATRR (True-up Vintage)
Attachment 11
p 2 of 2, col. 14</t>
  </si>
  <si>
    <t>March 
Balance</t>
  </si>
  <si>
    <t>June 
Balance</t>
  </si>
  <si>
    <t>September 
Balance</t>
  </si>
  <si>
    <t>Attachment 6, Line 11 (Note C)</t>
  </si>
  <si>
    <t>The currently effective income tax rate,  where FIT is the Federal income tax rate; SIT is the State income tax rate, and p = "the percentage of federal income tax deductible for state income taxes".  If the utility is taxed in more than one state it must attach a work paper showing the name of each state and how the blended or composite SIT was developed.  Furthermore, a utility that elected to utilize amortization of tax credits against taxable income, rather than book tax credits to Account No. 255 and reduce rate base, must reduce its income tax expense by the amount of the Amortized Investment Tax Credit (Form 1, 266.8.f) multiplied by (1/1-T).</t>
  </si>
  <si>
    <t>(Note K)</t>
  </si>
  <si>
    <t>Line 22 must equal zero since all short-term power sales must be unbundled and the transmission component reflected in Account No. 456.1 and all other uses are to be included in the divisor.</t>
  </si>
  <si>
    <t>Additional Incentive Revenue taken to Attachment H-4A, Page 3, Line 16</t>
  </si>
  <si>
    <t>Project Depreciation Expense is the actual value booked for the project and included in the Depreciation Expense in Attachment H-4A, page 3, line 8.</t>
  </si>
  <si>
    <t>PBOP Adjustment for Attachment H-4A, page 3, line 3 (line 7 - line 10)</t>
  </si>
  <si>
    <t>To Transmission</t>
  </si>
  <si>
    <t>Attach. H-4A, p. 3, line 6, col. 5</t>
  </si>
  <si>
    <t>Attach. H-4A, p. 3, line 11, col. 5</t>
  </si>
  <si>
    <t>Attach. H-4A, p. 3, line 13, col. 5</t>
  </si>
  <si>
    <t>Attachment 13b line 26, col E</t>
  </si>
  <si>
    <t>Exp. Acct. (e)</t>
  </si>
  <si>
    <t>(e) The expense account will only be populated with prepaid expense items included in transmission rates.</t>
  </si>
  <si>
    <t>To Transmission OpEx</t>
  </si>
  <si>
    <t>Sum of Lines 2, 4, 6, and 8</t>
  </si>
  <si>
    <t>where WCLTD = Attachment H4-A, page 4, line 12, and</t>
  </si>
  <si>
    <t xml:space="preserve"> R= (page 4, line 15)</t>
  </si>
  <si>
    <t>112.18-21.c</t>
  </si>
  <si>
    <t>Total Excluding Production</t>
  </si>
  <si>
    <t xml:space="preserve">Total Transmission </t>
  </si>
  <si>
    <t>x</t>
  </si>
  <si>
    <t>Transmission Exclusions (a)</t>
  </si>
  <si>
    <t xml:space="preserve">To Revenue Req. </t>
  </si>
  <si>
    <t>1. Attachment 5a will only be populated within the PTRR</t>
  </si>
  <si>
    <t>1. Attachment 5b will only be populated within the ATRR</t>
  </si>
  <si>
    <t>Normalization is sourced from Attachment 5a, page 1, col. O for PTRR &amp; Attachment 5b, page 2, col. O for ATRR.</t>
  </si>
  <si>
    <t>TOTAL OPERATING EXPENSES  (sum lines 2 through 5)</t>
  </si>
  <si>
    <t>FERC Account No. 255 (a)</t>
  </si>
  <si>
    <t>(f) Any line item allocated by "EXCL" will only show year-end balances.</t>
  </si>
  <si>
    <t>FERC Account No. 190 (e)</t>
  </si>
  <si>
    <t xml:space="preserve">FERC Account No. 190 ADIT Adjustments </t>
  </si>
  <si>
    <t>FERC Account No. 282 (e)</t>
  </si>
  <si>
    <t xml:space="preserve">FERC Account No. 283 (e) </t>
  </si>
  <si>
    <t>(line 6 / line 8)</t>
  </si>
  <si>
    <t>(line 6 / line 9)</t>
  </si>
  <si>
    <t>(line 11/12)</t>
  </si>
  <si>
    <t>(line 11/52)</t>
  </si>
  <si>
    <t>(line 13/5; line 13/7)</t>
  </si>
  <si>
    <t>(line 11/4,160; line 11/8,760)</t>
  </si>
  <si>
    <t>(a) No costs listed on this attachment shall be recoverable in any way from FERC-jurisdictional ratepayers without explicit authorization from the Federal Energy Regulatory Commission. This page will only be populated at such time that it's approved by FERC.</t>
  </si>
  <si>
    <t>(b) The allocator in Col. (U) must be zero unless otherwise authorized by order from the FERC. This page will only be populated at such time that CWIP is approved to be included within rate base by FERC.</t>
  </si>
  <si>
    <t xml:space="preserve">ARAM/Years Remaining </t>
  </si>
  <si>
    <t>T from Attachment 15, line 8</t>
  </si>
  <si>
    <t>Normalization (d)</t>
  </si>
  <si>
    <t xml:space="preserve">Beginning 283 (Including adjustments) </t>
  </si>
  <si>
    <t>(a) Gross receipts taxes are not included in transmission revenue requirement in the Formula Rate Template since they are recovered elsewhere.</t>
  </si>
  <si>
    <t>Attachment H-4A, Attachment 16</t>
  </si>
  <si>
    <t>Abandoned Plant</t>
  </si>
  <si>
    <t>Monthly Balance</t>
  </si>
  <si>
    <t>Months Remaining In Amortization Period</t>
  </si>
  <si>
    <t>BegInning Balance</t>
  </si>
  <si>
    <t>Amortization Expense                               ( p114.10.c)</t>
  </si>
  <si>
    <t>Additions   (Deductions)</t>
  </si>
  <si>
    <t>Ending Balance</t>
  </si>
  <si>
    <t>p111.71.d (and Notes)</t>
  </si>
  <si>
    <t xml:space="preserve">January                                                                                                                         </t>
  </si>
  <si>
    <t>FERC Account 182.2</t>
  </si>
  <si>
    <t xml:space="preserve">June </t>
  </si>
  <si>
    <t xml:space="preserve">October </t>
  </si>
  <si>
    <t>p111.71.c (and Notes) Detail on p230b</t>
  </si>
  <si>
    <t xml:space="preserve">Ending Balance 13-Month Average </t>
  </si>
  <si>
    <t>Recovery of abandoned plant is limited to any abandoned plant recovery authorized by FERC and will be zero until the Commission accepts or approves recovery of the cost of abandoned plant</t>
  </si>
  <si>
    <t>ARAM Amortization</t>
  </si>
  <si>
    <t>Net Transmission EDIT/DDIT Amortization</t>
  </si>
  <si>
    <t xml:space="preserve">  Amortization of Abandoned Plant</t>
  </si>
  <si>
    <t>TOTAL DEPRECIATION  (sum lines 8 -10)</t>
  </si>
  <si>
    <t>Unamortized Abandoned Plant, Amortization of Abandoned Plant, and Regulatory assets and liabilities will be zero until the Commission accepts or approves recovery or refund. Utility must submit a Section 205 filing to recover or refund.</t>
  </si>
  <si>
    <t>Attachment H-4A, page 3, Line 10</t>
  </si>
  <si>
    <t xml:space="preserve">  Unamortized Abandoned Plant</t>
  </si>
  <si>
    <t>Attachment H-4A, page 2, Line 23</t>
  </si>
  <si>
    <t>TOTAL ADJUSTMENTS  (sum lines 19-23)</t>
  </si>
  <si>
    <t>TOTAL WORKING CAPITAL  (sum lines 27 - 29)</t>
  </si>
  <si>
    <t>RATE BASE  (sum lines 17, 24, 25, &amp; 30)</t>
  </si>
  <si>
    <t xml:space="preserve">  (sum lines 6, 11, 12, 14, 15)</t>
  </si>
  <si>
    <t>(line 16 + line 17)</t>
  </si>
  <si>
    <t>Attachment H-4A, page 2, Line 31, Col. 5</t>
  </si>
  <si>
    <t>Attachment H-4A, Page 3, Line 15, Col. 5</t>
  </si>
  <si>
    <t>True-up (a)</t>
  </si>
  <si>
    <t>Alloc. (b)</t>
  </si>
  <si>
    <t>(a) JCP&amp;L shall provide workpapers supporting amounts shown in Column (B) for all DDIT and EDIT items for any future tax rate changes.</t>
  </si>
  <si>
    <t>Current Period Other Activity</t>
  </si>
  <si>
    <t>(Excess)/Deficient ADIT Transmission - Beg Balance of Year (c)</t>
  </si>
  <si>
    <t>Net Transmission EDIT/DDIT Balance (B + C)</t>
  </si>
  <si>
    <t>Amortization
for
non-ARAM)</t>
  </si>
  <si>
    <t>Unamortized Balance at Year End (D - K)</t>
  </si>
  <si>
    <t>GROSS REVENUE REQUIREMENT [page 3, line 18, col 5]</t>
  </si>
  <si>
    <t>Transmission Enhancement Credit taken to Attachment H-4A Page 1, Line 3, Col. 3</t>
  </si>
  <si>
    <t>Attachment 20, Lines 2+3+4, Col. C</t>
  </si>
  <si>
    <t>(a) Interest rate inputs will be equal to C.F.R. 35.19a.</t>
  </si>
  <si>
    <t>410.1/411.1</t>
  </si>
  <si>
    <t>EDIT/DDIT Non-Property</t>
  </si>
  <si>
    <t>EDIT/DDIT Property</t>
  </si>
  <si>
    <t>FERC Account No. 190 EDIT/DDIT</t>
  </si>
  <si>
    <t>FERC Account No. 282 EDIT/DDIT</t>
  </si>
  <si>
    <t>FERC Account No. 283 EDIT/DDIT</t>
  </si>
  <si>
    <t>Total EDIT/DDIT before Gross-up (Line 8 + Line 18)</t>
  </si>
  <si>
    <t>(b) The interest rate to be applied to the True-up will be determined as follows: (i) for time periods for which there is an interest rate posted on FERC’s website, the True-up will reflect each applicable quarter’s annual rate; (ii) for time periods for which there is no interest rate posted on FERC’s website (i.e., future time periods, in which an interest rate is not yet available), the True-up will reflect the last known quarter’s annual rate, as posted on FERC’s website and as determined prior to the posting of the JCP&amp;L PTRR that includes the applicable True-up.</t>
  </si>
  <si>
    <t>Non-Property Gross-up (Line 8 × TGUF)</t>
  </si>
  <si>
    <t>Property Gross-up (Line 18 × TGUF)</t>
  </si>
  <si>
    <t>Attachment 15a, Line 21, Col. (M)</t>
  </si>
  <si>
    <t>CATEGORY 2: Total Non-Property After Gross-up (Line 8 + Line 9) (e)</t>
  </si>
  <si>
    <t>CATEGORY 2: Total Property after Gross-up (Line 18 + Line 19) (e)</t>
  </si>
  <si>
    <t>Total EDIT/DDIT after Gross-up (Line 10 + Line 20) (e)</t>
  </si>
  <si>
    <t>Total FERC Account No. 190 EDIT/DDIT</t>
  </si>
  <si>
    <t>Total FERC Account No. 282 EDIT/DDIT</t>
  </si>
  <si>
    <t>Total FERC Account No. 283 EDIT/DDIT</t>
  </si>
  <si>
    <t>Property Book-Tax Timing Differences</t>
  </si>
  <si>
    <t>JCP&amp;L Average (a)</t>
  </si>
  <si>
    <t>To Rate Base (f)</t>
  </si>
  <si>
    <t>JCP&amp;L shall not include ADIT associated with nonoperating items.</t>
  </si>
  <si>
    <t>(c) JCP&amp;L may add or remove sublines applicable to the transmission revenue requirement without an FPA Section 205 filing.</t>
  </si>
  <si>
    <t>Rate Year ATRR (c):</t>
  </si>
  <si>
    <t>(c) JCP&amp;L to include as a credit to rate base on Attachment H-4A, page 2, line 20.</t>
  </si>
  <si>
    <t>Amortization of ITC Tax Credit (a)</t>
  </si>
  <si>
    <t>(a) FERC Form No. 1, page 266.8.f.</t>
  </si>
  <si>
    <t xml:space="preserve">TRANSMISSION EXPENSES </t>
  </si>
  <si>
    <t>Included transmission expenses  (line 6 less line 7)</t>
  </si>
  <si>
    <t>Percentage of transmission expenses after adjustment  (line 8 divided by line 6)</t>
  </si>
  <si>
    <t>Percentage of transmission plant included in ISO Rates  (line 5)</t>
  </si>
  <si>
    <t>Percentage of transmission expenses included in ISO Rates  (line 9 times line 10)</t>
  </si>
  <si>
    <t>TE=</t>
  </si>
  <si>
    <t>Less transmission expenses included in OATT Ancillary Services  (Note B)</t>
  </si>
  <si>
    <t xml:space="preserve">  Total  (sum lines 12-15)</t>
  </si>
  <si>
    <t>Total  (sum lines 18-20)</t>
  </si>
  <si>
    <t xml:space="preserve">  [Rate Base (page 2, line 31) * Rate of Return (page 4, line 21, col. 6)]</t>
  </si>
  <si>
    <t>** This Total Weighted Average Debt Cost will be shown on page 4, line 18, column 5 of formula rate Attachment H-4A.</t>
  </si>
  <si>
    <t>Attachment H-4A, page 4, Line 17, Col. 6</t>
  </si>
  <si>
    <t>Attachment H-4A, page 4, Line 18, Col. 3</t>
  </si>
  <si>
    <t>Attachment H-4A, page 4, Line 19, Col. 3</t>
  </si>
  <si>
    <t>Attachment H-4A, page 4, Line 20, Col. 3</t>
  </si>
  <si>
    <t>Attachment H-4A, page 4, Line 21, Col. 3</t>
  </si>
  <si>
    <t>Attachment H-4A, page 4, Line 18, Col. 4</t>
  </si>
  <si>
    <t>Attachment H-4A, page 4, Line 19, Col. 4</t>
  </si>
  <si>
    <t>Attachment H-4A, page 4, Line 20, Col. 4</t>
  </si>
  <si>
    <t>Attachment H-4A, page 4, Line 18, Col. 5</t>
  </si>
  <si>
    <t>Attachment H-4A, page 4, Line 19, Col. 5</t>
  </si>
  <si>
    <t>Production Exclusion (b)</t>
  </si>
  <si>
    <t>(c) JCP&amp;L to populate column C if item is partially or wholly allocated to the transmission revenue requirement.</t>
  </si>
  <si>
    <t>(d) Includes income related only to transmission facilities, such as pole attachments, rentals and special use.</t>
  </si>
  <si>
    <t>(e) Enter revenues from RTO settlements that are associated with NITS and firm Point-to-Point Service for which the load is not included in the divisor to derive JCP&amp;L's zonal rates.  Exclude non-firm Point-to-Point revenues and revenues related to RTEP projects.</t>
  </si>
  <si>
    <t xml:space="preserve">FERC Account No. 451 </t>
  </si>
  <si>
    <t xml:space="preserve">Other </t>
  </si>
  <si>
    <t xml:space="preserve">FERC Account No. 454 (d) </t>
  </si>
  <si>
    <t xml:space="preserve">FERC Account No. 456 (e) </t>
  </si>
  <si>
    <t>JCP&amp;L's stated ROE is set to: 10.2%</t>
  </si>
  <si>
    <t>Attachment 5, Line 19, Col. (J) (Notes C, D)</t>
  </si>
  <si>
    <t>(Attachment 14a, Line 5, Col. S) (Note E)</t>
  </si>
  <si>
    <t>WORKING CAPITAL  (Note F)</t>
  </si>
  <si>
    <t>Less transmission plant excluded from ISO rates  (Note H)</t>
  </si>
  <si>
    <t>Less transmission plant included in OATT Ancillary Services  (Note I )</t>
  </si>
  <si>
    <t>(Note L)</t>
  </si>
  <si>
    <t>(Note M)</t>
  </si>
  <si>
    <t>336.7.b (Note N)</t>
  </si>
  <si>
    <t>Attachment 3, Line 14, Col. 1 (Notes N &amp; O)</t>
  </si>
  <si>
    <t>Attachment 3, Line 14, Col. 2 (Notes N &amp; O)</t>
  </si>
  <si>
    <t>Attachment 3, Line 14, Col. 3 (Notes N &amp; O)</t>
  </si>
  <si>
    <t>Attachment 3, Line 14, Col. 4 &amp; 5 (Notes N &amp; O)</t>
  </si>
  <si>
    <t>Attachment 4, Line 14, Col. 1 (Notes N &amp; O)</t>
  </si>
  <si>
    <t>Attachment 4, Line 14, Col. 2 (Notes N &amp; O)</t>
  </si>
  <si>
    <t>Attachment 4, Line 14, Col. 3 (Notes N &amp; O)</t>
  </si>
  <si>
    <t>Attachment 4, Line 14, Col. 4 &amp; 5 (Notes N &amp; O)</t>
  </si>
  <si>
    <t>Attachment 14a, Line 4, Col. (S) (Notes O &amp; E)</t>
  </si>
  <si>
    <t>Attachment 14a, Line 2, Col. (S) (Note O)</t>
  </si>
  <si>
    <t>Attachment 11, Page 2, Line 4, Col. 11  (Note Q)</t>
  </si>
  <si>
    <t>R</t>
  </si>
  <si>
    <t>Attachment 16, Line 15, Col. 5 (Note  R)</t>
  </si>
  <si>
    <t>Attachment 19, Line 7, Col. (Y) (Note  R)</t>
  </si>
  <si>
    <t>Attachment 19, Line 7, Col. (W) (Notes O &amp; R)</t>
  </si>
  <si>
    <t>Attachment 16, Line 15, Col. 7 (Notes O &amp; R)</t>
  </si>
  <si>
    <t>S</t>
  </si>
  <si>
    <t>(Note S)</t>
  </si>
  <si>
    <t xml:space="preserve">  Long Term Debt (Attachment 8, Line 14, Col. 7) (Note O) </t>
  </si>
  <si>
    <t xml:space="preserve">  Preferred Stock  (112.3d) (Attachment 8, Line 14, Col. 2) (Note O)</t>
  </si>
  <si>
    <t xml:space="preserve">  Common Stock Attachment 8, Line 14, Col. 6) (Note O)</t>
  </si>
  <si>
    <t>(c) The ATRR is used to compare against the billed revenue in the true-up calculation. This section will not contain true-up amounts.</t>
  </si>
  <si>
    <t>FERC Account No. 182.3 (c)</t>
  </si>
  <si>
    <t>FERC Account No. 254 (Enter negatives) (c)</t>
  </si>
  <si>
    <t>JCP&amp;L to include year-end balances.</t>
  </si>
  <si>
    <t>Attachment  H-4A, Attachment 13</t>
  </si>
  <si>
    <t>Attachment  H-4A, Attachment 13a</t>
  </si>
  <si>
    <t>Attachment  H-4A, Attachment 13b</t>
  </si>
  <si>
    <t>Attachment  H-4A, Attachment 14a</t>
  </si>
  <si>
    <t>Attachment  H-4A, Attachment 14b</t>
  </si>
  <si>
    <t>Attachment  H-4A, Attachment 15</t>
  </si>
  <si>
    <t>Attachment  H-4A, Attachment 15a</t>
  </si>
  <si>
    <t>Attachment H-4A, Attachment 17</t>
  </si>
  <si>
    <t>Attachment H-4A, Attachment 18</t>
  </si>
  <si>
    <t>Attachment H-4A, Attachment 19</t>
  </si>
  <si>
    <t>Attachment H-4A, Attachment 20</t>
  </si>
  <si>
    <r>
      <t xml:space="preserve">(a) Average calculated as [Sum of Columns (C) through (O)] </t>
    </r>
    <r>
      <rPr>
        <sz val="12"/>
        <rFont val="Calibri"/>
        <family val="2"/>
      </rPr>
      <t>÷</t>
    </r>
    <r>
      <rPr>
        <sz val="12"/>
        <rFont val="Times New Roman"/>
        <family val="1"/>
      </rPr>
      <t xml:space="preserve"> 13.</t>
    </r>
  </si>
  <si>
    <t>Attachment 20, Line 26, Col. (G)</t>
  </si>
  <si>
    <t>Attachment  H-4A, Attachment 5</t>
  </si>
  <si>
    <t>Attachment  H-4A, Attachment 7</t>
  </si>
  <si>
    <t>Total transmission expenses  (Attachment 20, Line 26, Col. C)</t>
  </si>
  <si>
    <t xml:space="preserve">2. Normalization is calculated using transmission ADIT balances/adjustments only. </t>
  </si>
  <si>
    <t xml:space="preserve">(a) The PJM NITS &amp; TEC charges will include a true-up for the over/under recovery from a prior rate period. </t>
  </si>
  <si>
    <t>(d) JCP&amp;L to not include any regulatory assets/liabilities related to the Tax Cuts and Jobs act of 2017 or any future income tax changes as these</t>
  </si>
  <si>
    <t>AFUDC Equity (b)</t>
  </si>
  <si>
    <t>(b) The source shall be company records for current-year AFUDC Equity Depreciation.  No additional permanent tax differences may be included without JCP&amp;L making a Section 205 filing.</t>
  </si>
  <si>
    <t>Amortization of (Excess)/Deficient Deferred Income Tax (c)</t>
  </si>
  <si>
    <t>(c) JCP&amp;L to provide additional attachments for each tax rate change and aggregate related amortization.</t>
  </si>
  <si>
    <t>FERC Account No. 228.1 (d)</t>
  </si>
  <si>
    <t>FERC Account No. 228.2 (d)</t>
  </si>
  <si>
    <t>FERC Account No. 228.3 (d)</t>
  </si>
  <si>
    <t>FERC Account No. 228.4 (d)</t>
  </si>
  <si>
    <t>FERC Account No. 242 (d)</t>
  </si>
  <si>
    <t>Other Reserves (d)</t>
  </si>
  <si>
    <t>(d) JCP&amp;L to include total company balances to allocate to the transmission formula rate component and will only show underlying expense accounts for items that are included as a reduction to rate base.</t>
  </si>
  <si>
    <t xml:space="preserve">Regulatory assets/liabilities will have their own Attachment 15a or any other FAS 109 related balances adjusted for elsewhere within the template. </t>
  </si>
  <si>
    <t>TE Allocator</t>
  </si>
  <si>
    <t>Removes dollar amount of transmission expenses included in the OATT ancillary services rates, including Account Nos. 561.1 - 561.3, and 561.X., and related to generation step-up facilities, which are deemed included in OATT ancillary services.  For these purposes, generation step-up facilities are those facilities at a generator substation on which there is no through-flow when the generator is shut down.</t>
  </si>
  <si>
    <t xml:space="preserve">Cash Working Capital assigned to transmission is one-eighth of O&amp;M allocated to transmission at page 3, line 6, column 5 minus amortization of regulatory assets (page 3, line 5, col. 5). Total company Prepayments are the electric related prepayments booked to Account No. 165 and reported on Page 111, line 57 in the Form 1. JCP&amp;L to include transmission prepayments only. </t>
  </si>
  <si>
    <t>The revenues credited on page 1, Line 2 do not include revenues associated with FERC annual charges, gross receipts taxes, ancillary services, or facilities not included in this template (e.g., direct assignment facilities and GSUs) which are not recovered under this Rate Formula Template.  The revenue on Line 3 is supported by its own reference.</t>
  </si>
  <si>
    <t>Line 25 * Line 26 * GP</t>
  </si>
  <si>
    <t>Line 25 * Line 27</t>
  </si>
  <si>
    <t>Line 25 * Line 28</t>
  </si>
  <si>
    <t>( Line 2 - Line 4 - Line 6 + Line 8 - Line 10 + Line 12 - Line 14 + Line 16 + Line 18)</t>
  </si>
  <si>
    <t>Allocator (b) (d) (f)</t>
  </si>
  <si>
    <t>182.3 Item 1</t>
  </si>
  <si>
    <t>182.3 Item 2</t>
  </si>
  <si>
    <t>Enter Negative of Attachment 13, Line 50</t>
  </si>
  <si>
    <t>Debt cost rate = Attachment 10, Column (j) total.  Preferred cost rate = preferred dividends (line 21) / preferred outstanding (line 23).  No change in ROE may be made absent a filing with FERC under Section 205 or Section 206 of the Federal Power Act.  Per the Settlement Agreement in Docket No. ER20-227-000, JCP&amp;L's stated ROE is set to 10.20% (9.7% base ROE plus 50 basis point adder for RTO participation).</t>
  </si>
  <si>
    <t xml:space="preserve">The balances in Accounts 190, 281, 282 and 283, should exclude all FASB 106 or 109 related amounts.  For example, any and all amounts in contra accounts identified as regulatory assets or liabilities related to FASB 106 or 109 should be excluded.  The balance of Account 255 is reduced by prior flow throughs and excluded if the utility chose to utilize amortization of tax credits against taxable income as discussed in Note G.  Account 281 is not allocated. </t>
  </si>
  <si>
    <t xml:space="preserve">Total </t>
  </si>
  <si>
    <t>PTRR Proration</t>
  </si>
  <si>
    <t>ATRR Proration</t>
  </si>
  <si>
    <t>(col. cc + col. dd - col. ee - col. ff)</t>
  </si>
  <si>
    <r>
      <t>(Found using Excel Solver/Goal Seek</t>
    </r>
    <r>
      <rPr>
        <sz val="12"/>
        <color rgb="FFFF0000"/>
        <rFont val="Times New Roman"/>
        <family val="1"/>
      </rPr>
      <t>/or equivalent</t>
    </r>
    <r>
      <rPr>
        <sz val="12"/>
        <rFont val="Times New Roman"/>
        <family val="1"/>
      </rPr>
      <t>)</t>
    </r>
  </si>
  <si>
    <t xml:space="preserve">Allocator </t>
  </si>
  <si>
    <r>
      <t>To Formula Rate (Col. P x Col.</t>
    </r>
    <r>
      <rPr>
        <b/>
        <sz val="12"/>
        <color rgb="FFFF0000"/>
        <rFont val="Times New Roman"/>
        <family val="1"/>
      </rPr>
      <t xml:space="preserve"> R</t>
    </r>
    <r>
      <rPr>
        <b/>
        <sz val="12"/>
        <rFont val="Times New Roman"/>
        <family val="1"/>
      </rPr>
      <t>) (c)</t>
    </r>
  </si>
  <si>
    <t>Enter Negative Attachment 14b, Line 14, Col. (S), (Note C)</t>
  </si>
  <si>
    <t>Attachment 17, Line 3, Col. (W) (Notes O &amp; P)</t>
  </si>
  <si>
    <t>Allocator must be DA, TE, TP, GP, WS, CE, or EXCL.</t>
  </si>
  <si>
    <t>Attachment  H-4A, Attachment 5a</t>
  </si>
  <si>
    <t>Attachment  H-4A, Attachment 5b</t>
  </si>
  <si>
    <t>(b) Allocator must be DA, TE, TP, GP, WS, CE, or EXCL.</t>
  </si>
  <si>
    <r>
      <t>233.</t>
    </r>
    <r>
      <rPr>
        <b/>
        <sz val="10"/>
        <color theme="7"/>
        <rFont val="Calibri"/>
        <family val="2"/>
        <scheme val="minor"/>
      </rPr>
      <t>XX</t>
    </r>
    <r>
      <rPr>
        <sz val="10"/>
        <rFont val="Calibri"/>
        <family val="2"/>
        <scheme val="minor"/>
      </rPr>
      <t>.f</t>
    </r>
  </si>
  <si>
    <t>Accounts 391.10, 391.15, 391.20, 391.25, 393, 394, 395, 397, and 398 have an unrecovered reserve to be amortized over 5 years separately from the assets in these accounts beginning January 1, 2020 through December 31, 2025; Per the Settlement Agreement in Docket No. ER20-227-000.</t>
  </si>
  <si>
    <t>(table 2, col. gg)</t>
  </si>
  <si>
    <t>(Table 2, Col. kk)</t>
  </si>
  <si>
    <t>((col. gg / col. cc)*100)</t>
  </si>
  <si>
    <t>(col. cc * col. ii)</t>
  </si>
  <si>
    <t>Other (b)</t>
  </si>
  <si>
    <r>
      <t>FERC Form No. 1 p.214.</t>
    </r>
    <r>
      <rPr>
        <b/>
        <sz val="12"/>
        <color theme="7"/>
        <rFont val="Times New Roman"/>
        <family val="1"/>
      </rPr>
      <t>x</t>
    </r>
    <r>
      <rPr>
        <sz val="12"/>
        <rFont val="Times New Roman"/>
        <family val="1"/>
      </rPr>
      <t>.d</t>
    </r>
  </si>
  <si>
    <t>(a) Allocator must be DA, TE, TP, GP, WS, CE, or EXCL.</t>
  </si>
  <si>
    <t xml:space="preserve">(c) JCP&amp;L to include only balances attributed to transmission. </t>
  </si>
  <si>
    <t xml:space="preserve">All production labor or expenses to be excluded from A&amp;G accounts. </t>
  </si>
  <si>
    <t>(b) JCP&amp;L to include any necessary prior period adjustments including those identified through the discovery or challenge procedures, as defined within the protocols.</t>
  </si>
  <si>
    <t>336.1.b,d,e &amp; 336.10.b,d,e (Note N)</t>
  </si>
  <si>
    <t>1.XX</t>
  </si>
  <si>
    <t>3.XX</t>
  </si>
  <si>
    <t>5.XX</t>
  </si>
  <si>
    <t>7.XX</t>
  </si>
  <si>
    <t>4.XX</t>
  </si>
  <si>
    <t>Percentage (%)</t>
  </si>
  <si>
    <t>(Note C)</t>
  </si>
  <si>
    <t>(Note C &amp; D)</t>
  </si>
  <si>
    <t xml:space="preserve">Excluded costs specifically include, but are not limited to any amortization related to Regulatory Assets for which FERC approval has not been granted, EPRI dues, and non-safety advertising included within 930.1. Regulatory commission expenses within 928 that are directly assigned in total or portions allocated to distribution; accounts 561.4, 561.8, and 575.7 that consist of RTO expenses billed to load-serving entities and account 565 transmission of electricity by others. </t>
  </si>
  <si>
    <t xml:space="preserve">JCP&amp;L to include only balances attributable to transmission. </t>
  </si>
  <si>
    <t>[B] Company records</t>
  </si>
  <si>
    <t>Utilizing a 13-month average.              [D] Taken to Attachment 11, Page 2, Col. 6</t>
  </si>
  <si>
    <t xml:space="preserve">(c) JCP&amp;L to include only balances attributable to transmission. </t>
  </si>
  <si>
    <t>Plant in Service, Accumulated Depreciation, and Depreciation Expense amounts exclude Asset Retirement Obligation and Account 405 amounts unless authorized by FERC.</t>
  </si>
  <si>
    <t>(d) Prepaid income taxes and other prepayments that are considered short-term (12-months or less amortization period) shall have an allocator of "EXCL."</t>
  </si>
  <si>
    <t>Point to Point Revenues</t>
  </si>
  <si>
    <t>NJ State S&amp;U</t>
  </si>
  <si>
    <t xml:space="preserve">FICA </t>
  </si>
  <si>
    <t>NJ Unemployment</t>
  </si>
  <si>
    <t>WS</t>
  </si>
  <si>
    <t xml:space="preserve">Local Real Estate </t>
  </si>
  <si>
    <t>6.40% Series</t>
  </si>
  <si>
    <t>6.15% Series</t>
  </si>
  <si>
    <t>4.30% Series</t>
  </si>
  <si>
    <t>4.70% Series</t>
  </si>
  <si>
    <t>Incentive Compensation</t>
  </si>
  <si>
    <t>Upgrade the Portland – Greystone 230kV circuit</t>
  </si>
  <si>
    <t>Reconductor the 8 mile Gilbert – Glen Gardner 230 kV circuit</t>
  </si>
  <si>
    <t>Add a 2nd Raritan River 230/115 kV transformer</t>
  </si>
  <si>
    <t>Build a new 230 kV circuit from Larrabee to Oceanview</t>
  </si>
  <si>
    <t>b0174</t>
  </si>
  <si>
    <t>b0268</t>
  </si>
  <si>
    <t>b0726</t>
  </si>
  <si>
    <t>b2015</t>
  </si>
  <si>
    <t>Protected</t>
  </si>
  <si>
    <t>Non-Property</t>
  </si>
  <si>
    <t>Property</t>
  </si>
  <si>
    <t>EXCL</t>
  </si>
  <si>
    <t>Accrued Taxes: FICA on Vacation Accrual</t>
  </si>
  <si>
    <t>Accrued Taxes: Tax Audit Reserves</t>
  </si>
  <si>
    <t>Accumulated Provision For Injuries and Damage-General Liability</t>
  </si>
  <si>
    <t>Accumulated Provision For Injuries and Damage-Workers Compensation</t>
  </si>
  <si>
    <t>Company Debt - Issuance Discount</t>
  </si>
  <si>
    <t>FAS 112 - Medical Benefit Accrual</t>
  </si>
  <si>
    <t>FAS 123R - Performance Shares</t>
  </si>
  <si>
    <t>FAS 123R - Restricted Stock</t>
  </si>
  <si>
    <t>FAS 123R - Restricted Stock Units</t>
  </si>
  <si>
    <t>Federal NOL - Protected</t>
  </si>
  <si>
    <t>Federal NOL - Non-protected</t>
  </si>
  <si>
    <t>GR&amp;F Tax Audit</t>
  </si>
  <si>
    <t>ITC FAS 109</t>
  </si>
  <si>
    <t>NOL Deferred Tax Asset - LT NJ</t>
  </si>
  <si>
    <t>Pension EDCP-SERP Payments</t>
  </si>
  <si>
    <t>Pension/OPEB : Other Deferred Credit or Debit</t>
  </si>
  <si>
    <t>Pensions and Benefits in Excess of Max</t>
  </si>
  <si>
    <t>Pensions Expense</t>
  </si>
  <si>
    <t>Post Retirement Benefits SFAS 106 Accrual</t>
  </si>
  <si>
    <t>Vacation Pay Accrual</t>
  </si>
  <si>
    <t>FAS 109 - Non-property</t>
  </si>
  <si>
    <t>Sale of Property - Book Gain or (Loss)</t>
  </si>
  <si>
    <t>Sale of Property - Tax Gain or (Loss)</t>
  </si>
  <si>
    <t>Deferred Charge-EIB</t>
  </si>
  <si>
    <t>FE Service Tax Interest Allocation</t>
  </si>
  <si>
    <t>FE Service Timing Allocation</t>
  </si>
  <si>
    <t>PJM Receivable</t>
  </si>
  <si>
    <t>Post Retirement Benefits SFAS 106 Payments</t>
  </si>
  <si>
    <t>State Income Tax Deductible</t>
  </si>
  <si>
    <t>Year-End Additional Temp Adjustments L/T</t>
  </si>
  <si>
    <t>Accum Prov For Inj and Damage-Gen Liability</t>
  </si>
  <si>
    <t>Accum Prov For Inj and Damage-Workers Comp</t>
  </si>
  <si>
    <t>Asset Retirement Obligation Liability</t>
  </si>
  <si>
    <t>FAS 158 OPEB OCI Offset</t>
  </si>
  <si>
    <t>FAS 158 Pension OCI Offset</t>
  </si>
  <si>
    <t>Federal Long Term - Protected</t>
  </si>
  <si>
    <t>Federal Long Term - Non-protected</t>
  </si>
  <si>
    <t>Other Non-Property Impairment</t>
  </si>
  <si>
    <t>Pension/OPEB : Other Def Cr. or Dr.</t>
  </si>
  <si>
    <t>Unamortized Gain on Reacquired Debt</t>
  </si>
  <si>
    <t>Non-protected</t>
  </si>
  <si>
    <t>1/1/2018</t>
  </si>
  <si>
    <t>411.1</t>
  </si>
  <si>
    <t>Storm Damage</t>
  </si>
  <si>
    <t>Unamortized Loss on Reacquired Debt</t>
  </si>
  <si>
    <t>Vegetation Management</t>
  </si>
  <si>
    <t>Capitalized Interest</t>
  </si>
  <si>
    <t>Contribution in Aid of Construction</t>
  </si>
  <si>
    <t>FAS109 Related to Property</t>
  </si>
  <si>
    <t>263A Capitalized Overheads</t>
  </si>
  <si>
    <t>Accelarated Depreciation</t>
  </si>
  <si>
    <t>AFUDC</t>
  </si>
  <si>
    <t>AFUDC Equity (FAS109)</t>
  </si>
  <si>
    <t>Capitalized Tree Trimming</t>
  </si>
  <si>
    <t>Casualty Loss</t>
  </si>
  <si>
    <t>OPEBs</t>
  </si>
  <si>
    <t>Other</t>
  </si>
  <si>
    <t>Pension and Capitalized Benefits</t>
  </si>
  <si>
    <t>Tax Repairs</t>
  </si>
  <si>
    <t>AFUDC Equity Flow Thru (Gross up)</t>
  </si>
  <si>
    <t>Property FAS109</t>
  </si>
  <si>
    <t>Other Short-term items 12-months or less</t>
  </si>
  <si>
    <t xml:space="preserve">Prepaid Income Taxes </t>
  </si>
  <si>
    <t>OPEBs/FAS 106</t>
  </si>
  <si>
    <t>Heavy Highway Vehicle Use</t>
  </si>
  <si>
    <t>2.75% Series</t>
  </si>
  <si>
    <t>December 2021</t>
  </si>
  <si>
    <t>PJM Receivable-Payable</t>
  </si>
  <si>
    <t>For the 12 months ended 12/31/2022</t>
  </si>
  <si>
    <t>2022 Quarterly Activity and Balances</t>
  </si>
  <si>
    <t>December 2022</t>
  </si>
  <si>
    <t xml:space="preserve">Federal Unemployment </t>
  </si>
  <si>
    <t>Cost of Removal</t>
  </si>
  <si>
    <t>2022 PTRR</t>
  </si>
  <si>
    <t>2022 ATRR</t>
  </si>
  <si>
    <t xml:space="preserve">Capitalization Adjustment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</si>
</sst>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0"/>
    <numFmt numFmtId="168" formatCode="#,##0.000"/>
    <numFmt numFmtId="169" formatCode="0.0000"/>
    <numFmt numFmtId="170" formatCode="&quot;$&quot;#,##0"/>
    <numFmt numFmtId="171" formatCode="0.0%"/>
    <numFmt numFmtId="172" formatCode="&quot;$&quot;#,##0.000"/>
    <numFmt numFmtId="173" formatCode="&quot;$&quot;#,##0.00"/>
    <numFmt numFmtId="174" formatCode="_(&quot;$&quot;* #,##0_);_(&quot;$&quot;* \(#,##0\);_(&quot;$&quot;* &quot;-&quot;??_);_(@_)"/>
    <numFmt numFmtId="175" formatCode="0_);\(0\)"/>
    <numFmt numFmtId="176" formatCode="_(* #,##0_);_(* \(#,##0\);_(* &quot;-&quot;??_);_(@_)"/>
    <numFmt numFmtId="177" formatCode="0.000000%"/>
    <numFmt numFmtId="178" formatCode="_(&quot;$&quot;* #,##0.0000_);_(&quot;$&quot;* \(#,##0.0000\);_(&quot;$&quot;* &quot;-&quot;??_);_(@_)"/>
    <numFmt numFmtId="179" formatCode="0.0000%"/>
    <numFmt numFmtId="180" formatCode="_(* #,##0.0000_);_(* \(#,##0.0000\);_(* &quot;-&quot;??_);_(@_)"/>
    <numFmt numFmtId="181" formatCode="_(* #,##0.0_);_(* \(#,##0.0\);_(* &quot;-&quot;??_);_(@_)"/>
    <numFmt numFmtId="182" formatCode="0.00000%"/>
    <numFmt numFmtId="183" formatCode="&quot;$&quot;#,##0.0000"/>
    <numFmt numFmtId="184" formatCode="_(* #,##0.00000_);_(* \(#,##0.00000\);_(* &quot;-&quot;??_);_(@_)"/>
    <numFmt numFmtId="185" formatCode="0.0000000"/>
    <numFmt numFmtId="186" formatCode="_(&quot;$&quot;* #,##0.000_);_(&quot;$&quot;* \(#,##0.000\);_(&quot;$&quot;* &quot;-&quot;_);_(@_)"/>
    <numFmt numFmtId="187" formatCode="#,##0.0000_);\(#,##0.0000\)"/>
    <numFmt numFmtId="188" formatCode="[$-409]mmmm\ d\,\ yyyy;@"/>
    <numFmt numFmtId="189" formatCode="_(* #,##0.00000000_);_(* \(#,##0.00000000\);_(* &quot;-&quot;??_);_(@_)"/>
    <numFmt numFmtId="190" formatCode="&quot;$&quot;#,##0.000_);[Red]\(&quot;$&quot;#,##0.000\)"/>
    <numFmt numFmtId="191" formatCode="mm/dd/yy;@"/>
    <numFmt numFmtId="192" formatCode="&quot;$&quot;#,##0.0000_);[Red]\(&quot;$&quot;#,##0.0000\)"/>
  </numFmts>
  <fonts count="135">
    <font>
      <sz val="12"/>
      <name val="Arial MT"/>
    </font>
    <font>
      <sz val="11"/>
      <color theme="1"/>
      <name val="Calibri"/>
      <family val="2"/>
      <scheme val="minor"/>
    </font>
    <font>
      <sz val="11"/>
      <color theme="1"/>
      <name val="Calibri"/>
      <family val="2"/>
      <scheme val="minor"/>
    </font>
    <font>
      <sz val="11"/>
      <color theme="1"/>
      <name val="Calibri"/>
      <family val="2"/>
      <scheme val="minor"/>
    </font>
    <font>
      <sz val="10"/>
      <color theme="1"/>
      <name val="Courier New"/>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4"/>
      <name val="Arial"/>
      <family val="2"/>
    </font>
    <font>
      <sz val="10"/>
      <name val="Arial"/>
      <family val="2"/>
    </font>
    <font>
      <b/>
      <i/>
      <sz val="14"/>
      <name val="Arial"/>
      <family val="2"/>
    </font>
    <font>
      <b/>
      <sz val="12"/>
      <name val="Arial"/>
      <family val="2"/>
    </font>
    <font>
      <b/>
      <sz val="11"/>
      <name val="Arial"/>
      <family val="2"/>
    </font>
    <font>
      <b/>
      <sz val="24"/>
      <name val="Arial Narrow"/>
      <family val="2"/>
    </font>
    <font>
      <b/>
      <i/>
      <sz val="12"/>
      <name val="Arial"/>
      <family val="2"/>
    </font>
    <font>
      <i/>
      <sz val="12"/>
      <name val="Arial"/>
      <family val="2"/>
    </font>
    <font>
      <sz val="12"/>
      <name val="Arial"/>
      <family val="2"/>
    </font>
    <font>
      <sz val="9"/>
      <name val="Arial"/>
      <family val="2"/>
    </font>
    <font>
      <i/>
      <sz val="10"/>
      <name val="Arial"/>
      <family val="2"/>
    </font>
    <font>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8"/>
      <name val="Arial"/>
      <family val="2"/>
    </font>
    <font>
      <b/>
      <sz val="12"/>
      <name val="Arial"/>
      <family val="2"/>
    </font>
    <font>
      <b/>
      <sz val="14"/>
      <name val="Book Antiqua"/>
      <family val="1"/>
    </font>
    <font>
      <i/>
      <sz val="10"/>
      <name val="Book Antiqua"/>
      <family val="1"/>
    </font>
    <font>
      <sz val="10"/>
      <name val="MS Sans Serif"/>
    </font>
    <font>
      <b/>
      <sz val="10"/>
      <name val="MS Sans Serif"/>
    </font>
    <font>
      <sz val="8"/>
      <color indexed="38"/>
      <name val="Arial"/>
      <family val="2"/>
    </font>
    <font>
      <b/>
      <sz val="9"/>
      <name val="Arial"/>
      <family val="2"/>
    </font>
    <font>
      <b/>
      <sz val="10"/>
      <name val="Arial"/>
      <family val="2"/>
    </font>
    <font>
      <b/>
      <i/>
      <sz val="16"/>
      <name val="Arial"/>
      <family val="2"/>
    </font>
    <font>
      <b/>
      <sz val="12"/>
      <color indexed="32"/>
      <name val="Arial"/>
      <family val="2"/>
    </font>
    <font>
      <i/>
      <sz val="11"/>
      <name val="Arial"/>
      <family val="2"/>
    </font>
    <font>
      <sz val="11"/>
      <name val="Arial"/>
      <family val="2"/>
    </font>
    <font>
      <sz val="12"/>
      <name val="Times New Roman"/>
      <family val="1"/>
    </font>
    <font>
      <b/>
      <sz val="12"/>
      <name val="Times New Roman"/>
      <family val="1"/>
    </font>
    <font>
      <sz val="10"/>
      <name val="Times New Roman"/>
      <family val="1"/>
    </font>
    <font>
      <u/>
      <sz val="12"/>
      <name val="Times New Roman"/>
      <family val="1"/>
    </font>
    <font>
      <sz val="8"/>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sz val="12"/>
      <name val="Arial MT"/>
    </font>
    <font>
      <i/>
      <sz val="11"/>
      <color indexed="23"/>
      <name val="Calibri"/>
      <family val="2"/>
    </font>
    <font>
      <sz val="11"/>
      <color indexed="17"/>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sz val="10"/>
      <name val="MS Sans Serif"/>
      <family val="2"/>
    </font>
    <font>
      <b/>
      <sz val="18"/>
      <color indexed="62"/>
      <name val="Cambria"/>
      <family val="2"/>
    </font>
    <font>
      <sz val="10"/>
      <name val="Arial Narrow"/>
      <family val="2"/>
    </font>
    <font>
      <sz val="12"/>
      <name val="Calibri"/>
      <family val="2"/>
      <scheme val="minor"/>
    </font>
    <font>
      <sz val="10"/>
      <name val="Calibri"/>
      <family val="2"/>
      <scheme val="minor"/>
    </font>
    <font>
      <b/>
      <sz val="12"/>
      <name val="Calibri"/>
      <family val="2"/>
      <scheme val="minor"/>
    </font>
    <font>
      <b/>
      <sz val="10"/>
      <name val="Calibri"/>
      <family val="2"/>
      <scheme val="minor"/>
    </font>
    <font>
      <b/>
      <sz val="12"/>
      <color rgb="FFFF0000"/>
      <name val="Calibri"/>
      <family val="2"/>
      <scheme val="minor"/>
    </font>
    <font>
      <b/>
      <sz val="12"/>
      <color theme="0"/>
      <name val="Calibri"/>
      <family val="2"/>
      <scheme val="minor"/>
    </font>
    <font>
      <sz val="12"/>
      <color theme="0"/>
      <name val="Calibri"/>
      <family val="2"/>
      <scheme val="minor"/>
    </font>
    <font>
      <sz val="10"/>
      <color theme="1"/>
      <name val="Arial"/>
      <family val="2"/>
    </font>
    <font>
      <b/>
      <sz val="10"/>
      <color theme="1"/>
      <name val="Arial"/>
      <family val="2"/>
    </font>
    <font>
      <i/>
      <sz val="10"/>
      <color theme="1"/>
      <name val="Arial"/>
      <family val="2"/>
    </font>
    <font>
      <strike/>
      <sz val="10"/>
      <name val="Arial"/>
      <family val="2"/>
    </font>
    <font>
      <b/>
      <sz val="10"/>
      <color indexed="10"/>
      <name val="Arial"/>
      <family val="2"/>
    </font>
    <font>
      <b/>
      <sz val="14"/>
      <name val="Arial Narrow"/>
      <family val="2"/>
    </font>
    <font>
      <b/>
      <sz val="12"/>
      <color indexed="10"/>
      <name val="Arial"/>
      <family val="2"/>
    </font>
    <font>
      <b/>
      <sz val="12"/>
      <color indexed="13"/>
      <name val="Helvetica"/>
      <family val="2"/>
    </font>
    <font>
      <sz val="12"/>
      <color indexed="12"/>
      <name val="Arial"/>
      <family val="2"/>
    </font>
    <font>
      <b/>
      <sz val="12"/>
      <color indexed="13"/>
      <name val="Helv"/>
    </font>
    <font>
      <b/>
      <sz val="12"/>
      <name val="Helv"/>
    </font>
    <font>
      <sz val="12"/>
      <color indexed="12"/>
      <name val="Helv"/>
    </font>
    <font>
      <sz val="12"/>
      <name val="Helv"/>
    </font>
    <font>
      <b/>
      <u/>
      <sz val="10"/>
      <name val="Arial"/>
      <family val="2"/>
    </font>
    <font>
      <sz val="10"/>
      <color indexed="12"/>
      <name val="Arial"/>
      <family val="2"/>
    </font>
    <font>
      <u/>
      <sz val="12"/>
      <name val="Arial"/>
      <family val="2"/>
    </font>
    <font>
      <sz val="10"/>
      <name val="Arial"/>
      <family val="2"/>
    </font>
    <font>
      <b/>
      <u/>
      <sz val="12"/>
      <name val="Arial"/>
      <family val="2"/>
    </font>
    <font>
      <b/>
      <sz val="11"/>
      <color theme="1"/>
      <name val="Calibri"/>
      <family val="2"/>
      <scheme val="minor"/>
    </font>
    <font>
      <sz val="12"/>
      <color indexed="10"/>
      <name val="Arial"/>
      <family val="2"/>
    </font>
    <font>
      <sz val="11"/>
      <color theme="1"/>
      <name val="Calibri"/>
      <family val="2"/>
    </font>
    <font>
      <u/>
      <sz val="10"/>
      <color theme="1"/>
      <name val="Arial"/>
      <family val="2"/>
    </font>
    <font>
      <sz val="12"/>
      <color indexed="56"/>
      <name val="Arial"/>
      <family val="2"/>
    </font>
    <font>
      <u val="singleAccounting"/>
      <sz val="12"/>
      <name val="Arial"/>
      <family val="2"/>
    </font>
    <font>
      <strike/>
      <vertAlign val="superscript"/>
      <sz val="12"/>
      <name val="Arial"/>
      <family val="2"/>
    </font>
    <font>
      <vertAlign val="subscript"/>
      <sz val="10"/>
      <name val="Arial"/>
      <family val="2"/>
    </font>
    <font>
      <sz val="12"/>
      <name val="Times New Roman"/>
      <family val="1"/>
    </font>
    <font>
      <u val="singleAccounting"/>
      <sz val="12"/>
      <name val="Times New Roman"/>
      <family val="1"/>
    </font>
    <font>
      <b/>
      <sz val="12"/>
      <name val="Times New Roman"/>
      <family val="1"/>
    </font>
    <font>
      <strike/>
      <sz val="12"/>
      <name val="Times New Roman"/>
      <family val="1"/>
    </font>
    <font>
      <b/>
      <sz val="10"/>
      <name val="Times New Roman"/>
      <family val="1"/>
    </font>
    <font>
      <sz val="10"/>
      <name val="Arial MT"/>
    </font>
    <font>
      <strike/>
      <sz val="10"/>
      <name val="Arial MT"/>
    </font>
    <font>
      <sz val="12"/>
      <color rgb="FFFF0000"/>
      <name val="Times New Roman"/>
      <family val="1"/>
    </font>
    <font>
      <sz val="12"/>
      <color rgb="FFFF0000"/>
      <name val="Arial"/>
      <family val="2"/>
    </font>
    <font>
      <sz val="11"/>
      <name val="Calibri"/>
      <family val="2"/>
      <scheme val="minor"/>
    </font>
    <font>
      <b/>
      <sz val="12"/>
      <name val="Arial MT"/>
    </font>
    <font>
      <u/>
      <sz val="10"/>
      <name val="Arial"/>
      <family val="2"/>
    </font>
    <font>
      <b/>
      <u/>
      <sz val="12"/>
      <name val="Times New Roman"/>
      <family val="1"/>
    </font>
    <font>
      <sz val="12"/>
      <name val="Calibri"/>
      <family val="2"/>
    </font>
    <font>
      <sz val="8"/>
      <name val="Arial MT"/>
    </font>
    <font>
      <sz val="12"/>
      <color theme="1"/>
      <name val="Times New Roman"/>
      <family val="1"/>
    </font>
    <font>
      <b/>
      <sz val="12"/>
      <color theme="1"/>
      <name val="Times New Roman"/>
      <family val="1"/>
    </font>
    <font>
      <u/>
      <sz val="12"/>
      <color theme="1"/>
      <name val="Times New Roman"/>
      <family val="1"/>
    </font>
    <font>
      <sz val="12"/>
      <name val="Courier New"/>
      <family val="3"/>
    </font>
    <font>
      <b/>
      <sz val="12"/>
      <name val="Courier New"/>
      <family val="3"/>
    </font>
    <font>
      <sz val="12"/>
      <color theme="1"/>
      <name val="Courier New"/>
      <family val="3"/>
    </font>
    <font>
      <b/>
      <u/>
      <sz val="12"/>
      <color theme="1"/>
      <name val="Times New Roman"/>
      <family val="1"/>
    </font>
    <font>
      <sz val="12"/>
      <color rgb="FFFF0000"/>
      <name val="Calibri"/>
      <family val="2"/>
      <scheme val="minor"/>
    </font>
    <font>
      <sz val="12"/>
      <color rgb="FFFF0000"/>
      <name val="Arial MT"/>
    </font>
    <font>
      <b/>
      <sz val="12"/>
      <color rgb="FFFF0000"/>
      <name val="Times New Roman"/>
      <family val="1"/>
    </font>
    <font>
      <sz val="12"/>
      <color rgb="FF0070C0"/>
      <name val="Times New Roman"/>
      <family val="1"/>
    </font>
    <font>
      <sz val="12"/>
      <color rgb="FF0070C0"/>
      <name val="Arial MT"/>
    </font>
    <font>
      <b/>
      <sz val="12"/>
      <color rgb="FF0070C0"/>
      <name val="Times New Roman"/>
      <family val="1"/>
    </font>
    <font>
      <b/>
      <sz val="12"/>
      <color rgb="FF0070C0"/>
      <name val="Calibri"/>
      <family val="2"/>
      <scheme val="minor"/>
    </font>
    <font>
      <b/>
      <sz val="12"/>
      <color rgb="FF0070C0"/>
      <name val="Arial"/>
      <family val="2"/>
    </font>
    <font>
      <u val="singleAccounting"/>
      <sz val="12"/>
      <name val="Arial MT"/>
    </font>
    <font>
      <u/>
      <sz val="12"/>
      <name val="Arial MT"/>
    </font>
    <font>
      <b/>
      <sz val="12"/>
      <color theme="7"/>
      <name val="Times New Roman"/>
      <family val="1"/>
    </font>
    <font>
      <b/>
      <sz val="10"/>
      <color theme="7"/>
      <name val="Calibri"/>
      <family val="2"/>
      <scheme val="minor"/>
    </font>
    <font>
      <sz val="11"/>
      <color rgb="FFFF0000"/>
      <name val="Calibri"/>
      <family val="2"/>
    </font>
  </fonts>
  <fills count="2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mediumGray">
        <fgColor indexed="22"/>
      </patternFill>
    </fill>
    <fill>
      <patternFill patternType="solid">
        <fgColor indexed="22"/>
        <bgColor indexed="64"/>
      </patternFill>
    </fill>
    <fill>
      <patternFill patternType="solid">
        <fgColor theme="5" tint="0.79998168889431442"/>
        <bgColor indexed="64"/>
      </patternFill>
    </fill>
    <fill>
      <patternFill patternType="solid">
        <fgColor theme="1"/>
        <bgColor indexed="64"/>
      </patternFill>
    </fill>
    <fill>
      <patternFill patternType="solid">
        <fgColor indexed="8"/>
        <bgColor indexed="64"/>
      </patternFill>
    </fill>
    <fill>
      <patternFill patternType="solid">
        <fgColor theme="0"/>
        <bgColor indexed="64"/>
      </patternFill>
    </fill>
  </fills>
  <borders count="39">
    <border>
      <left/>
      <right/>
      <top/>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27"/>
      </bottom>
      <diagonal/>
    </border>
    <border>
      <left/>
      <right/>
      <top/>
      <bottom style="medium">
        <color indexed="64"/>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double">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auto="1"/>
      </top>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double">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s>
  <cellStyleXfs count="168">
    <xf numFmtId="173" fontId="0" fillId="0" borderId="0" applyProtection="0"/>
    <xf numFmtId="0" fontId="51" fillId="2" borderId="0" applyNumberFormat="0" applyBorder="0" applyAlignment="0" applyProtection="0"/>
    <xf numFmtId="0" fontId="51" fillId="3" borderId="0" applyNumberFormat="0" applyBorder="0" applyAlignment="0" applyProtection="0"/>
    <xf numFmtId="0" fontId="51" fillId="4" borderId="0" applyNumberFormat="0" applyBorder="0" applyAlignment="0" applyProtection="0"/>
    <xf numFmtId="0" fontId="51" fillId="5" borderId="0" applyNumberFormat="0" applyBorder="0" applyAlignment="0" applyProtection="0"/>
    <xf numFmtId="0" fontId="51" fillId="6" borderId="0" applyNumberFormat="0" applyBorder="0" applyAlignment="0" applyProtection="0"/>
    <xf numFmtId="0" fontId="51" fillId="4" borderId="0" applyNumberFormat="0" applyBorder="0" applyAlignment="0" applyProtection="0"/>
    <xf numFmtId="0" fontId="51" fillId="6" borderId="0" applyNumberFormat="0" applyBorder="0" applyAlignment="0" applyProtection="0"/>
    <xf numFmtId="0" fontId="51" fillId="3" borderId="0" applyNumberFormat="0" applyBorder="0" applyAlignment="0" applyProtection="0"/>
    <xf numFmtId="0" fontId="51" fillId="7" borderId="0" applyNumberFormat="0" applyBorder="0" applyAlignment="0" applyProtection="0"/>
    <xf numFmtId="0" fontId="51" fillId="8" borderId="0" applyNumberFormat="0" applyBorder="0" applyAlignment="0" applyProtection="0"/>
    <xf numFmtId="0" fontId="51" fillId="6" borderId="0" applyNumberFormat="0" applyBorder="0" applyAlignment="0" applyProtection="0"/>
    <xf numFmtId="0" fontId="51" fillId="4" borderId="0" applyNumberFormat="0" applyBorder="0" applyAlignment="0" applyProtection="0"/>
    <xf numFmtId="0" fontId="52" fillId="6"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8" borderId="0" applyNumberFormat="0" applyBorder="0" applyAlignment="0" applyProtection="0"/>
    <xf numFmtId="0" fontId="52" fillId="6" borderId="0" applyNumberFormat="0" applyBorder="0" applyAlignment="0" applyProtection="0"/>
    <xf numFmtId="0" fontId="52" fillId="3" borderId="0" applyNumberFormat="0" applyBorder="0" applyAlignment="0" applyProtection="0"/>
    <xf numFmtId="0" fontId="52" fillId="11"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52" fillId="14" borderId="0" applyNumberFormat="0" applyBorder="0" applyAlignment="0" applyProtection="0"/>
    <xf numFmtId="0" fontId="53" fillId="15" borderId="0" applyNumberFormat="0" applyBorder="0" applyAlignment="0" applyProtection="0"/>
    <xf numFmtId="173" fontId="15" fillId="0" borderId="0" applyFill="0"/>
    <xf numFmtId="173" fontId="15" fillId="0" borderId="0">
      <alignment horizontal="center"/>
    </xf>
    <xf numFmtId="0" fontId="15" fillId="0" borderId="0" applyFill="0">
      <alignment horizontal="center"/>
    </xf>
    <xf numFmtId="173" fontId="16" fillId="0" borderId="1" applyFill="0"/>
    <xf numFmtId="0" fontId="17" fillId="0" borderId="0" applyFont="0" applyAlignment="0"/>
    <xf numFmtId="0" fontId="18" fillId="0" borderId="0" applyFill="0">
      <alignment vertical="top"/>
    </xf>
    <xf numFmtId="0" fontId="16" fillId="0" borderId="0" applyFill="0">
      <alignment horizontal="left" vertical="top"/>
    </xf>
    <xf numFmtId="173" fontId="19" fillId="0" borderId="2" applyFill="0"/>
    <xf numFmtId="0" fontId="17" fillId="0" borderId="0" applyNumberFormat="0" applyFont="0" applyAlignment="0"/>
    <xf numFmtId="0" fontId="18" fillId="0" borderId="0" applyFill="0">
      <alignment wrapText="1"/>
    </xf>
    <xf numFmtId="0" fontId="16" fillId="0" borderId="0" applyFill="0">
      <alignment horizontal="left" vertical="top" wrapText="1"/>
    </xf>
    <xf numFmtId="173" fontId="20" fillId="0" borderId="0" applyFill="0"/>
    <xf numFmtId="0" fontId="21" fillId="0" borderId="0" applyNumberFormat="0" applyFont="0" applyAlignment="0">
      <alignment horizontal="center"/>
    </xf>
    <xf numFmtId="0" fontId="22" fillId="0" borderId="0" applyFill="0">
      <alignment vertical="top" wrapText="1"/>
    </xf>
    <xf numFmtId="0" fontId="19" fillId="0" borderId="0" applyFill="0">
      <alignment horizontal="left" vertical="top" wrapText="1"/>
    </xf>
    <xf numFmtId="173" fontId="17" fillId="0" borderId="0" applyFill="0"/>
    <xf numFmtId="0" fontId="21" fillId="0" borderId="0" applyNumberFormat="0" applyFont="0" applyAlignment="0">
      <alignment horizontal="center"/>
    </xf>
    <xf numFmtId="0" fontId="23" fillId="0" borderId="0" applyFill="0">
      <alignment vertical="center" wrapText="1"/>
    </xf>
    <xf numFmtId="0" fontId="24" fillId="0" borderId="0">
      <alignment horizontal="left" vertical="center" wrapText="1"/>
    </xf>
    <xf numFmtId="173" fontId="25" fillId="0" borderId="0" applyFill="0"/>
    <xf numFmtId="0" fontId="21" fillId="0" borderId="0" applyNumberFormat="0" applyFont="0" applyAlignment="0">
      <alignment horizontal="center"/>
    </xf>
    <xf numFmtId="0" fontId="26" fillId="0" borderId="0" applyFill="0">
      <alignment horizontal="center" vertical="center" wrapText="1"/>
    </xf>
    <xf numFmtId="0" fontId="27" fillId="0" borderId="0" applyFill="0">
      <alignment horizontal="center" vertical="center" wrapText="1"/>
    </xf>
    <xf numFmtId="173" fontId="28" fillId="0" borderId="0" applyFill="0"/>
    <xf numFmtId="0" fontId="21" fillId="0" borderId="0" applyNumberFormat="0" applyFont="0" applyAlignment="0">
      <alignment horizontal="center"/>
    </xf>
    <xf numFmtId="0" fontId="29" fillId="0" borderId="0" applyFill="0">
      <alignment horizontal="center" vertical="center" wrapText="1"/>
    </xf>
    <xf numFmtId="0" fontId="30" fillId="0" borderId="0" applyFill="0">
      <alignment horizontal="center" vertical="center" wrapText="1"/>
    </xf>
    <xf numFmtId="173" fontId="31" fillId="0" borderId="0" applyFill="0"/>
    <xf numFmtId="0" fontId="21" fillId="0" borderId="0" applyNumberFormat="0" applyFont="0" applyAlignment="0">
      <alignment horizontal="center"/>
    </xf>
    <xf numFmtId="0" fontId="32" fillId="0" borderId="0">
      <alignment horizontal="center" wrapText="1"/>
    </xf>
    <xf numFmtId="0" fontId="28" fillId="0" borderId="0" applyFill="0">
      <alignment horizontal="center" wrapText="1"/>
    </xf>
    <xf numFmtId="0" fontId="54" fillId="16" borderId="3" applyNumberFormat="0" applyAlignment="0" applyProtection="0"/>
    <xf numFmtId="0" fontId="55" fillId="17" borderId="4" applyNumberFormat="0" applyAlignment="0" applyProtection="0"/>
    <xf numFmtId="43" fontId="17" fillId="0" borderId="0" applyFont="0" applyFill="0" applyBorder="0" applyAlignment="0" applyProtection="0"/>
    <xf numFmtId="43" fontId="64" fillId="0" borderId="0" applyFont="0" applyFill="0" applyBorder="0" applyAlignment="0" applyProtection="0"/>
    <xf numFmtId="43" fontId="27" fillId="0" borderId="0" applyFont="0" applyFill="0" applyBorder="0" applyAlignment="0" applyProtection="0"/>
    <xf numFmtId="3" fontId="17" fillId="0" borderId="0" applyFont="0" applyFill="0" applyBorder="0" applyAlignment="0" applyProtection="0"/>
    <xf numFmtId="44" fontId="17" fillId="0" borderId="0" applyFont="0" applyFill="0" applyBorder="0" applyAlignment="0" applyProtection="0"/>
    <xf numFmtId="5" fontId="17" fillId="0" borderId="0" applyFont="0" applyFill="0" applyBorder="0" applyAlignment="0" applyProtection="0"/>
    <xf numFmtId="14" fontId="17" fillId="0" borderId="0" applyFont="0" applyFill="0" applyBorder="0" applyAlignment="0" applyProtection="0"/>
    <xf numFmtId="0" fontId="57" fillId="0" borderId="0" applyNumberFormat="0" applyFill="0" applyBorder="0" applyAlignment="0" applyProtection="0"/>
    <xf numFmtId="2" fontId="17" fillId="0" borderId="0" applyFont="0" applyFill="0" applyBorder="0" applyAlignment="0" applyProtection="0"/>
    <xf numFmtId="0" fontId="58" fillId="6" borderId="0" applyNumberFormat="0" applyBorder="0" applyAlignment="0" applyProtection="0"/>
    <xf numFmtId="0" fontId="33" fillId="0" borderId="0" applyFont="0" applyFill="0" applyBorder="0" applyAlignment="0" applyProtection="0"/>
    <xf numFmtId="0" fontId="34" fillId="0" borderId="0" applyFont="0" applyFill="0" applyBorder="0" applyAlignment="0" applyProtection="0"/>
    <xf numFmtId="0" fontId="59" fillId="0" borderId="5" applyNumberFormat="0" applyFill="0" applyAlignment="0" applyProtection="0"/>
    <xf numFmtId="0" fontId="59" fillId="0" borderId="0" applyNumberFormat="0" applyFill="0" applyBorder="0" applyAlignment="0" applyProtection="0"/>
    <xf numFmtId="0" fontId="35" fillId="0" borderId="6"/>
    <xf numFmtId="0" fontId="36" fillId="0" borderId="0"/>
    <xf numFmtId="0" fontId="60" fillId="7" borderId="3" applyNumberFormat="0" applyAlignment="0" applyProtection="0"/>
    <xf numFmtId="0" fontId="61" fillId="0" borderId="7" applyNumberFormat="0" applyFill="0" applyAlignment="0" applyProtection="0"/>
    <xf numFmtId="0" fontId="62" fillId="7" borderId="0" applyNumberFormat="0" applyBorder="0" applyAlignment="0" applyProtection="0"/>
    <xf numFmtId="0" fontId="66" fillId="0" borderId="0">
      <alignment vertical="top"/>
    </xf>
    <xf numFmtId="0" fontId="27" fillId="0" borderId="0"/>
    <xf numFmtId="0" fontId="27" fillId="0" borderId="0"/>
    <xf numFmtId="0" fontId="27" fillId="0" borderId="0"/>
    <xf numFmtId="0" fontId="17" fillId="0" borderId="0"/>
    <xf numFmtId="0" fontId="56" fillId="4" borderId="8" applyNumberFormat="0" applyFont="0" applyAlignment="0" applyProtection="0"/>
    <xf numFmtId="0" fontId="63" fillId="16" borderId="9" applyNumberFormat="0" applyAlignment="0" applyProtection="0"/>
    <xf numFmtId="9" fontId="17" fillId="0" borderId="0" applyFont="0" applyFill="0" applyBorder="0" applyAlignment="0" applyProtection="0"/>
    <xf numFmtId="9" fontId="27" fillId="0" borderId="0" applyFont="0" applyFill="0" applyBorder="0" applyAlignment="0" applyProtection="0"/>
    <xf numFmtId="0" fontId="37" fillId="0" borderId="0" applyNumberFormat="0" applyFont="0" applyFill="0" applyBorder="0" applyAlignment="0" applyProtection="0">
      <alignment horizontal="left"/>
    </xf>
    <xf numFmtId="15" fontId="37" fillId="0" borderId="0" applyFont="0" applyFill="0" applyBorder="0" applyAlignment="0" applyProtection="0"/>
    <xf numFmtId="4" fontId="37" fillId="0" borderId="0" applyFont="0" applyFill="0" applyBorder="0" applyAlignment="0" applyProtection="0"/>
    <xf numFmtId="3" fontId="17" fillId="0" borderId="0">
      <alignment horizontal="left" vertical="top"/>
    </xf>
    <xf numFmtId="0" fontId="38" fillId="0" borderId="6">
      <alignment horizontal="center"/>
    </xf>
    <xf numFmtId="3" fontId="37" fillId="0" borderId="0" applyFont="0" applyFill="0" applyBorder="0" applyAlignment="0" applyProtection="0"/>
    <xf numFmtId="0" fontId="37" fillId="18" borderId="0" applyNumberFormat="0" applyFont="0" applyBorder="0" applyAlignment="0" applyProtection="0"/>
    <xf numFmtId="3" fontId="17" fillId="0" borderId="0">
      <alignment horizontal="right" vertical="top"/>
    </xf>
    <xf numFmtId="41" fontId="24" fillId="19" borderId="10" applyFill="0"/>
    <xf numFmtId="0" fontId="39" fillId="0" borderId="0">
      <alignment horizontal="left" indent="7"/>
    </xf>
    <xf numFmtId="41" fontId="24" fillId="0" borderId="10" applyFill="0">
      <alignment horizontal="left" indent="2"/>
    </xf>
    <xf numFmtId="173" fontId="40" fillId="0" borderId="11" applyFill="0">
      <alignment horizontal="right"/>
    </xf>
    <xf numFmtId="0" fontId="41" fillId="0" borderId="12" applyNumberFormat="0" applyFont="0" applyBorder="0">
      <alignment horizontal="right"/>
    </xf>
    <xf numFmtId="0" fontId="42" fillId="0" borderId="0" applyFill="0"/>
    <xf numFmtId="0" fontId="19" fillId="0" borderId="0" applyFill="0"/>
    <xf numFmtId="4" fontId="40" fillId="0" borderId="11" applyFill="0"/>
    <xf numFmtId="0" fontId="17" fillId="0" borderId="0" applyNumberFormat="0" applyFont="0" applyBorder="0" applyAlignment="0"/>
    <xf numFmtId="0" fontId="22" fillId="0" borderId="0" applyFill="0">
      <alignment horizontal="left" indent="1"/>
    </xf>
    <xf numFmtId="0" fontId="43" fillId="0" borderId="0" applyFill="0">
      <alignment horizontal="left" indent="1"/>
    </xf>
    <xf numFmtId="4" fontId="25" fillId="0" borderId="0" applyFill="0"/>
    <xf numFmtId="0" fontId="17" fillId="0" borderId="0" applyNumberFormat="0" applyFont="0" applyFill="0" applyBorder="0" applyAlignment="0"/>
    <xf numFmtId="0" fontId="22" fillId="0" borderId="0" applyFill="0">
      <alignment horizontal="left" indent="2"/>
    </xf>
    <xf numFmtId="0" fontId="19" fillId="0" borderId="0" applyFill="0">
      <alignment horizontal="left" indent="2"/>
    </xf>
    <xf numFmtId="4" fontId="25" fillId="0" borderId="0" applyFill="0"/>
    <xf numFmtId="0" fontId="17" fillId="0" borderId="0" applyNumberFormat="0" applyFont="0" applyBorder="0" applyAlignment="0"/>
    <xf numFmtId="0" fontId="44" fillId="0" borderId="0">
      <alignment horizontal="left" indent="3"/>
    </xf>
    <xf numFmtId="0" fontId="45" fillId="0" borderId="0" applyFill="0">
      <alignment horizontal="left" indent="3"/>
    </xf>
    <xf numFmtId="4" fontId="25" fillId="0" borderId="0" applyFill="0"/>
    <xf numFmtId="0" fontId="17" fillId="0" borderId="0" applyNumberFormat="0" applyFont="0" applyBorder="0" applyAlignment="0"/>
    <xf numFmtId="0" fontId="26" fillId="0" borderId="0">
      <alignment horizontal="left" indent="4"/>
    </xf>
    <xf numFmtId="0" fontId="27" fillId="0" borderId="0" applyFill="0">
      <alignment horizontal="left" indent="4"/>
    </xf>
    <xf numFmtId="4" fontId="28" fillId="0" borderId="0" applyFill="0"/>
    <xf numFmtId="0" fontId="17" fillId="0" borderId="0" applyNumberFormat="0" applyFont="0" applyBorder="0" applyAlignment="0"/>
    <xf numFmtId="0" fontId="29" fillId="0" borderId="0">
      <alignment horizontal="left" indent="5"/>
    </xf>
    <xf numFmtId="0" fontId="30" fillId="0" borderId="0" applyFill="0">
      <alignment horizontal="left" indent="5"/>
    </xf>
    <xf numFmtId="4" fontId="31" fillId="0" borderId="0" applyFill="0"/>
    <xf numFmtId="0" fontId="17" fillId="0" borderId="0" applyNumberFormat="0" applyFont="0" applyFill="0" applyBorder="0" applyAlignment="0"/>
    <xf numFmtId="0" fontId="32" fillId="0" borderId="0" applyFill="0">
      <alignment horizontal="left" indent="6"/>
    </xf>
    <xf numFmtId="0" fontId="28" fillId="0" borderId="0" applyFill="0">
      <alignment horizontal="left" indent="6"/>
    </xf>
    <xf numFmtId="0" fontId="65" fillId="0" borderId="0" applyNumberFormat="0" applyFill="0" applyBorder="0" applyAlignment="0" applyProtection="0"/>
    <xf numFmtId="0" fontId="17" fillId="0" borderId="0" applyFont="0" applyFill="0" applyBorder="0" applyAlignment="0" applyProtection="0"/>
    <xf numFmtId="0" fontId="61" fillId="0" borderId="0" applyNumberFormat="0" applyFill="0" applyBorder="0" applyAlignment="0" applyProtection="0"/>
    <xf numFmtId="0" fontId="14" fillId="0" borderId="0"/>
    <xf numFmtId="9" fontId="14" fillId="0" borderId="0" applyFont="0" applyFill="0" applyBorder="0" applyAlignment="0" applyProtection="0"/>
    <xf numFmtId="44"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90" fillId="0" borderId="0"/>
    <xf numFmtId="44"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44" fontId="17" fillId="0" borderId="0" applyFont="0" applyFill="0" applyBorder="0" applyAlignment="0" applyProtection="0"/>
    <xf numFmtId="173" fontId="56" fillId="0" borderId="0" applyProtection="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2" fillId="0" borderId="0"/>
    <xf numFmtId="43" fontId="12" fillId="0" borderId="0" applyFont="0" applyFill="0" applyBorder="0" applyAlignment="0" applyProtection="0"/>
    <xf numFmtId="0" fontId="94" fillId="0" borderId="0"/>
    <xf numFmtId="43" fontId="94" fillId="0" borderId="0" applyFont="0" applyFill="0" applyBorder="0" applyAlignment="0" applyProtection="0"/>
    <xf numFmtId="0" fontId="17" fillId="0" borderId="0"/>
    <xf numFmtId="9" fontId="56" fillId="0" borderId="0" applyFont="0" applyFill="0" applyBorder="0" applyAlignment="0" applyProtection="0"/>
    <xf numFmtId="0" fontId="11" fillId="0" borderId="0"/>
    <xf numFmtId="43" fontId="11" fillId="0" borderId="0" applyFont="0" applyFill="0" applyBorder="0" applyAlignment="0" applyProtection="0"/>
    <xf numFmtId="0" fontId="17" fillId="0" borderId="0"/>
    <xf numFmtId="0" fontId="17" fillId="0" borderId="0"/>
    <xf numFmtId="43" fontId="5" fillId="0" borderId="0" applyFont="0" applyFill="0" applyBorder="0" applyAlignment="0" applyProtection="0"/>
    <xf numFmtId="0" fontId="5" fillId="0" borderId="0"/>
    <xf numFmtId="41" fontId="5" fillId="0" borderId="0" applyFont="0" applyFill="0" applyBorder="0" applyAlignment="0" applyProtection="0"/>
    <xf numFmtId="0" fontId="4" fillId="0" borderId="0"/>
    <xf numFmtId="43" fontId="4"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74" fillId="0" borderId="0"/>
    <xf numFmtId="43" fontId="74" fillId="0" borderId="0" applyFont="0" applyFill="0" applyBorder="0" applyAlignment="0" applyProtection="0"/>
    <xf numFmtId="43" fontId="17" fillId="0" borderId="0" applyFont="0" applyFill="0" applyBorder="0" applyAlignment="0" applyProtection="0"/>
    <xf numFmtId="0" fontId="56" fillId="0" borderId="0" applyProtection="0"/>
  </cellStyleXfs>
  <cellXfs count="1037">
    <xf numFmtId="173" fontId="0" fillId="0" borderId="0" xfId="0"/>
    <xf numFmtId="173" fontId="46" fillId="0" borderId="0" xfId="0" applyFont="1"/>
    <xf numFmtId="0" fontId="46" fillId="0" borderId="0" xfId="0" applyNumberFormat="1" applyFont="1"/>
    <xf numFmtId="0" fontId="46" fillId="0" borderId="0" xfId="0" applyNumberFormat="1" applyFont="1" applyAlignment="1">
      <alignment horizontal="right"/>
    </xf>
    <xf numFmtId="3" fontId="46" fillId="0" borderId="0" xfId="82" applyNumberFormat="1" applyFont="1"/>
    <xf numFmtId="0" fontId="17" fillId="0" borderId="0" xfId="82"/>
    <xf numFmtId="0" fontId="48" fillId="0" borderId="0" xfId="82" applyFont="1"/>
    <xf numFmtId="3" fontId="48" fillId="0" borderId="0" xfId="82" applyNumberFormat="1" applyFont="1"/>
    <xf numFmtId="0" fontId="46" fillId="0" borderId="0" xfId="82" applyFont="1"/>
    <xf numFmtId="174" fontId="46" fillId="0" borderId="0" xfId="63" applyNumberFormat="1" applyFont="1" applyFill="1" applyBorder="1" applyAlignment="1"/>
    <xf numFmtId="0" fontId="49" fillId="0" borderId="0" xfId="82" applyFont="1"/>
    <xf numFmtId="174" fontId="46" fillId="0" borderId="0" xfId="63" applyNumberFormat="1" applyFont="1" applyBorder="1" applyAlignment="1"/>
    <xf numFmtId="178" fontId="46" fillId="0" borderId="0" xfId="63" applyNumberFormat="1" applyFont="1" applyBorder="1"/>
    <xf numFmtId="0" fontId="46" fillId="0" borderId="0" xfId="82" applyFont="1" applyAlignment="1">
      <alignment horizontal="left" wrapText="1"/>
    </xf>
    <xf numFmtId="0" fontId="46" fillId="0" borderId="0" xfId="82" applyFont="1" applyAlignment="1">
      <alignment horizontal="left"/>
    </xf>
    <xf numFmtId="0" fontId="49" fillId="0" borderId="0" xfId="82" applyFont="1" applyAlignment="1">
      <alignment horizontal="center"/>
    </xf>
    <xf numFmtId="173" fontId="46" fillId="0" borderId="0" xfId="0" applyFont="1" applyAlignment="1">
      <alignment horizontal="right"/>
    </xf>
    <xf numFmtId="173" fontId="46" fillId="0" borderId="0" xfId="0" applyFont="1" applyAlignment="1">
      <alignment horizontal="center"/>
    </xf>
    <xf numFmtId="173" fontId="47" fillId="0" borderId="0" xfId="0" applyFont="1"/>
    <xf numFmtId="173" fontId="47" fillId="0" borderId="13" xfId="0" applyFont="1" applyBorder="1" applyAlignment="1">
      <alignment horizontal="center" wrapText="1"/>
    </xf>
    <xf numFmtId="173" fontId="47" fillId="0" borderId="14" xfId="0" applyFont="1" applyBorder="1"/>
    <xf numFmtId="173" fontId="47" fillId="0" borderId="14" xfId="0" applyFont="1" applyBorder="1" applyAlignment="1">
      <alignment horizontal="center" wrapText="1"/>
    </xf>
    <xf numFmtId="0" fontId="47" fillId="0" borderId="14" xfId="0" applyNumberFormat="1" applyFont="1" applyBorder="1" applyAlignment="1">
      <alignment horizontal="center" wrapText="1"/>
    </xf>
    <xf numFmtId="0" fontId="46" fillId="0" borderId="13" xfId="0" applyNumberFormat="1" applyFont="1" applyBorder="1"/>
    <xf numFmtId="0" fontId="46" fillId="0" borderId="14" xfId="0" applyNumberFormat="1" applyFont="1" applyBorder="1"/>
    <xf numFmtId="0" fontId="46" fillId="0" borderId="14" xfId="0" applyNumberFormat="1" applyFont="1" applyBorder="1" applyAlignment="1">
      <alignment horizontal="center"/>
    </xf>
    <xf numFmtId="0" fontId="46" fillId="0" borderId="16" xfId="0" applyNumberFormat="1" applyFont="1" applyBorder="1"/>
    <xf numFmtId="1" fontId="46" fillId="0" borderId="0" xfId="0" applyNumberFormat="1" applyFont="1" applyAlignment="1">
      <alignment horizontal="center"/>
    </xf>
    <xf numFmtId="173" fontId="48" fillId="0" borderId="0" xfId="0" applyFont="1"/>
    <xf numFmtId="173" fontId="49" fillId="0" borderId="0" xfId="0" applyFont="1"/>
    <xf numFmtId="173" fontId="47" fillId="0" borderId="14" xfId="0" applyFont="1" applyBorder="1" applyAlignment="1">
      <alignment horizontal="center"/>
    </xf>
    <xf numFmtId="0" fontId="46" fillId="0" borderId="0" xfId="82" applyFont="1" applyAlignment="1">
      <alignment horizontal="center" vertical="top"/>
    </xf>
    <xf numFmtId="0" fontId="46" fillId="20" borderId="0" xfId="0" applyNumberFormat="1" applyFont="1" applyFill="1" applyAlignment="1">
      <alignment horizontal="right"/>
    </xf>
    <xf numFmtId="173" fontId="67" fillId="0" borderId="0" xfId="0" applyFont="1" applyAlignment="1">
      <alignment vertical="center"/>
    </xf>
    <xf numFmtId="0" fontId="67" fillId="0" borderId="0" xfId="0" applyNumberFormat="1" applyFont="1" applyAlignment="1">
      <alignment vertical="center"/>
    </xf>
    <xf numFmtId="0" fontId="67" fillId="20" borderId="0" xfId="0" applyNumberFormat="1" applyFont="1" applyFill="1" applyAlignment="1">
      <alignment vertical="center"/>
    </xf>
    <xf numFmtId="173" fontId="68" fillId="0" borderId="0" xfId="0" applyFont="1" applyAlignment="1">
      <alignment horizontal="right" vertical="center"/>
    </xf>
    <xf numFmtId="173" fontId="67" fillId="0" borderId="0" xfId="0" applyFont="1" applyAlignment="1">
      <alignment horizontal="center" vertical="center"/>
    </xf>
    <xf numFmtId="173" fontId="68" fillId="0" borderId="0" xfId="0" applyFont="1" applyAlignment="1">
      <alignment horizontal="center" vertical="center"/>
    </xf>
    <xf numFmtId="173" fontId="69" fillId="0" borderId="0" xfId="0" applyFont="1" applyAlignment="1">
      <alignment horizontal="center" vertical="center"/>
    </xf>
    <xf numFmtId="173" fontId="71" fillId="0" borderId="0" xfId="0" applyFont="1" applyAlignment="1">
      <alignment horizontal="left" vertical="center"/>
    </xf>
    <xf numFmtId="0" fontId="68" fillId="0" borderId="0" xfId="0" applyNumberFormat="1" applyFont="1" applyAlignment="1">
      <alignment horizontal="center" vertical="center"/>
    </xf>
    <xf numFmtId="173" fontId="69" fillId="0" borderId="0" xfId="0" applyFont="1" applyAlignment="1">
      <alignment vertical="center"/>
    </xf>
    <xf numFmtId="49" fontId="67" fillId="0" borderId="0" xfId="0" applyNumberFormat="1" applyFont="1" applyAlignment="1">
      <alignment horizontal="center" vertical="center"/>
    </xf>
    <xf numFmtId="164" fontId="67" fillId="0" borderId="0" xfId="85" applyNumberFormat="1" applyFont="1" applyAlignment="1">
      <alignment horizontal="center" vertical="center"/>
    </xf>
    <xf numFmtId="173" fontId="72" fillId="21" borderId="15" xfId="0" applyFont="1" applyFill="1" applyBorder="1" applyAlignment="1">
      <alignment vertical="center"/>
    </xf>
    <xf numFmtId="173" fontId="73" fillId="21" borderId="2" xfId="0" applyFont="1" applyFill="1" applyBorder="1" applyAlignment="1">
      <alignment vertical="center"/>
    </xf>
    <xf numFmtId="173" fontId="73" fillId="21" borderId="2" xfId="0" applyFont="1" applyFill="1" applyBorder="1" applyAlignment="1">
      <alignment horizontal="center" vertical="center"/>
    </xf>
    <xf numFmtId="173" fontId="73" fillId="21" borderId="20" xfId="0" applyFont="1" applyFill="1" applyBorder="1" applyAlignment="1">
      <alignment vertical="center"/>
    </xf>
    <xf numFmtId="173" fontId="67" fillId="0" borderId="16" xfId="0" applyFont="1" applyBorder="1" applyAlignment="1">
      <alignment vertical="center"/>
    </xf>
    <xf numFmtId="173" fontId="67" fillId="0" borderId="17" xfId="0" applyFont="1" applyBorder="1" applyAlignment="1">
      <alignment vertical="center"/>
    </xf>
    <xf numFmtId="173" fontId="67" fillId="0" borderId="11" xfId="0" applyFont="1" applyBorder="1" applyAlignment="1">
      <alignment vertical="center"/>
    </xf>
    <xf numFmtId="174" fontId="46" fillId="20" borderId="0" xfId="63" applyNumberFormat="1" applyFont="1" applyFill="1" applyBorder="1" applyAlignment="1"/>
    <xf numFmtId="173" fontId="73" fillId="0" borderId="0" xfId="0" applyFont="1" applyAlignment="1">
      <alignment horizontal="center" vertical="center"/>
    </xf>
    <xf numFmtId="173" fontId="73" fillId="0" borderId="0" xfId="0" applyFont="1" applyAlignment="1">
      <alignment vertical="center"/>
    </xf>
    <xf numFmtId="173" fontId="46" fillId="0" borderId="0" xfId="0" applyFont="1" applyAlignment="1">
      <alignment horizontal="center" vertical="center"/>
    </xf>
    <xf numFmtId="176" fontId="68" fillId="20" borderId="0" xfId="59" applyNumberFormat="1" applyFont="1" applyFill="1" applyAlignment="1">
      <alignment horizontal="center" vertical="center"/>
    </xf>
    <xf numFmtId="176" fontId="68" fillId="0" borderId="0" xfId="59" applyNumberFormat="1" applyFont="1" applyAlignment="1">
      <alignment vertical="center"/>
    </xf>
    <xf numFmtId="176" fontId="68" fillId="0" borderId="0" xfId="59" applyNumberFormat="1" applyFont="1" applyAlignment="1">
      <alignment horizontal="center" vertical="center"/>
    </xf>
    <xf numFmtId="176" fontId="68" fillId="20" borderId="0" xfId="59" applyNumberFormat="1" applyFont="1" applyFill="1" applyBorder="1" applyAlignment="1">
      <alignment horizontal="center" vertical="center"/>
    </xf>
    <xf numFmtId="176" fontId="68" fillId="0" borderId="0" xfId="59" applyNumberFormat="1" applyFont="1" applyBorder="1" applyAlignment="1">
      <alignment horizontal="center" vertical="center"/>
    </xf>
    <xf numFmtId="176" fontId="68" fillId="0" borderId="11" xfId="59" applyNumberFormat="1" applyFont="1" applyBorder="1" applyAlignment="1">
      <alignment horizontal="center" vertical="center"/>
    </xf>
    <xf numFmtId="176" fontId="68" fillId="0" borderId="0" xfId="59" applyNumberFormat="1" applyFont="1" applyFill="1" applyAlignment="1">
      <alignment horizontal="center" vertical="center"/>
    </xf>
    <xf numFmtId="0" fontId="74" fillId="0" borderId="0" xfId="129" applyFont="1"/>
    <xf numFmtId="0" fontId="75" fillId="0" borderId="0" xfId="129" applyFont="1"/>
    <xf numFmtId="0" fontId="74" fillId="0" borderId="0" xfId="129" applyFont="1" applyAlignment="1">
      <alignment horizontal="left" vertical="center"/>
    </xf>
    <xf numFmtId="0" fontId="14" fillId="0" borderId="0" xfId="129" applyAlignment="1">
      <alignment vertical="center"/>
    </xf>
    <xf numFmtId="3" fontId="46" fillId="20" borderId="0" xfId="82" applyNumberFormat="1" applyFont="1" applyFill="1"/>
    <xf numFmtId="174" fontId="46" fillId="20" borderId="11" xfId="63" applyNumberFormat="1" applyFont="1" applyFill="1" applyBorder="1" applyAlignment="1"/>
    <xf numFmtId="0" fontId="41" fillId="0" borderId="0" xfId="129" applyFont="1"/>
    <xf numFmtId="0" fontId="13" fillId="0" borderId="0" xfId="129" applyFont="1" applyAlignment="1">
      <alignment vertical="center"/>
    </xf>
    <xf numFmtId="0" fontId="17" fillId="0" borderId="0" xfId="132"/>
    <xf numFmtId="0" fontId="78" fillId="0" borderId="0" xfId="132" applyFont="1"/>
    <xf numFmtId="0" fontId="24" fillId="0" borderId="0" xfId="132" applyFont="1"/>
    <xf numFmtId="0" fontId="24" fillId="0" borderId="0" xfId="132" applyFont="1" applyAlignment="1">
      <alignment horizontal="center"/>
    </xf>
    <xf numFmtId="3" fontId="24" fillId="0" borderId="0" xfId="132" applyNumberFormat="1" applyFont="1"/>
    <xf numFmtId="176" fontId="24" fillId="0" borderId="0" xfId="133" applyNumberFormat="1" applyFont="1" applyFill="1"/>
    <xf numFmtId="0" fontId="81" fillId="22" borderId="0" xfId="132" applyFont="1" applyFill="1"/>
    <xf numFmtId="0" fontId="24" fillId="22" borderId="0" xfId="132" applyFont="1" applyFill="1"/>
    <xf numFmtId="0" fontId="81" fillId="0" borderId="0" xfId="132" applyFont="1"/>
    <xf numFmtId="0" fontId="19" fillId="0" borderId="0" xfId="132" applyFont="1" applyAlignment="1">
      <alignment horizontal="center"/>
    </xf>
    <xf numFmtId="0" fontId="24" fillId="0" borderId="0" xfId="132" applyFont="1" applyAlignment="1">
      <alignment wrapText="1"/>
    </xf>
    <xf numFmtId="0" fontId="24" fillId="0" borderId="0" xfId="132" applyFont="1" applyAlignment="1">
      <alignment horizontal="left"/>
    </xf>
    <xf numFmtId="3" fontId="24" fillId="0" borderId="0" xfId="132" applyNumberFormat="1" applyFont="1" applyAlignment="1">
      <alignment horizontal="left"/>
    </xf>
    <xf numFmtId="3" fontId="19" fillId="0" borderId="0" xfId="132" applyNumberFormat="1" applyFont="1" applyAlignment="1">
      <alignment horizontal="left"/>
    </xf>
    <xf numFmtId="0" fontId="19" fillId="0" borderId="0" xfId="132" applyFont="1" applyAlignment="1">
      <alignment horizontal="left"/>
    </xf>
    <xf numFmtId="3" fontId="24" fillId="0" borderId="11" xfId="132" applyNumberFormat="1" applyFont="1" applyBorder="1"/>
    <xf numFmtId="3" fontId="24" fillId="0" borderId="11" xfId="132" applyNumberFormat="1" applyFont="1" applyBorder="1" applyAlignment="1">
      <alignment horizontal="left"/>
    </xf>
    <xf numFmtId="0" fontId="24" fillId="0" borderId="2" xfId="132" applyFont="1" applyBorder="1"/>
    <xf numFmtId="0" fontId="19" fillId="0" borderId="2" xfId="132" applyFont="1" applyBorder="1"/>
    <xf numFmtId="3" fontId="24" fillId="0" borderId="2" xfId="132" applyNumberFormat="1" applyFont="1" applyBorder="1"/>
    <xf numFmtId="3" fontId="24" fillId="0" borderId="0" xfId="132" applyNumberFormat="1" applyFont="1" applyAlignment="1">
      <alignment horizontal="center"/>
    </xf>
    <xf numFmtId="179" fontId="24" fillId="0" borderId="0" xfId="134" applyNumberFormat="1" applyFont="1" applyFill="1" applyBorder="1" applyAlignment="1"/>
    <xf numFmtId="169" fontId="24" fillId="0" borderId="0" xfId="132" applyNumberFormat="1" applyFont="1"/>
    <xf numFmtId="3" fontId="24" fillId="0" borderId="0" xfId="132" quotePrefix="1" applyNumberFormat="1" applyFont="1" applyAlignment="1">
      <alignment horizontal="right"/>
    </xf>
    <xf numFmtId="0" fontId="24" fillId="0" borderId="0" xfId="132" applyFont="1" applyAlignment="1">
      <alignment horizontal="right"/>
    </xf>
    <xf numFmtId="0" fontId="24" fillId="0" borderId="11" xfId="132" applyFont="1" applyBorder="1" applyAlignment="1">
      <alignment horizontal="left"/>
    </xf>
    <xf numFmtId="0" fontId="24" fillId="0" borderId="11" xfId="132" applyFont="1" applyBorder="1"/>
    <xf numFmtId="3" fontId="24" fillId="0" borderId="11" xfId="132" applyNumberFormat="1" applyFont="1" applyBorder="1" applyAlignment="1">
      <alignment horizontal="right"/>
    </xf>
    <xf numFmtId="169" fontId="24" fillId="0" borderId="11" xfId="132" applyNumberFormat="1" applyFont="1" applyBorder="1"/>
    <xf numFmtId="0" fontId="19" fillId="0" borderId="0" xfId="132" applyFont="1"/>
    <xf numFmtId="3" fontId="19" fillId="0" borderId="0" xfId="132" quotePrefix="1" applyNumberFormat="1" applyFont="1" applyAlignment="1">
      <alignment horizontal="right"/>
    </xf>
    <xf numFmtId="169" fontId="19" fillId="0" borderId="0" xfId="132" applyNumberFormat="1" applyFont="1"/>
    <xf numFmtId="0" fontId="19" fillId="0" borderId="24" xfId="132" applyFont="1" applyBorder="1"/>
    <xf numFmtId="0" fontId="24" fillId="0" borderId="24" xfId="132" applyFont="1" applyBorder="1"/>
    <xf numFmtId="3" fontId="19" fillId="0" borderId="24" xfId="132" applyNumberFormat="1" applyFont="1" applyBorder="1" applyAlignment="1">
      <alignment horizontal="left"/>
    </xf>
    <xf numFmtId="166" fontId="19" fillId="0" borderId="24" xfId="132" applyNumberFormat="1" applyFont="1" applyBorder="1" applyAlignment="1">
      <alignment horizontal="center"/>
    </xf>
    <xf numFmtId="3" fontId="19" fillId="0" borderId="24" xfId="132" applyNumberFormat="1" applyFont="1" applyBorder="1"/>
    <xf numFmtId="0" fontId="83" fillId="22" borderId="0" xfId="132" applyFont="1" applyFill="1" applyAlignment="1">
      <alignment horizontal="left"/>
    </xf>
    <xf numFmtId="0" fontId="83" fillId="22" borderId="0" xfId="132" applyFont="1" applyFill="1"/>
    <xf numFmtId="0" fontId="84" fillId="22" borderId="0" xfId="132" applyFont="1" applyFill="1" applyAlignment="1">
      <alignment horizontal="left"/>
    </xf>
    <xf numFmtId="0" fontId="84" fillId="22" borderId="0" xfId="132" applyFont="1" applyFill="1" applyAlignment="1">
      <alignment horizontal="center"/>
    </xf>
    <xf numFmtId="0" fontId="24" fillId="22" borderId="0" xfId="132" applyFont="1" applyFill="1" applyAlignment="1">
      <alignment horizontal="center" wrapText="1"/>
    </xf>
    <xf numFmtId="179" fontId="19" fillId="0" borderId="0" xfId="134" applyNumberFormat="1" applyFont="1" applyAlignment="1"/>
    <xf numFmtId="164" fontId="19" fillId="0" borderId="0" xfId="132" applyNumberFormat="1" applyFont="1" applyAlignment="1">
      <alignment horizontal="left"/>
    </xf>
    <xf numFmtId="166" fontId="24" fillId="0" borderId="0" xfId="132" applyNumberFormat="1" applyFont="1" applyAlignment="1">
      <alignment horizontal="center"/>
    </xf>
    <xf numFmtId="0" fontId="56" fillId="0" borderId="0" xfId="132" applyFont="1"/>
    <xf numFmtId="10" fontId="56" fillId="0" borderId="0" xfId="132" applyNumberFormat="1" applyFont="1"/>
    <xf numFmtId="173" fontId="24" fillId="0" borderId="0" xfId="132" applyNumberFormat="1" applyFont="1"/>
    <xf numFmtId="43" fontId="56" fillId="0" borderId="0" xfId="132" applyNumberFormat="1" applyFont="1"/>
    <xf numFmtId="164" fontId="24" fillId="0" borderId="0" xfId="132" applyNumberFormat="1" applyFont="1" applyAlignment="1">
      <alignment horizontal="left"/>
    </xf>
    <xf numFmtId="10" fontId="24" fillId="0" borderId="0" xfId="132" applyNumberFormat="1" applyFont="1"/>
    <xf numFmtId="164" fontId="24" fillId="0" borderId="0" xfId="132" applyNumberFormat="1" applyFont="1" applyAlignment="1">
      <alignment horizontal="center"/>
    </xf>
    <xf numFmtId="10" fontId="24" fillId="0" borderId="0" xfId="132" applyNumberFormat="1" applyFont="1" applyAlignment="1">
      <alignment horizontal="right"/>
    </xf>
    <xf numFmtId="10" fontId="80" fillId="0" borderId="0" xfId="132" applyNumberFormat="1" applyFont="1" applyAlignment="1">
      <alignment horizontal="right"/>
    </xf>
    <xf numFmtId="3" fontId="85" fillId="0" borderId="0" xfId="132" applyNumberFormat="1" applyFont="1" applyAlignment="1">
      <alignment horizontal="right"/>
    </xf>
    <xf numFmtId="3" fontId="86" fillId="0" borderId="0" xfId="132" applyNumberFormat="1" applyFont="1" applyAlignment="1">
      <alignment horizontal="right"/>
    </xf>
    <xf numFmtId="3" fontId="24" fillId="0" borderId="0" xfId="132" applyNumberFormat="1" applyFont="1" applyAlignment="1">
      <alignment horizontal="right"/>
    </xf>
    <xf numFmtId="166" fontId="24" fillId="0" borderId="0" xfId="132" applyNumberFormat="1" applyFont="1"/>
    <xf numFmtId="182" fontId="24" fillId="0" borderId="0" xfId="134" applyNumberFormat="1" applyFont="1" applyFill="1" applyAlignment="1">
      <alignment horizontal="right"/>
    </xf>
    <xf numFmtId="0" fontId="79" fillId="0" borderId="0" xfId="132" applyFont="1"/>
    <xf numFmtId="43" fontId="24" fillId="0" borderId="0" xfId="59" applyFont="1" applyFill="1" applyAlignment="1">
      <alignment horizontal="right"/>
    </xf>
    <xf numFmtId="10" fontId="56" fillId="0" borderId="0" xfId="85" applyNumberFormat="1" applyFont="1" applyFill="1"/>
    <xf numFmtId="164" fontId="19" fillId="0" borderId="18" xfId="132" applyNumberFormat="1" applyFont="1" applyBorder="1" applyAlignment="1">
      <alignment horizontal="left"/>
    </xf>
    <xf numFmtId="0" fontId="19" fillId="0" borderId="18" xfId="132" applyFont="1" applyBorder="1"/>
    <xf numFmtId="0" fontId="19" fillId="0" borderId="18" xfId="132" applyFont="1" applyBorder="1" applyAlignment="1">
      <alignment horizontal="center"/>
    </xf>
    <xf numFmtId="3" fontId="19" fillId="0" borderId="18" xfId="132" applyNumberFormat="1" applyFont="1" applyBorder="1"/>
    <xf numFmtId="166" fontId="19" fillId="0" borderId="18" xfId="132" applyNumberFormat="1" applyFont="1" applyBorder="1"/>
    <xf numFmtId="3" fontId="19" fillId="0" borderId="18" xfId="133" applyNumberFormat="1" applyFont="1" applyFill="1" applyBorder="1" applyAlignment="1">
      <alignment horizontal="right"/>
    </xf>
    <xf numFmtId="0" fontId="70" fillId="0" borderId="0" xfId="0" applyNumberFormat="1" applyFont="1" applyAlignment="1">
      <alignment horizontal="center" vertical="center"/>
    </xf>
    <xf numFmtId="0" fontId="17" fillId="0" borderId="0" xfId="80" applyFont="1"/>
    <xf numFmtId="0" fontId="87" fillId="0" borderId="0" xfId="80" applyFont="1" applyAlignment="1">
      <alignment horizontal="left"/>
    </xf>
    <xf numFmtId="0" fontId="17" fillId="0" borderId="0" xfId="80" applyFont="1" applyAlignment="1">
      <alignment horizontal="center"/>
    </xf>
    <xf numFmtId="0" fontId="87" fillId="0" borderId="0" xfId="80" applyFont="1"/>
    <xf numFmtId="3" fontId="24" fillId="0" borderId="0" xfId="80" applyNumberFormat="1" applyFont="1"/>
    <xf numFmtId="173" fontId="17" fillId="0" borderId="0" xfId="0" applyFont="1"/>
    <xf numFmtId="173" fontId="45" fillId="0" borderId="0" xfId="0" applyFont="1"/>
    <xf numFmtId="170" fontId="17" fillId="0" borderId="0" xfId="0" applyNumberFormat="1" applyFont="1"/>
    <xf numFmtId="43" fontId="17" fillId="0" borderId="0" xfId="59" applyFont="1" applyFill="1" applyBorder="1" applyAlignment="1"/>
    <xf numFmtId="176" fontId="17" fillId="0" borderId="0" xfId="59" applyNumberFormat="1" applyFont="1" applyFill="1" applyBorder="1" applyAlignment="1"/>
    <xf numFmtId="183" fontId="17" fillId="0" borderId="0" xfId="0" applyNumberFormat="1" applyFont="1" applyAlignment="1">
      <alignment horizontal="right"/>
    </xf>
    <xf numFmtId="43" fontId="88" fillId="0" borderId="0" xfId="59" applyFont="1" applyFill="1" applyBorder="1" applyAlignment="1">
      <alignment horizontal="right"/>
    </xf>
    <xf numFmtId="184" fontId="24" fillId="0" borderId="0" xfId="59" applyNumberFormat="1" applyFont="1" applyFill="1" applyAlignment="1">
      <alignment horizontal="right"/>
    </xf>
    <xf numFmtId="0" fontId="83" fillId="0" borderId="0" xfId="132" applyFont="1" applyAlignment="1">
      <alignment horizontal="left"/>
    </xf>
    <xf numFmtId="0" fontId="83" fillId="0" borderId="0" xfId="132" applyFont="1"/>
    <xf numFmtId="0" fontId="84" fillId="0" borderId="0" xfId="132" applyFont="1" applyAlignment="1">
      <alignment horizontal="left"/>
    </xf>
    <xf numFmtId="0" fontId="84" fillId="0" borderId="0" xfId="132" applyFont="1" applyAlignment="1">
      <alignment horizontal="center"/>
    </xf>
    <xf numFmtId="0" fontId="24" fillId="0" borderId="0" xfId="132" applyFont="1" applyAlignment="1">
      <alignment horizontal="center" wrapText="1"/>
    </xf>
    <xf numFmtId="164" fontId="24" fillId="0" borderId="0" xfId="0" applyNumberFormat="1" applyFont="1" applyAlignment="1">
      <alignment horizontal="left"/>
    </xf>
    <xf numFmtId="173" fontId="24" fillId="0" borderId="0" xfId="0" applyFont="1"/>
    <xf numFmtId="0" fontId="24" fillId="0" borderId="0" xfId="0" applyNumberFormat="1" applyFont="1"/>
    <xf numFmtId="43" fontId="24" fillId="0" borderId="0" xfId="132" applyNumberFormat="1" applyFont="1"/>
    <xf numFmtId="3" fontId="46" fillId="0" borderId="0" xfId="0" applyNumberFormat="1" applyFont="1" applyProtection="1">
      <protection locked="0"/>
    </xf>
    <xf numFmtId="0" fontId="46" fillId="0" borderId="0" xfId="0" applyNumberFormat="1" applyFont="1" applyProtection="1">
      <protection locked="0"/>
    </xf>
    <xf numFmtId="17" fontId="47" fillId="0" borderId="14" xfId="0" applyNumberFormat="1" applyFont="1" applyBorder="1" applyAlignment="1">
      <alignment horizontal="center" wrapText="1"/>
    </xf>
    <xf numFmtId="17" fontId="47" fillId="21" borderId="14" xfId="0" applyNumberFormat="1" applyFont="1" applyFill="1" applyBorder="1" applyAlignment="1">
      <alignment horizontal="center" wrapText="1"/>
    </xf>
    <xf numFmtId="17" fontId="47" fillId="0" borderId="0" xfId="0" applyNumberFormat="1" applyFont="1" applyAlignment="1">
      <alignment horizontal="center" wrapText="1"/>
    </xf>
    <xf numFmtId="0" fontId="47" fillId="0" borderId="23" xfId="0" applyNumberFormat="1" applyFont="1" applyBorder="1" applyAlignment="1">
      <alignment horizontal="center" wrapText="1"/>
    </xf>
    <xf numFmtId="173" fontId="0" fillId="21" borderId="0" xfId="0" applyFill="1"/>
    <xf numFmtId="173" fontId="0" fillId="0" borderId="21" xfId="0" applyBorder="1"/>
    <xf numFmtId="173" fontId="0" fillId="0" borderId="16" xfId="0" applyBorder="1"/>
    <xf numFmtId="173" fontId="0" fillId="0" borderId="17" xfId="0" applyBorder="1"/>
    <xf numFmtId="173" fontId="0" fillId="0" borderId="11" xfId="0" applyBorder="1"/>
    <xf numFmtId="173" fontId="0" fillId="0" borderId="22" xfId="0" applyBorder="1"/>
    <xf numFmtId="0" fontId="16" fillId="0" borderId="0" xfId="136" applyFont="1"/>
    <xf numFmtId="0" fontId="19" fillId="0" borderId="0" xfId="136" applyFont="1"/>
    <xf numFmtId="0" fontId="19" fillId="0" borderId="0" xfId="136" applyFont="1" applyAlignment="1">
      <alignment horizontal="left"/>
    </xf>
    <xf numFmtId="0" fontId="19" fillId="0" borderId="29" xfId="136" applyFont="1" applyBorder="1" applyAlignment="1">
      <alignment horizontal="left"/>
    </xf>
    <xf numFmtId="0" fontId="19" fillId="0" borderId="0" xfId="136" applyFont="1" applyAlignment="1">
      <alignment horizontal="center"/>
    </xf>
    <xf numFmtId="0" fontId="91" fillId="0" borderId="0" xfId="136" applyFont="1"/>
    <xf numFmtId="0" fontId="17" fillId="0" borderId="0" xfId="136" applyFont="1"/>
    <xf numFmtId="44" fontId="19" fillId="0" borderId="0" xfId="136" applyNumberFormat="1" applyFont="1"/>
    <xf numFmtId="0" fontId="91" fillId="0" borderId="29" xfId="136" applyFont="1" applyBorder="1"/>
    <xf numFmtId="0" fontId="12" fillId="0" borderId="0" xfId="147"/>
    <xf numFmtId="0" fontId="92" fillId="0" borderId="0" xfId="147" applyFont="1" applyAlignment="1">
      <alignment horizontal="center"/>
    </xf>
    <xf numFmtId="0" fontId="12" fillId="0" borderId="32" xfId="147" applyBorder="1"/>
    <xf numFmtId="0" fontId="12" fillId="0" borderId="33" xfId="147" applyBorder="1"/>
    <xf numFmtId="0" fontId="12" fillId="0" borderId="34" xfId="147" applyBorder="1"/>
    <xf numFmtId="37" fontId="12" fillId="0" borderId="0" xfId="147" applyNumberFormat="1"/>
    <xf numFmtId="37" fontId="92" fillId="0" borderId="0" xfId="147" applyNumberFormat="1" applyFont="1"/>
    <xf numFmtId="37" fontId="92" fillId="0" borderId="31" xfId="147" applyNumberFormat="1" applyFont="1" applyBorder="1"/>
    <xf numFmtId="37" fontId="12" fillId="0" borderId="30" xfId="147" applyNumberFormat="1" applyBorder="1"/>
    <xf numFmtId="0" fontId="92" fillId="0" borderId="0" xfId="147" applyFont="1" applyAlignment="1">
      <alignment wrapText="1"/>
    </xf>
    <xf numFmtId="37" fontId="12" fillId="0" borderId="31" xfId="147" applyNumberFormat="1" applyBorder="1"/>
    <xf numFmtId="176" fontId="92" fillId="0" borderId="0" xfId="148" applyNumberFormat="1" applyFont="1" applyFill="1"/>
    <xf numFmtId="173" fontId="46" fillId="0" borderId="16" xfId="0" quotePrefix="1" applyFont="1" applyBorder="1" applyAlignment="1">
      <alignment horizontal="center"/>
    </xf>
    <xf numFmtId="176" fontId="46" fillId="0" borderId="0" xfId="59" applyNumberFormat="1" applyFont="1" applyAlignment="1">
      <alignment horizontal="center" vertical="center"/>
    </xf>
    <xf numFmtId="170" fontId="17" fillId="0" borderId="0" xfId="0" applyNumberFormat="1" applyFont="1" applyAlignment="1">
      <alignment horizontal="right"/>
    </xf>
    <xf numFmtId="176" fontId="17" fillId="20" borderId="0" xfId="59" applyNumberFormat="1" applyFont="1" applyFill="1" applyAlignment="1">
      <alignment horizontal="right"/>
    </xf>
    <xf numFmtId="0" fontId="24" fillId="0" borderId="0" xfId="0" applyNumberFormat="1" applyFont="1" applyAlignment="1">
      <alignment horizontal="right"/>
    </xf>
    <xf numFmtId="173" fontId="19" fillId="0" borderId="0" xfId="0" applyFont="1"/>
    <xf numFmtId="0" fontId="24" fillId="0" borderId="0" xfId="0" applyNumberFormat="1" applyFont="1" applyAlignment="1" applyProtection="1">
      <alignment horizontal="center"/>
      <protection locked="0"/>
    </xf>
    <xf numFmtId="49" fontId="24" fillId="0" borderId="0" xfId="0" applyNumberFormat="1" applyFont="1"/>
    <xf numFmtId="173" fontId="24" fillId="0" borderId="16" xfId="0" applyFont="1" applyBorder="1"/>
    <xf numFmtId="3" fontId="24" fillId="0" borderId="0" xfId="0" applyNumberFormat="1" applyFont="1"/>
    <xf numFmtId="173" fontId="24" fillId="0" borderId="21" xfId="0" applyFont="1" applyBorder="1"/>
    <xf numFmtId="0" fontId="24" fillId="0" borderId="0" xfId="0" applyNumberFormat="1" applyFont="1" applyAlignment="1">
      <alignment horizontal="center"/>
    </xf>
    <xf numFmtId="49" fontId="24" fillId="0" borderId="0" xfId="0" applyNumberFormat="1" applyFont="1" applyAlignment="1">
      <alignment horizontal="center"/>
    </xf>
    <xf numFmtId="49" fontId="24" fillId="0" borderId="16" xfId="0" applyNumberFormat="1" applyFont="1" applyBorder="1" applyAlignment="1">
      <alignment horizontal="center"/>
    </xf>
    <xf numFmtId="49" fontId="24" fillId="0" borderId="21" xfId="0" applyNumberFormat="1" applyFont="1" applyBorder="1" applyAlignment="1">
      <alignment horizontal="center"/>
    </xf>
    <xf numFmtId="3" fontId="19" fillId="0" borderId="0" xfId="0" applyNumberFormat="1" applyFont="1" applyAlignment="1">
      <alignment horizontal="center"/>
    </xf>
    <xf numFmtId="173" fontId="19" fillId="0" borderId="0" xfId="0" applyFont="1" applyAlignment="1">
      <alignment horizontal="center"/>
    </xf>
    <xf numFmtId="0" fontId="19" fillId="0" borderId="0" xfId="0" applyNumberFormat="1" applyFont="1" applyAlignment="1" applyProtection="1">
      <alignment horizontal="center"/>
      <protection locked="0"/>
    </xf>
    <xf numFmtId="173" fontId="24" fillId="0" borderId="16" xfId="0" applyFont="1" applyBorder="1" applyAlignment="1">
      <alignment horizontal="center"/>
    </xf>
    <xf numFmtId="173" fontId="19" fillId="0" borderId="21" xfId="0" applyFont="1" applyBorder="1" applyAlignment="1">
      <alignment horizontal="center"/>
    </xf>
    <xf numFmtId="0" fontId="19" fillId="0" borderId="0" xfId="0" applyNumberFormat="1" applyFont="1"/>
    <xf numFmtId="0" fontId="91" fillId="0" borderId="0" xfId="0" applyNumberFormat="1" applyFont="1" applyAlignment="1" applyProtection="1">
      <alignment horizontal="center"/>
      <protection locked="0"/>
    </xf>
    <xf numFmtId="3" fontId="24" fillId="0" borderId="0" xfId="0" applyNumberFormat="1" applyFont="1" applyAlignment="1">
      <alignment horizontal="center"/>
    </xf>
    <xf numFmtId="174" fontId="24" fillId="0" borderId="0" xfId="63" applyNumberFormat="1" applyFont="1" applyFill="1" applyBorder="1" applyAlignment="1"/>
    <xf numFmtId="177" fontId="24" fillId="0" borderId="0" xfId="0" applyNumberFormat="1" applyFont="1"/>
    <xf numFmtId="177" fontId="24" fillId="0" borderId="0" xfId="85" applyNumberFormat="1" applyFont="1" applyFill="1" applyBorder="1" applyAlignment="1"/>
    <xf numFmtId="173" fontId="24" fillId="0" borderId="0" xfId="0" applyFont="1" applyAlignment="1">
      <alignment horizontal="center"/>
    </xf>
    <xf numFmtId="49" fontId="19" fillId="0" borderId="0" xfId="0" applyNumberFormat="1" applyFont="1" applyAlignment="1">
      <alignment horizontal="center"/>
    </xf>
    <xf numFmtId="3" fontId="19" fillId="0" borderId="0" xfId="0" applyNumberFormat="1" applyFont="1"/>
    <xf numFmtId="177" fontId="19" fillId="0" borderId="0" xfId="85" applyNumberFormat="1" applyFont="1" applyFill="1" applyBorder="1" applyAlignment="1"/>
    <xf numFmtId="177" fontId="24" fillId="0" borderId="21" xfId="0" applyNumberFormat="1" applyFont="1" applyBorder="1"/>
    <xf numFmtId="177" fontId="24" fillId="0" borderId="21" xfId="85" applyNumberFormat="1" applyFont="1" applyFill="1" applyBorder="1" applyAlignment="1"/>
    <xf numFmtId="164" fontId="24" fillId="0" borderId="0" xfId="0" applyNumberFormat="1" applyFont="1" applyAlignment="1">
      <alignment horizontal="center"/>
    </xf>
    <xf numFmtId="49" fontId="19" fillId="0" borderId="16" xfId="0" applyNumberFormat="1" applyFont="1" applyBorder="1" applyAlignment="1">
      <alignment horizontal="center"/>
    </xf>
    <xf numFmtId="177" fontId="19" fillId="0" borderId="21" xfId="85" applyNumberFormat="1" applyFont="1" applyFill="1" applyBorder="1" applyAlignment="1"/>
    <xf numFmtId="49" fontId="19" fillId="0" borderId="17" xfId="0" applyNumberFormat="1" applyFont="1" applyBorder="1" applyAlignment="1">
      <alignment horizontal="center"/>
    </xf>
    <xf numFmtId="173" fontId="19" fillId="0" borderId="11" xfId="0" applyFont="1" applyBorder="1"/>
    <xf numFmtId="173" fontId="24" fillId="0" borderId="11" xfId="0" applyFont="1" applyBorder="1"/>
    <xf numFmtId="3" fontId="19" fillId="0" borderId="11" xfId="0" applyNumberFormat="1" applyFont="1" applyBorder="1" applyAlignment="1">
      <alignment horizontal="center"/>
    </xf>
    <xf numFmtId="173" fontId="24" fillId="0" borderId="0" xfId="0" applyFont="1" applyAlignment="1">
      <alignment horizontal="right"/>
    </xf>
    <xf numFmtId="175" fontId="19" fillId="0" borderId="0" xfId="0" applyNumberFormat="1" applyFont="1" applyAlignment="1">
      <alignment horizontal="center"/>
    </xf>
    <xf numFmtId="173" fontId="19" fillId="0" borderId="13" xfId="0" applyFont="1" applyBorder="1" applyAlignment="1">
      <alignment horizontal="center" wrapText="1"/>
    </xf>
    <xf numFmtId="173" fontId="19" fillId="0" borderId="14" xfId="0" applyFont="1" applyBorder="1"/>
    <xf numFmtId="173" fontId="19" fillId="0" borderId="14" xfId="0" applyFont="1" applyBorder="1" applyAlignment="1">
      <alignment horizontal="center"/>
    </xf>
    <xf numFmtId="173" fontId="19" fillId="0" borderId="14" xfId="0" applyFont="1" applyBorder="1" applyAlignment="1">
      <alignment horizontal="center" wrapText="1"/>
    </xf>
    <xf numFmtId="0" fontId="19" fillId="0" borderId="14" xfId="0" applyNumberFormat="1" applyFont="1" applyBorder="1" applyAlignment="1">
      <alignment horizontal="center" wrapText="1"/>
    </xf>
    <xf numFmtId="173" fontId="19" fillId="0" borderId="12" xfId="0" applyFont="1" applyBorder="1" applyAlignment="1">
      <alignment horizontal="center" wrapText="1"/>
    </xf>
    <xf numFmtId="3" fontId="19" fillId="0" borderId="12" xfId="0" applyNumberFormat="1" applyFont="1" applyBorder="1" applyAlignment="1">
      <alignment horizontal="center" wrapText="1"/>
    </xf>
    <xf numFmtId="0" fontId="24" fillId="0" borderId="13" xfId="0" applyNumberFormat="1" applyFont="1" applyBorder="1"/>
    <xf numFmtId="0" fontId="24" fillId="0" borderId="14" xfId="0" applyNumberFormat="1" applyFont="1" applyBorder="1"/>
    <xf numFmtId="0" fontId="24" fillId="0" borderId="14" xfId="0" applyNumberFormat="1" applyFont="1" applyBorder="1" applyAlignment="1">
      <alignment horizontal="center"/>
    </xf>
    <xf numFmtId="0" fontId="24" fillId="0" borderId="12" xfId="0" applyNumberFormat="1" applyFont="1" applyBorder="1" applyAlignment="1">
      <alignment horizontal="center"/>
    </xf>
    <xf numFmtId="0" fontId="24" fillId="0" borderId="12" xfId="0" applyNumberFormat="1" applyFont="1" applyBorder="1" applyAlignment="1">
      <alignment horizontal="center" wrapText="1"/>
    </xf>
    <xf numFmtId="0" fontId="24" fillId="0" borderId="16" xfId="0" applyNumberFormat="1" applyFont="1" applyBorder="1" applyAlignment="1">
      <alignment horizontal="center" wrapText="1"/>
    </xf>
    <xf numFmtId="0" fontId="24" fillId="0" borderId="10" xfId="0" applyNumberFormat="1" applyFont="1" applyBorder="1"/>
    <xf numFmtId="1" fontId="24" fillId="0" borderId="0" xfId="0" applyNumberFormat="1" applyFont="1" applyAlignment="1">
      <alignment horizontal="center"/>
    </xf>
    <xf numFmtId="170" fontId="24" fillId="0" borderId="10" xfId="0" applyNumberFormat="1" applyFont="1" applyBorder="1"/>
    <xf numFmtId="174" fontId="24" fillId="20" borderId="0" xfId="63" applyNumberFormat="1" applyFont="1" applyFill="1" applyBorder="1" applyAlignment="1"/>
    <xf numFmtId="170" fontId="24" fillId="0" borderId="10" xfId="59" applyNumberFormat="1" applyFont="1" applyFill="1" applyBorder="1" applyAlignment="1"/>
    <xf numFmtId="43" fontId="24" fillId="20" borderId="10" xfId="59" applyFont="1" applyFill="1" applyBorder="1" applyAlignment="1"/>
    <xf numFmtId="173" fontId="17" fillId="0" borderId="10" xfId="0" applyFont="1" applyBorder="1"/>
    <xf numFmtId="173" fontId="24" fillId="0" borderId="17" xfId="0" applyFont="1" applyBorder="1"/>
    <xf numFmtId="173" fontId="17" fillId="0" borderId="11" xfId="0" applyFont="1" applyBorder="1"/>
    <xf numFmtId="173" fontId="17" fillId="0" borderId="19" xfId="0" applyFont="1" applyBorder="1"/>
    <xf numFmtId="43" fontId="24" fillId="0" borderId="0" xfId="59" applyFont="1" applyFill="1" applyBorder="1" applyAlignment="1"/>
    <xf numFmtId="173" fontId="24" fillId="0" borderId="0" xfId="0" quotePrefix="1" applyFont="1" applyAlignment="1">
      <alignment horizontal="center"/>
    </xf>
    <xf numFmtId="173" fontId="89" fillId="0" borderId="0" xfId="0" applyFont="1"/>
    <xf numFmtId="173" fontId="24" fillId="0" borderId="0" xfId="0" applyFont="1" applyAlignment="1">
      <alignment horizontal="center" vertical="top"/>
    </xf>
    <xf numFmtId="173" fontId="17" fillId="0" borderId="0" xfId="0" applyFont="1" applyAlignment="1">
      <alignment horizontal="center"/>
    </xf>
    <xf numFmtId="10" fontId="24" fillId="0" borderId="0" xfId="0" applyNumberFormat="1" applyFont="1"/>
    <xf numFmtId="173" fontId="19" fillId="0" borderId="14" xfId="0" applyFont="1" applyBorder="1" applyAlignment="1">
      <alignment wrapText="1"/>
    </xf>
    <xf numFmtId="3" fontId="19" fillId="0" borderId="23" xfId="0" applyNumberFormat="1" applyFont="1" applyBorder="1" applyAlignment="1">
      <alignment horizontal="center" wrapText="1"/>
    </xf>
    <xf numFmtId="173" fontId="24" fillId="0" borderId="0" xfId="0" applyFont="1" applyAlignment="1">
      <alignment wrapText="1"/>
    </xf>
    <xf numFmtId="0" fontId="24" fillId="0" borderId="14" xfId="0" applyNumberFormat="1" applyFont="1" applyBorder="1" applyAlignment="1">
      <alignment horizontal="center" wrapText="1"/>
    </xf>
    <xf numFmtId="0" fontId="24" fillId="0" borderId="23" xfId="0" applyNumberFormat="1" applyFont="1" applyBorder="1" applyAlignment="1">
      <alignment horizontal="center"/>
    </xf>
    <xf numFmtId="0" fontId="24" fillId="0" borderId="16" xfId="0" applyNumberFormat="1" applyFont="1" applyBorder="1" applyAlignment="1">
      <alignment horizontal="center"/>
    </xf>
    <xf numFmtId="0" fontId="24" fillId="0" borderId="2" xfId="0" applyNumberFormat="1" applyFont="1" applyBorder="1"/>
    <xf numFmtId="0" fontId="24" fillId="0" borderId="29" xfId="0" applyNumberFormat="1" applyFont="1" applyBorder="1"/>
    <xf numFmtId="0" fontId="24" fillId="0" borderId="20" xfId="0" applyNumberFormat="1" applyFont="1" applyBorder="1"/>
    <xf numFmtId="0" fontId="24" fillId="0" borderId="16" xfId="0" applyNumberFormat="1" applyFont="1" applyBorder="1"/>
    <xf numFmtId="0" fontId="24" fillId="0" borderId="21" xfId="0" applyNumberFormat="1" applyFont="1" applyBorder="1"/>
    <xf numFmtId="43" fontId="24" fillId="0" borderId="0" xfId="85" applyNumberFormat="1" applyFont="1" applyFill="1" applyBorder="1" applyAlignment="1"/>
    <xf numFmtId="43" fontId="24" fillId="0" borderId="21" xfId="59" applyFont="1" applyFill="1" applyBorder="1" applyAlignment="1"/>
    <xf numFmtId="43" fontId="17" fillId="0" borderId="21" xfId="59" applyFont="1" applyFill="1" applyBorder="1" applyAlignment="1"/>
    <xf numFmtId="43" fontId="17" fillId="0" borderId="11" xfId="59" applyFont="1" applyFill="1" applyBorder="1" applyAlignment="1"/>
    <xf numFmtId="43" fontId="17" fillId="0" borderId="22" xfId="59" applyFont="1" applyFill="1" applyBorder="1" applyAlignment="1"/>
    <xf numFmtId="173" fontId="93" fillId="0" borderId="0" xfId="0" applyFont="1"/>
    <xf numFmtId="43" fontId="24" fillId="0" borderId="0" xfId="59" applyFont="1" applyFill="1" applyBorder="1" applyAlignment="1">
      <alignment horizontal="center"/>
    </xf>
    <xf numFmtId="176" fontId="24" fillId="0" borderId="0" xfId="59" applyNumberFormat="1" applyFont="1" applyFill="1" applyBorder="1" applyAlignment="1"/>
    <xf numFmtId="173" fontId="24" fillId="0" borderId="0" xfId="0" applyFont="1" applyAlignment="1">
      <alignment horizontal="left" indent="1"/>
    </xf>
    <xf numFmtId="49" fontId="24" fillId="0" borderId="0" xfId="0" applyNumberFormat="1" applyFont="1" applyAlignment="1">
      <alignment horizontal="left"/>
    </xf>
    <xf numFmtId="0" fontId="0" fillId="0" borderId="0" xfId="0" applyNumberFormat="1" applyAlignment="1">
      <alignment horizontal="left"/>
    </xf>
    <xf numFmtId="10" fontId="74" fillId="0" borderId="0" xfId="85" applyNumberFormat="1" applyFont="1"/>
    <xf numFmtId="0" fontId="17" fillId="0" borderId="0" xfId="0" applyNumberFormat="1" applyFont="1" applyAlignment="1">
      <alignment horizontal="left"/>
    </xf>
    <xf numFmtId="3" fontId="67" fillId="0" borderId="0" xfId="0" applyNumberFormat="1" applyFont="1" applyAlignment="1">
      <alignment horizontal="center" vertical="center"/>
    </xf>
    <xf numFmtId="3" fontId="67" fillId="0" borderId="0" xfId="0" applyNumberFormat="1" applyFont="1" applyAlignment="1">
      <alignment vertical="center"/>
    </xf>
    <xf numFmtId="37" fontId="12" fillId="0" borderId="6" xfId="147" applyNumberFormat="1" applyBorder="1"/>
    <xf numFmtId="173" fontId="67" fillId="21" borderId="0" xfId="0" applyFont="1" applyFill="1" applyAlignment="1">
      <alignment vertical="center"/>
    </xf>
    <xf numFmtId="176" fontId="12" fillId="0" borderId="0" xfId="147" applyNumberFormat="1"/>
    <xf numFmtId="0" fontId="74" fillId="0" borderId="0" xfId="129" applyFont="1" applyAlignment="1">
      <alignment horizontal="left"/>
    </xf>
    <xf numFmtId="9" fontId="74" fillId="0" borderId="0" xfId="85" applyFont="1"/>
    <xf numFmtId="1" fontId="24" fillId="0" borderId="0" xfId="133" applyNumberFormat="1" applyFont="1" applyFill="1" applyBorder="1" applyAlignment="1"/>
    <xf numFmtId="173" fontId="67" fillId="20" borderId="0" xfId="0" applyFont="1" applyFill="1" applyAlignment="1">
      <alignment vertical="center"/>
    </xf>
    <xf numFmtId="173" fontId="24" fillId="20" borderId="16" xfId="0" applyFont="1" applyFill="1" applyBorder="1" applyAlignment="1">
      <alignment horizontal="center"/>
    </xf>
    <xf numFmtId="173" fontId="0" fillId="20" borderId="0" xfId="0" applyFill="1" applyAlignment="1">
      <alignment horizontal="left"/>
    </xf>
    <xf numFmtId="173" fontId="24" fillId="20" borderId="10" xfId="0" applyFont="1" applyFill="1" applyBorder="1"/>
    <xf numFmtId="173" fontId="46" fillId="0" borderId="0" xfId="0" applyFont="1" applyAlignment="1">
      <alignment horizontal="left"/>
    </xf>
    <xf numFmtId="173" fontId="24" fillId="20" borderId="0" xfId="0" applyFont="1" applyFill="1" applyAlignment="1">
      <alignment horizontal="left" wrapText="1"/>
    </xf>
    <xf numFmtId="173" fontId="46" fillId="0" borderId="0" xfId="0" applyFont="1" applyAlignment="1">
      <alignment horizontal="left" wrapText="1"/>
    </xf>
    <xf numFmtId="176" fontId="70" fillId="0" borderId="0" xfId="59" applyNumberFormat="1" applyFont="1" applyFill="1" applyAlignment="1">
      <alignment horizontal="center" vertical="center"/>
    </xf>
    <xf numFmtId="173" fontId="70" fillId="0" borderId="0" xfId="0" applyFont="1" applyAlignment="1">
      <alignment horizontal="right" vertical="center"/>
    </xf>
    <xf numFmtId="169" fontId="24" fillId="20" borderId="0" xfId="133" applyNumberFormat="1" applyFont="1" applyFill="1" applyBorder="1" applyAlignment="1"/>
    <xf numFmtId="176" fontId="68" fillId="0" borderId="0" xfId="59" applyNumberFormat="1" applyFont="1" applyFill="1" applyAlignment="1">
      <alignment vertical="center"/>
    </xf>
    <xf numFmtId="182" fontId="19" fillId="0" borderId="22" xfId="85" applyNumberFormat="1" applyFont="1" applyFill="1" applyBorder="1" applyAlignment="1"/>
    <xf numFmtId="173" fontId="24" fillId="20" borderId="0" xfId="0" applyFont="1" applyFill="1" applyAlignment="1">
      <alignment horizontal="left"/>
    </xf>
    <xf numFmtId="0" fontId="76" fillId="0" borderId="0" xfId="129" applyFont="1"/>
    <xf numFmtId="10" fontId="74" fillId="0" borderId="0" xfId="85" applyNumberFormat="1" applyFont="1" applyAlignment="1">
      <alignment horizontal="center"/>
    </xf>
    <xf numFmtId="0" fontId="95" fillId="0" borderId="0" xfId="129" applyFont="1" applyAlignment="1">
      <alignment horizontal="center"/>
    </xf>
    <xf numFmtId="37" fontId="92" fillId="0" borderId="36" xfId="147" applyNumberFormat="1" applyFont="1" applyBorder="1"/>
    <xf numFmtId="37" fontId="12" fillId="0" borderId="37" xfId="147" applyNumberFormat="1" applyBorder="1"/>
    <xf numFmtId="0" fontId="74" fillId="0" borderId="0" xfId="129" applyFont="1" applyAlignment="1">
      <alignment vertical="top"/>
    </xf>
    <xf numFmtId="0" fontId="74" fillId="0" borderId="0" xfId="129" applyFont="1" applyAlignment="1">
      <alignment horizontal="left" vertical="top"/>
    </xf>
    <xf numFmtId="10" fontId="74" fillId="0" borderId="0" xfId="85" applyNumberFormat="1" applyFont="1" applyFill="1" applyAlignment="1">
      <alignment horizontal="center"/>
    </xf>
    <xf numFmtId="10" fontId="74" fillId="0" borderId="0" xfId="85" applyNumberFormat="1" applyFont="1" applyFill="1" applyAlignment="1">
      <alignment horizontal="center" vertical="top"/>
    </xf>
    <xf numFmtId="0" fontId="24" fillId="0" borderId="0" xfId="136" applyFont="1"/>
    <xf numFmtId="0" fontId="24" fillId="0" borderId="15" xfId="136" applyFont="1" applyBorder="1"/>
    <xf numFmtId="0" fontId="19" fillId="0" borderId="20" xfId="136" applyFont="1" applyBorder="1" applyAlignment="1">
      <alignment horizontal="left"/>
    </xf>
    <xf numFmtId="0" fontId="24" fillId="0" borderId="16" xfId="136" applyFont="1" applyBorder="1"/>
    <xf numFmtId="0" fontId="80" fillId="0" borderId="0" xfId="136" applyFont="1" applyAlignment="1">
      <alignment horizontal="left"/>
    </xf>
    <xf numFmtId="0" fontId="19" fillId="0" borderId="21" xfId="136" applyFont="1" applyBorder="1" applyAlignment="1">
      <alignment horizontal="left"/>
    </xf>
    <xf numFmtId="0" fontId="19" fillId="0" borderId="26" xfId="136" applyFont="1" applyBorder="1"/>
    <xf numFmtId="14" fontId="19" fillId="0" borderId="28" xfId="136" applyNumberFormat="1" applyFont="1" applyBorder="1"/>
    <xf numFmtId="0" fontId="24" fillId="0" borderId="0" xfId="136" applyFont="1" applyAlignment="1">
      <alignment horizontal="left"/>
    </xf>
    <xf numFmtId="0" fontId="19" fillId="0" borderId="16" xfId="136" applyFont="1" applyBorder="1" applyAlignment="1">
      <alignment horizontal="center"/>
    </xf>
    <xf numFmtId="0" fontId="19" fillId="0" borderId="0" xfId="136" quotePrefix="1" applyFont="1" applyAlignment="1">
      <alignment horizontal="center"/>
    </xf>
    <xf numFmtId="0" fontId="19" fillId="0" borderId="21" xfId="136" applyFont="1" applyBorder="1" applyAlignment="1">
      <alignment horizontal="center"/>
    </xf>
    <xf numFmtId="0" fontId="24" fillId="0" borderId="0" xfId="136" applyFont="1" applyAlignment="1">
      <alignment horizontal="center"/>
    </xf>
    <xf numFmtId="0" fontId="93" fillId="0" borderId="0" xfId="136" applyFont="1"/>
    <xf numFmtId="0" fontId="24" fillId="0" borderId="21" xfId="136" applyFont="1" applyBorder="1"/>
    <xf numFmtId="174" fontId="24" fillId="0" borderId="0" xfId="136" applyNumberFormat="1" applyFont="1"/>
    <xf numFmtId="10" fontId="91" fillId="0" borderId="0" xfId="136" applyNumberFormat="1" applyFont="1" applyAlignment="1">
      <alignment horizontal="left"/>
    </xf>
    <xf numFmtId="10" fontId="23" fillId="0" borderId="0" xfId="136" applyNumberFormat="1" applyFont="1" applyAlignment="1">
      <alignment horizontal="left"/>
    </xf>
    <xf numFmtId="0" fontId="89" fillId="0" borderId="0" xfId="136" applyFont="1" applyAlignment="1">
      <alignment horizontal="center"/>
    </xf>
    <xf numFmtId="17" fontId="24" fillId="0" borderId="0" xfId="136" applyNumberFormat="1" applyFont="1" applyAlignment="1">
      <alignment horizontal="left"/>
    </xf>
    <xf numFmtId="41" fontId="24" fillId="0" borderId="0" xfId="136" applyNumberFormat="1" applyFont="1"/>
    <xf numFmtId="14" fontId="19" fillId="0" borderId="0" xfId="136" applyNumberFormat="1" applyFont="1" applyAlignment="1">
      <alignment horizontal="left"/>
    </xf>
    <xf numFmtId="0" fontId="89" fillId="0" borderId="0" xfId="136" applyFont="1"/>
    <xf numFmtId="6" fontId="24" fillId="0" borderId="0" xfId="136" applyNumberFormat="1" applyFont="1" applyAlignment="1">
      <alignment horizontal="center"/>
    </xf>
    <xf numFmtId="0" fontId="24" fillId="0" borderId="16" xfId="136" quotePrefix="1" applyFont="1" applyBorder="1"/>
    <xf numFmtId="174" fontId="24" fillId="0" borderId="0" xfId="137" applyNumberFormat="1" applyFont="1" applyBorder="1" applyAlignment="1">
      <alignment horizontal="center"/>
    </xf>
    <xf numFmtId="174" fontId="24" fillId="20" borderId="0" xfId="137" applyNumberFormat="1" applyFont="1" applyFill="1" applyBorder="1" applyAlignment="1">
      <alignment horizontal="center"/>
    </xf>
    <xf numFmtId="44" fontId="24" fillId="0" borderId="0" xfId="137" applyFont="1" applyFill="1" applyBorder="1" applyAlignment="1">
      <alignment horizontal="center"/>
    </xf>
    <xf numFmtId="10" fontId="24" fillId="0" borderId="0" xfId="136" applyNumberFormat="1" applyFont="1"/>
    <xf numFmtId="44" fontId="24" fillId="0" borderId="0" xfId="136" applyNumberFormat="1" applyFont="1"/>
    <xf numFmtId="0" fontId="96" fillId="0" borderId="0" xfId="136" applyFont="1"/>
    <xf numFmtId="176" fontId="96" fillId="0" borderId="0" xfId="138" applyNumberFormat="1" applyFont="1" applyFill="1" applyBorder="1"/>
    <xf numFmtId="176" fontId="96" fillId="0" borderId="0" xfId="136" applyNumberFormat="1" applyFont="1"/>
    <xf numFmtId="164" fontId="89" fillId="0" borderId="0" xfId="136" applyNumberFormat="1" applyFont="1"/>
    <xf numFmtId="176" fontId="24" fillId="0" borderId="0" xfId="138" applyNumberFormat="1" applyFont="1" applyFill="1" applyBorder="1"/>
    <xf numFmtId="174" fontId="24" fillId="0" borderId="0" xfId="137" applyNumberFormat="1" applyFont="1" applyFill="1" applyBorder="1"/>
    <xf numFmtId="176" fontId="24" fillId="0" borderId="0" xfId="136" applyNumberFormat="1" applyFont="1"/>
    <xf numFmtId="174" fontId="24" fillId="20" borderId="11" xfId="137" applyNumberFormat="1" applyFont="1" applyFill="1" applyBorder="1"/>
    <xf numFmtId="44" fontId="97" fillId="0" borderId="0" xfId="137" applyFont="1" applyFill="1" applyBorder="1" applyAlignment="1">
      <alignment horizontal="center"/>
    </xf>
    <xf numFmtId="10" fontId="89" fillId="0" borderId="0" xfId="136" applyNumberFormat="1" applyFont="1"/>
    <xf numFmtId="174" fontId="24" fillId="0" borderId="0" xfId="137" applyNumberFormat="1" applyFont="1" applyBorder="1"/>
    <xf numFmtId="164" fontId="24" fillId="0" borderId="0" xfId="136" applyNumberFormat="1" applyFont="1"/>
    <xf numFmtId="44" fontId="93" fillId="0" borderId="0" xfId="136" applyNumberFormat="1" applyFont="1"/>
    <xf numFmtId="44" fontId="24" fillId="0" borderId="21" xfId="136" applyNumberFormat="1" applyFont="1" applyBorder="1"/>
    <xf numFmtId="0" fontId="24" fillId="0" borderId="17" xfId="136" applyFont="1" applyBorder="1"/>
    <xf numFmtId="44" fontId="24" fillId="0" borderId="11" xfId="136" applyNumberFormat="1" applyFont="1" applyBorder="1"/>
    <xf numFmtId="44" fontId="24" fillId="0" borderId="22" xfId="136" applyNumberFormat="1" applyFont="1" applyBorder="1"/>
    <xf numFmtId="0" fontId="24" fillId="0" borderId="11" xfId="136" applyFont="1" applyBorder="1"/>
    <xf numFmtId="44" fontId="24" fillId="0" borderId="29" xfId="136" applyNumberFormat="1" applyFont="1" applyBorder="1"/>
    <xf numFmtId="44" fontId="24" fillId="0" borderId="20" xfId="136" applyNumberFormat="1" applyFont="1" applyBorder="1"/>
    <xf numFmtId="0" fontId="24" fillId="0" borderId="20" xfId="136" applyFont="1" applyBorder="1"/>
    <xf numFmtId="42" fontId="19" fillId="0" borderId="0" xfId="136" applyNumberFormat="1" applyFont="1" applyAlignment="1">
      <alignment horizontal="center"/>
    </xf>
    <xf numFmtId="0" fontId="24" fillId="0" borderId="21" xfId="136" applyFont="1" applyBorder="1" applyAlignment="1">
      <alignment horizontal="center"/>
    </xf>
    <xf numFmtId="0" fontId="89" fillId="0" borderId="21" xfId="136" applyFont="1" applyBorder="1" applyAlignment="1">
      <alignment horizontal="center"/>
    </xf>
    <xf numFmtId="0" fontId="24" fillId="0" borderId="16" xfId="136" quotePrefix="1" applyFont="1" applyBorder="1" applyAlignment="1">
      <alignment horizontal="center"/>
    </xf>
    <xf numFmtId="42" fontId="24" fillId="0" borderId="0" xfId="136" applyNumberFormat="1" applyFont="1"/>
    <xf numFmtId="42" fontId="24" fillId="0" borderId="21" xfId="138" applyNumberFormat="1" applyFont="1" applyBorder="1"/>
    <xf numFmtId="169" fontId="24" fillId="0" borderId="0" xfId="136" applyNumberFormat="1" applyFont="1"/>
    <xf numFmtId="10" fontId="24" fillId="0" borderId="21" xfId="138" applyNumberFormat="1" applyFont="1" applyBorder="1" applyAlignment="1">
      <alignment horizontal="center"/>
    </xf>
    <xf numFmtId="185" fontId="24" fillId="0" borderId="0" xfId="136" applyNumberFormat="1" applyFont="1"/>
    <xf numFmtId="166" fontId="24" fillId="0" borderId="0" xfId="136" applyNumberFormat="1" applyFont="1"/>
    <xf numFmtId="176" fontId="24" fillId="0" borderId="0" xfId="138" applyNumberFormat="1" applyFont="1" applyBorder="1"/>
    <xf numFmtId="174" fontId="24" fillId="20" borderId="11" xfId="137" applyNumberFormat="1" applyFont="1" applyFill="1" applyBorder="1" applyAlignment="1">
      <alignment horizontal="center"/>
    </xf>
    <xf numFmtId="164" fontId="24" fillId="0" borderId="0" xfId="136" applyNumberFormat="1" applyFont="1" applyAlignment="1">
      <alignment horizontal="right"/>
    </xf>
    <xf numFmtId="0" fontId="24" fillId="0" borderId="0" xfId="136" quotePrefix="1" applyFont="1" applyAlignment="1">
      <alignment horizontal="center"/>
    </xf>
    <xf numFmtId="14" fontId="24" fillId="0" borderId="0" xfId="136" quotePrefix="1" applyNumberFormat="1" applyFont="1" applyAlignment="1">
      <alignment horizontal="center"/>
    </xf>
    <xf numFmtId="42" fontId="24" fillId="0" borderId="0" xfId="138" applyNumberFormat="1" applyFont="1" applyBorder="1"/>
    <xf numFmtId="42" fontId="24" fillId="0" borderId="21" xfId="136" applyNumberFormat="1" applyFont="1" applyBorder="1"/>
    <xf numFmtId="169" fontId="24" fillId="0" borderId="21" xfId="136" applyNumberFormat="1" applyFont="1" applyBorder="1"/>
    <xf numFmtId="43" fontId="24" fillId="0" borderId="11" xfId="138" applyFont="1" applyBorder="1"/>
    <xf numFmtId="0" fontId="24" fillId="0" borderId="22" xfId="136" applyFont="1" applyBorder="1"/>
    <xf numFmtId="185" fontId="24" fillId="0" borderId="22" xfId="136" applyNumberFormat="1" applyFont="1" applyBorder="1"/>
    <xf numFmtId="43" fontId="24" fillId="0" borderId="0" xfId="138" applyFont="1"/>
    <xf numFmtId="0" fontId="98" fillId="0" borderId="0" xfId="136" applyFont="1"/>
    <xf numFmtId="43" fontId="24" fillId="0" borderId="0" xfId="136" applyNumberFormat="1" applyFont="1"/>
    <xf numFmtId="10" fontId="24" fillId="0" borderId="0" xfId="140" applyNumberFormat="1" applyFont="1" applyBorder="1"/>
    <xf numFmtId="174" fontId="24" fillId="0" borderId="0" xfId="141" applyNumberFormat="1" applyFont="1" applyBorder="1"/>
    <xf numFmtId="0" fontId="24" fillId="0" borderId="0" xfId="136" applyFont="1" applyAlignment="1">
      <alignment horizontal="right"/>
    </xf>
    <xf numFmtId="0" fontId="91" fillId="0" borderId="0" xfId="136" applyFont="1" applyAlignment="1">
      <alignment horizontal="left"/>
    </xf>
    <xf numFmtId="164" fontId="24" fillId="0" borderId="0" xfId="136" applyNumberFormat="1" applyFont="1" applyAlignment="1">
      <alignment horizontal="center"/>
    </xf>
    <xf numFmtId="43" fontId="24" fillId="0" borderId="0" xfId="138" applyFont="1" applyBorder="1"/>
    <xf numFmtId="164" fontId="24" fillId="0" borderId="0" xfId="140" applyNumberFormat="1" applyFont="1" applyBorder="1"/>
    <xf numFmtId="164" fontId="17" fillId="0" borderId="0" xfId="136" applyNumberFormat="1" applyFont="1"/>
    <xf numFmtId="164" fontId="17" fillId="0" borderId="11" xfId="136" applyNumberFormat="1" applyFont="1" applyBorder="1"/>
    <xf numFmtId="173" fontId="45" fillId="0" borderId="0" xfId="0" applyFont="1" applyAlignment="1">
      <alignment horizontal="left"/>
    </xf>
    <xf numFmtId="173" fontId="45" fillId="20" borderId="0" xfId="0" applyFont="1" applyFill="1" applyAlignment="1">
      <alignment horizontal="left"/>
    </xf>
    <xf numFmtId="17" fontId="47" fillId="20" borderId="14" xfId="0" applyNumberFormat="1" applyFont="1" applyFill="1" applyBorder="1" applyAlignment="1">
      <alignment horizontal="center" wrapText="1"/>
    </xf>
    <xf numFmtId="170" fontId="0" fillId="0" borderId="21" xfId="0" applyNumberFormat="1" applyBorder="1"/>
    <xf numFmtId="37" fontId="92" fillId="0" borderId="6" xfId="147" applyNumberFormat="1" applyFont="1" applyBorder="1"/>
    <xf numFmtId="0" fontId="24" fillId="0" borderId="0" xfId="151" applyFont="1"/>
    <xf numFmtId="14" fontId="24" fillId="20" borderId="0" xfId="151" applyNumberFormat="1" applyFont="1" applyFill="1" applyAlignment="1">
      <alignment horizontal="center"/>
    </xf>
    <xf numFmtId="0" fontId="93" fillId="0" borderId="0" xfId="151" applyFont="1"/>
    <xf numFmtId="6" fontId="24" fillId="0" borderId="0" xfId="151" applyNumberFormat="1" applyFont="1" applyAlignment="1">
      <alignment horizontal="center"/>
    </xf>
    <xf numFmtId="0" fontId="96" fillId="0" borderId="0" xfId="151" applyFont="1"/>
    <xf numFmtId="0" fontId="24" fillId="20" borderId="0" xfId="151" applyFont="1" applyFill="1" applyAlignment="1">
      <alignment horizontal="center"/>
    </xf>
    <xf numFmtId="176" fontId="24" fillId="0" borderId="0" xfId="151" applyNumberFormat="1" applyFont="1"/>
    <xf numFmtId="10" fontId="0" fillId="0" borderId="0" xfId="85" applyNumberFormat="1" applyFont="1" applyBorder="1" applyAlignment="1"/>
    <xf numFmtId="174" fontId="24" fillId="20" borderId="0" xfId="137" applyNumberFormat="1" applyFont="1" applyFill="1" applyBorder="1"/>
    <xf numFmtId="174" fontId="97" fillId="0" borderId="0" xfId="137" applyNumberFormat="1" applyFont="1" applyFill="1" applyBorder="1"/>
    <xf numFmtId="174" fontId="97" fillId="0" borderId="0" xfId="136" applyNumberFormat="1" applyFont="1"/>
    <xf numFmtId="170" fontId="67" fillId="0" borderId="0" xfId="0" applyNumberFormat="1" applyFont="1" applyAlignment="1">
      <alignment vertical="center"/>
    </xf>
    <xf numFmtId="173" fontId="100" fillId="0" borderId="0" xfId="0" applyFont="1"/>
    <xf numFmtId="0" fontId="100" fillId="0" borderId="0" xfId="0" applyNumberFormat="1" applyFont="1"/>
    <xf numFmtId="0" fontId="100" fillId="0" borderId="0" xfId="0" applyNumberFormat="1" applyFont="1" applyAlignment="1">
      <alignment horizontal="left"/>
    </xf>
    <xf numFmtId="0" fontId="100" fillId="0" borderId="0" xfId="0" applyNumberFormat="1" applyFont="1" applyAlignment="1">
      <alignment horizontal="right"/>
    </xf>
    <xf numFmtId="0" fontId="100" fillId="20" borderId="0" xfId="0" applyNumberFormat="1" applyFont="1" applyFill="1"/>
    <xf numFmtId="173" fontId="100" fillId="20" borderId="0" xfId="0" applyFont="1" applyFill="1"/>
    <xf numFmtId="3" fontId="100" fillId="0" borderId="0" xfId="0" applyNumberFormat="1" applyFont="1"/>
    <xf numFmtId="0" fontId="100" fillId="0" borderId="0" xfId="0" applyNumberFormat="1" applyFont="1" applyAlignment="1">
      <alignment horizontal="center"/>
    </xf>
    <xf numFmtId="49" fontId="100" fillId="0" borderId="0" xfId="0" applyNumberFormat="1" applyFont="1"/>
    <xf numFmtId="49" fontId="100" fillId="0" borderId="0" xfId="0" applyNumberFormat="1" applyFont="1" applyAlignment="1">
      <alignment horizontal="left"/>
    </xf>
    <xf numFmtId="49" fontId="100" fillId="0" borderId="0" xfId="0" applyNumberFormat="1" applyFont="1" applyAlignment="1">
      <alignment horizontal="center"/>
    </xf>
    <xf numFmtId="0" fontId="100" fillId="0" borderId="6" xfId="0" applyNumberFormat="1" applyFont="1" applyBorder="1" applyAlignment="1">
      <alignment horizontal="center"/>
    </xf>
    <xf numFmtId="42" fontId="100" fillId="0" borderId="0" xfId="0" applyNumberFormat="1" applyFont="1"/>
    <xf numFmtId="176" fontId="100" fillId="0" borderId="0" xfId="59" applyNumberFormat="1" applyFont="1"/>
    <xf numFmtId="177" fontId="100" fillId="0" borderId="0" xfId="85" applyNumberFormat="1" applyFont="1" applyAlignment="1"/>
    <xf numFmtId="186" fontId="100" fillId="0" borderId="0" xfId="0" applyNumberFormat="1" applyFont="1"/>
    <xf numFmtId="0" fontId="100" fillId="0" borderId="6" xfId="0" applyNumberFormat="1" applyFont="1" applyBorder="1" applyAlignment="1">
      <alignment horizontal="centerContinuous"/>
    </xf>
    <xf numFmtId="166" fontId="100" fillId="0" borderId="0" xfId="0" applyNumberFormat="1" applyFont="1"/>
    <xf numFmtId="176" fontId="100" fillId="0" borderId="0" xfId="59" applyNumberFormat="1" applyFont="1" applyFill="1"/>
    <xf numFmtId="176" fontId="100" fillId="0" borderId="0" xfId="59" applyNumberFormat="1" applyFont="1" applyFill="1" applyAlignment="1"/>
    <xf numFmtId="176" fontId="100" fillId="20" borderId="0" xfId="59" applyNumberFormat="1" applyFont="1" applyFill="1" applyAlignment="1"/>
    <xf numFmtId="176" fontId="101" fillId="0" borderId="0" xfId="59" applyNumberFormat="1" applyFont="1" applyFill="1" applyAlignment="1"/>
    <xf numFmtId="176" fontId="101" fillId="0" borderId="0" xfId="59" applyNumberFormat="1" applyFont="1" applyFill="1"/>
    <xf numFmtId="176" fontId="100" fillId="0" borderId="0" xfId="63" applyNumberFormat="1" applyFont="1" applyFill="1" applyAlignment="1">
      <alignment horizontal="right"/>
    </xf>
    <xf numFmtId="176" fontId="100" fillId="0" borderId="0" xfId="63" applyNumberFormat="1" applyFont="1" applyFill="1" applyBorder="1"/>
    <xf numFmtId="0" fontId="100" fillId="0" borderId="0" xfId="0" applyNumberFormat="1" applyFont="1" applyAlignment="1">
      <alignment wrapText="1"/>
    </xf>
    <xf numFmtId="174" fontId="100" fillId="0" borderId="0" xfId="63" applyNumberFormat="1" applyFont="1" applyFill="1" applyAlignment="1">
      <alignment horizontal="right"/>
    </xf>
    <xf numFmtId="176" fontId="100" fillId="0" borderId="0" xfId="59" applyNumberFormat="1" applyFont="1" applyFill="1" applyBorder="1"/>
    <xf numFmtId="3" fontId="100" fillId="0" borderId="0" xfId="0" applyNumberFormat="1" applyFont="1" applyAlignment="1">
      <alignment horizontal="fill"/>
    </xf>
    <xf numFmtId="42" fontId="100" fillId="0" borderId="0" xfId="0" applyNumberFormat="1" applyFont="1" applyAlignment="1">
      <alignment horizontal="right"/>
    </xf>
    <xf numFmtId="3" fontId="100" fillId="0" borderId="6" xfId="0" applyNumberFormat="1" applyFont="1" applyBorder="1" applyAlignment="1">
      <alignment horizontal="center"/>
    </xf>
    <xf numFmtId="181" fontId="100" fillId="20" borderId="0" xfId="59" applyNumberFormat="1" applyFont="1" applyFill="1"/>
    <xf numFmtId="43" fontId="100" fillId="0" borderId="0" xfId="59" applyFont="1" applyAlignment="1"/>
    <xf numFmtId="44" fontId="100" fillId="0" borderId="0" xfId="63" applyFont="1" applyFill="1" applyBorder="1"/>
    <xf numFmtId="44" fontId="100" fillId="0" borderId="0" xfId="63" applyFont="1"/>
    <xf numFmtId="168" fontId="100" fillId="0" borderId="0" xfId="0" applyNumberFormat="1" applyFont="1"/>
    <xf numFmtId="168" fontId="100" fillId="0" borderId="0" xfId="0" applyNumberFormat="1" applyFont="1" applyAlignment="1">
      <alignment horizontal="center"/>
    </xf>
    <xf numFmtId="171" fontId="100" fillId="0" borderId="0" xfId="85" applyNumberFormat="1" applyFont="1"/>
    <xf numFmtId="171" fontId="100" fillId="0" borderId="0" xfId="85" applyNumberFormat="1" applyFont="1" applyAlignment="1">
      <alignment horizontal="left"/>
    </xf>
    <xf numFmtId="173" fontId="100" fillId="0" borderId="0" xfId="0" applyFont="1" applyAlignment="1">
      <alignment horizontal="center"/>
    </xf>
    <xf numFmtId="168" fontId="100" fillId="0" borderId="6" xfId="0" applyNumberFormat="1" applyFont="1" applyBorder="1" applyAlignment="1">
      <alignment horizontal="center"/>
    </xf>
    <xf numFmtId="173" fontId="100" fillId="0" borderId="6" xfId="0" applyFont="1" applyBorder="1" applyAlignment="1">
      <alignment horizontal="center"/>
    </xf>
    <xf numFmtId="43" fontId="100" fillId="0" borderId="0" xfId="59" applyFont="1" applyBorder="1" applyAlignment="1">
      <alignment horizontal="right"/>
    </xf>
    <xf numFmtId="43" fontId="100" fillId="0" borderId="0" xfId="59" applyFont="1" applyFill="1" applyBorder="1"/>
    <xf numFmtId="43" fontId="100" fillId="0" borderId="0" xfId="59" applyFont="1" applyBorder="1"/>
    <xf numFmtId="43" fontId="100" fillId="0" borderId="0" xfId="59" applyFont="1"/>
    <xf numFmtId="43" fontId="100" fillId="0" borderId="0" xfId="59" applyFont="1" applyFill="1"/>
    <xf numFmtId="43" fontId="100" fillId="0" borderId="0" xfId="59" applyFont="1" applyFill="1" applyAlignment="1"/>
    <xf numFmtId="172" fontId="100" fillId="0" borderId="0" xfId="0" applyNumberFormat="1" applyFont="1"/>
    <xf numFmtId="43" fontId="100" fillId="0" borderId="0" xfId="59" applyFont="1" applyFill="1" applyBorder="1" applyAlignment="1"/>
    <xf numFmtId="43" fontId="100" fillId="0" borderId="0" xfId="59" applyFont="1" applyBorder="1" applyAlignment="1"/>
    <xf numFmtId="44" fontId="100" fillId="0" borderId="0" xfId="63" applyFont="1" applyFill="1" applyBorder="1" applyAlignment="1"/>
    <xf numFmtId="173" fontId="102" fillId="0" borderId="0" xfId="0" applyFont="1" applyAlignment="1">
      <alignment horizontal="center"/>
    </xf>
    <xf numFmtId="0" fontId="102" fillId="0" borderId="0" xfId="0" applyNumberFormat="1" applyFont="1" applyAlignment="1">
      <alignment horizontal="center"/>
    </xf>
    <xf numFmtId="0" fontId="102" fillId="0" borderId="0" xfId="0" applyNumberFormat="1" applyFont="1" applyAlignment="1">
      <alignment horizontal="right"/>
    </xf>
    <xf numFmtId="3" fontId="102" fillId="0" borderId="0" xfId="0" applyNumberFormat="1" applyFont="1"/>
    <xf numFmtId="3" fontId="100" fillId="0" borderId="0" xfId="0" applyNumberFormat="1" applyFont="1" applyAlignment="1">
      <alignment horizontal="right"/>
    </xf>
    <xf numFmtId="0" fontId="102" fillId="0" borderId="0" xfId="0" applyNumberFormat="1" applyFont="1"/>
    <xf numFmtId="165" fontId="100" fillId="0" borderId="0" xfId="0" applyNumberFormat="1" applyFont="1"/>
    <xf numFmtId="176" fontId="100" fillId="0" borderId="0" xfId="59" applyNumberFormat="1" applyFont="1" applyAlignment="1"/>
    <xf numFmtId="176" fontId="100" fillId="0" borderId="6" xfId="59" applyNumberFormat="1" applyFont="1" applyFill="1" applyBorder="1" applyAlignment="1"/>
    <xf numFmtId="176" fontId="100" fillId="0" borderId="6" xfId="59" applyNumberFormat="1" applyFont="1" applyBorder="1" applyAlignment="1"/>
    <xf numFmtId="164" fontId="100" fillId="0" borderId="0" xfId="0" applyNumberFormat="1" applyFont="1" applyAlignment="1">
      <alignment horizontal="center"/>
    </xf>
    <xf numFmtId="43" fontId="100" fillId="0" borderId="0" xfId="59" applyFont="1" applyFill="1" applyBorder="1" applyAlignment="1">
      <alignment horizontal="center"/>
    </xf>
    <xf numFmtId="179" fontId="100" fillId="0" borderId="0" xfId="85" applyNumberFormat="1" applyFont="1" applyAlignment="1"/>
    <xf numFmtId="0" fontId="100" fillId="0" borderId="0" xfId="0" applyNumberFormat="1" applyFont="1" applyAlignment="1">
      <alignment horizontal="fill"/>
    </xf>
    <xf numFmtId="43" fontId="100" fillId="0" borderId="0" xfId="59" applyFont="1" applyAlignment="1">
      <alignment horizontal="center"/>
    </xf>
    <xf numFmtId="164" fontId="100" fillId="0" borderId="0" xfId="0" applyNumberFormat="1" applyFont="1" applyAlignment="1">
      <alignment horizontal="left"/>
    </xf>
    <xf numFmtId="176" fontId="100" fillId="0" borderId="0" xfId="59" applyNumberFormat="1" applyFont="1" applyFill="1" applyBorder="1" applyAlignment="1"/>
    <xf numFmtId="176" fontId="100" fillId="0" borderId="0" xfId="59" applyNumberFormat="1" applyFont="1" applyBorder="1" applyAlignment="1"/>
    <xf numFmtId="176" fontId="100" fillId="20" borderId="0" xfId="59" applyNumberFormat="1" applyFont="1" applyFill="1" applyBorder="1" applyAlignment="1"/>
    <xf numFmtId="3" fontId="100" fillId="0" borderId="0" xfId="0" applyNumberFormat="1" applyFont="1" applyAlignment="1">
      <alignment horizontal="center"/>
    </xf>
    <xf numFmtId="0" fontId="100" fillId="0" borderId="0" xfId="0" applyNumberFormat="1" applyFont="1" applyProtection="1">
      <protection locked="0"/>
    </xf>
    <xf numFmtId="176" fontId="100" fillId="0" borderId="0" xfId="0" applyNumberFormat="1" applyFont="1"/>
    <xf numFmtId="166" fontId="100" fillId="0" borderId="0" xfId="0" applyNumberFormat="1" applyFont="1" applyAlignment="1">
      <alignment horizontal="center"/>
    </xf>
    <xf numFmtId="176" fontId="100" fillId="0" borderId="11" xfId="59" applyNumberFormat="1" applyFont="1" applyFill="1" applyBorder="1" applyAlignment="1"/>
    <xf numFmtId="176" fontId="100" fillId="0" borderId="35" xfId="59" applyNumberFormat="1" applyFont="1" applyFill="1" applyBorder="1" applyAlignment="1"/>
    <xf numFmtId="176" fontId="100" fillId="20" borderId="6" xfId="59" applyNumberFormat="1" applyFont="1" applyFill="1" applyBorder="1" applyAlignment="1"/>
    <xf numFmtId="165" fontId="100" fillId="0" borderId="0" xfId="0" applyNumberFormat="1" applyFont="1" applyAlignment="1">
      <alignment horizontal="right"/>
    </xf>
    <xf numFmtId="3" fontId="100" fillId="0" borderId="6" xfId="0" applyNumberFormat="1" applyFont="1" applyBorder="1"/>
    <xf numFmtId="4" fontId="100" fillId="0" borderId="0" xfId="0" applyNumberFormat="1" applyFont="1"/>
    <xf numFmtId="3" fontId="100" fillId="0" borderId="0" xfId="0" quotePrefix="1" applyNumberFormat="1" applyFont="1"/>
    <xf numFmtId="173" fontId="105" fillId="0" borderId="0" xfId="0" applyFont="1"/>
    <xf numFmtId="3" fontId="105" fillId="0" borderId="0" xfId="0" applyNumberFormat="1" applyFont="1"/>
    <xf numFmtId="0" fontId="105" fillId="0" borderId="0" xfId="0" applyNumberFormat="1" applyFont="1"/>
    <xf numFmtId="173" fontId="106" fillId="0" borderId="0" xfId="0" applyFont="1"/>
    <xf numFmtId="9" fontId="100" fillId="0" borderId="0" xfId="0" applyNumberFormat="1" applyFont="1"/>
    <xf numFmtId="169" fontId="100" fillId="0" borderId="0" xfId="0" applyNumberFormat="1" applyFont="1"/>
    <xf numFmtId="169" fontId="100" fillId="0" borderId="6" xfId="0" applyNumberFormat="1" applyFont="1" applyBorder="1"/>
    <xf numFmtId="3" fontId="103" fillId="0" borderId="0" xfId="0" applyNumberFormat="1" applyFont="1"/>
    <xf numFmtId="173" fontId="100" fillId="0" borderId="0" xfId="0" applyFont="1" applyProtection="1"/>
    <xf numFmtId="176" fontId="100" fillId="20" borderId="0" xfId="59" applyNumberFormat="1" applyFont="1" applyFill="1" applyBorder="1" applyProtection="1">
      <protection locked="0"/>
    </xf>
    <xf numFmtId="38" fontId="100" fillId="0" borderId="0" xfId="0" applyNumberFormat="1" applyFont="1" applyProtection="1"/>
    <xf numFmtId="173" fontId="100" fillId="0" borderId="6" xfId="0" applyFont="1" applyBorder="1"/>
    <xf numFmtId="0" fontId="100" fillId="0" borderId="6" xfId="0" applyNumberFormat="1" applyFont="1" applyBorder="1"/>
    <xf numFmtId="176" fontId="100" fillId="20" borderId="6" xfId="59" applyNumberFormat="1" applyFont="1" applyFill="1" applyBorder="1" applyProtection="1">
      <protection locked="0"/>
    </xf>
    <xf numFmtId="38" fontId="100" fillId="0" borderId="0" xfId="0" applyNumberFormat="1" applyFont="1"/>
    <xf numFmtId="176" fontId="100" fillId="0" borderId="0" xfId="59" applyNumberFormat="1" applyFont="1" applyFill="1" applyBorder="1" applyProtection="1"/>
    <xf numFmtId="1" fontId="100" fillId="0" borderId="0" xfId="0" applyNumberFormat="1" applyFont="1" applyAlignment="1" applyProtection="1">
      <alignment horizontal="right"/>
    </xf>
    <xf numFmtId="3" fontId="100" fillId="0" borderId="0" xfId="0" applyNumberFormat="1" applyFont="1" applyProtection="1"/>
    <xf numFmtId="170" fontId="100" fillId="0" borderId="0" xfId="0" applyNumberFormat="1" applyFont="1" applyProtection="1">
      <protection locked="0"/>
    </xf>
    <xf numFmtId="170" fontId="100" fillId="0" borderId="0" xfId="0" applyNumberFormat="1" applyFont="1" applyProtection="1"/>
    <xf numFmtId="170" fontId="100" fillId="0" borderId="0" xfId="0" applyNumberFormat="1" applyFont="1"/>
    <xf numFmtId="0" fontId="100" fillId="0" borderId="0" xfId="0" applyNumberFormat="1" applyFont="1" applyAlignment="1">
      <alignment horizontal="left" indent="8"/>
    </xf>
    <xf numFmtId="0" fontId="100" fillId="0" borderId="0" xfId="0" applyNumberFormat="1" applyFont="1" applyAlignment="1">
      <alignment horizontal="center" vertical="top" wrapText="1"/>
    </xf>
    <xf numFmtId="3" fontId="100" fillId="0" borderId="0" xfId="0" applyNumberFormat="1" applyFont="1" applyAlignment="1">
      <alignment horizontal="left"/>
    </xf>
    <xf numFmtId="173" fontId="100" fillId="0" borderId="0" xfId="0" applyFont="1" applyAlignment="1">
      <alignment wrapText="1"/>
    </xf>
    <xf numFmtId="173" fontId="107" fillId="0" borderId="0" xfId="0" applyFont="1"/>
    <xf numFmtId="173" fontId="102" fillId="0" borderId="0" xfId="0" applyFont="1"/>
    <xf numFmtId="3" fontId="102" fillId="0" borderId="0" xfId="0" applyNumberFormat="1" applyFont="1" applyAlignment="1">
      <alignment horizontal="center"/>
    </xf>
    <xf numFmtId="0" fontId="100" fillId="0" borderId="0" xfId="0" applyNumberFormat="1" applyFont="1" applyAlignment="1">
      <alignment horizontal="left" indent="1"/>
    </xf>
    <xf numFmtId="173" fontId="87" fillId="0" borderId="0" xfId="0" applyFont="1"/>
    <xf numFmtId="1" fontId="87" fillId="0" borderId="0" xfId="80" applyNumberFormat="1" applyFont="1" applyAlignment="1">
      <alignment horizontal="center"/>
    </xf>
    <xf numFmtId="10" fontId="24" fillId="0" borderId="18" xfId="136" applyNumberFormat="1" applyFont="1" applyBorder="1"/>
    <xf numFmtId="173" fontId="47" fillId="0" borderId="0" xfId="0" applyFont="1" applyAlignment="1">
      <alignment horizontal="center" wrapText="1"/>
    </xf>
    <xf numFmtId="0" fontId="10" fillId="0" borderId="0" xfId="147" applyFont="1" applyAlignment="1">
      <alignment horizontal="center"/>
    </xf>
    <xf numFmtId="3" fontId="111" fillId="0" borderId="0" xfId="79" applyNumberFormat="1" applyFont="1" applyAlignment="1">
      <alignment horizontal="center" wrapText="1"/>
    </xf>
    <xf numFmtId="0" fontId="92" fillId="0" borderId="26" xfId="147" applyFont="1" applyBorder="1" applyAlignment="1">
      <alignment horizontal="center"/>
    </xf>
    <xf numFmtId="37" fontId="12" fillId="0" borderId="27" xfId="147" applyNumberFormat="1" applyBorder="1"/>
    <xf numFmtId="0" fontId="92" fillId="0" borderId="31" xfId="147" applyFont="1" applyBorder="1" applyAlignment="1">
      <alignment wrapText="1"/>
    </xf>
    <xf numFmtId="0" fontId="92" fillId="0" borderId="0" xfId="147" applyFont="1" applyAlignment="1">
      <alignment horizontal="left" indent="2"/>
    </xf>
    <xf numFmtId="0" fontId="10" fillId="0" borderId="0" xfId="147" applyFont="1" applyAlignment="1">
      <alignment horizontal="center" wrapText="1"/>
    </xf>
    <xf numFmtId="0" fontId="92" fillId="0" borderId="0" xfId="147" applyFont="1" applyAlignment="1">
      <alignment horizontal="center" wrapText="1"/>
    </xf>
    <xf numFmtId="0" fontId="92" fillId="0" borderId="30" xfId="147" applyFont="1" applyBorder="1" applyAlignment="1">
      <alignment horizontal="center" wrapText="1"/>
    </xf>
    <xf numFmtId="0" fontId="12" fillId="0" borderId="0" xfId="147" applyAlignment="1">
      <alignment horizontal="center"/>
    </xf>
    <xf numFmtId="37" fontId="12" fillId="20" borderId="31" xfId="147" applyNumberFormat="1" applyFill="1" applyBorder="1"/>
    <xf numFmtId="37" fontId="12" fillId="20" borderId="0" xfId="147" applyNumberFormat="1" applyFill="1"/>
    <xf numFmtId="37" fontId="92" fillId="0" borderId="31" xfId="147" applyNumberFormat="1" applyFont="1" applyBorder="1" applyAlignment="1">
      <alignment wrapText="1"/>
    </xf>
    <xf numFmtId="176" fontId="10" fillId="0" borderId="0" xfId="59" applyNumberFormat="1" applyFont="1" applyBorder="1"/>
    <xf numFmtId="0" fontId="12" fillId="0" borderId="21" xfId="147" applyBorder="1"/>
    <xf numFmtId="0" fontId="10" fillId="0" borderId="11" xfId="147" applyFont="1" applyBorder="1"/>
    <xf numFmtId="0" fontId="109" fillId="0" borderId="11" xfId="79" applyFont="1" applyBorder="1" applyAlignment="1">
      <alignment horizontal="center" wrapText="1"/>
    </xf>
    <xf numFmtId="0" fontId="17" fillId="0" borderId="11" xfId="79" applyFont="1" applyBorder="1" applyAlignment="1">
      <alignment horizontal="center" wrapText="1"/>
    </xf>
    <xf numFmtId="0" fontId="10" fillId="0" borderId="0" xfId="147" applyFont="1"/>
    <xf numFmtId="176" fontId="10" fillId="20" borderId="0" xfId="59" applyNumberFormat="1" applyFont="1" applyFill="1"/>
    <xf numFmtId="176" fontId="92" fillId="0" borderId="0" xfId="147" applyNumberFormat="1" applyFont="1"/>
    <xf numFmtId="176" fontId="10" fillId="0" borderId="0" xfId="59" applyNumberFormat="1" applyFont="1"/>
    <xf numFmtId="37" fontId="10" fillId="20" borderId="0" xfId="147" applyNumberFormat="1" applyFont="1" applyFill="1"/>
    <xf numFmtId="0" fontId="12" fillId="0" borderId="37" xfId="147" applyBorder="1"/>
    <xf numFmtId="176" fontId="10" fillId="0" borderId="0" xfId="59" applyNumberFormat="1" applyFont="1" applyFill="1"/>
    <xf numFmtId="43" fontId="10" fillId="0" borderId="0" xfId="59" applyFont="1"/>
    <xf numFmtId="42" fontId="24" fillId="0" borderId="22" xfId="138" applyNumberFormat="1" applyFont="1" applyBorder="1"/>
    <xf numFmtId="176" fontId="46" fillId="0" borderId="0" xfId="59" applyNumberFormat="1" applyFont="1" applyFill="1" applyAlignment="1"/>
    <xf numFmtId="176" fontId="46" fillId="0" borderId="6" xfId="59" applyNumberFormat="1" applyFont="1" applyFill="1" applyBorder="1" applyAlignment="1"/>
    <xf numFmtId="3" fontId="46" fillId="0" borderId="0" xfId="0" applyNumberFormat="1" applyFont="1"/>
    <xf numFmtId="0" fontId="9" fillId="0" borderId="0" xfId="147" applyFont="1" applyAlignment="1">
      <alignment horizontal="center"/>
    </xf>
    <xf numFmtId="0" fontId="9" fillId="0" borderId="0" xfId="147" applyFont="1" applyAlignment="1">
      <alignment horizontal="center" wrapText="1"/>
    </xf>
    <xf numFmtId="165" fontId="46" fillId="0" borderId="0" xfId="0" applyNumberFormat="1" applyFont="1"/>
    <xf numFmtId="0" fontId="46" fillId="0" borderId="0" xfId="0" applyNumberFormat="1" applyFont="1" applyAlignment="1">
      <alignment horizontal="center"/>
    </xf>
    <xf numFmtId="43" fontId="46" fillId="0" borderId="0" xfId="59" applyFont="1" applyFill="1" applyAlignment="1"/>
    <xf numFmtId="176" fontId="46" fillId="0" borderId="18" xfId="59" applyNumberFormat="1" applyFont="1" applyFill="1" applyBorder="1" applyAlignment="1"/>
    <xf numFmtId="0" fontId="46" fillId="0" borderId="0" xfId="0" applyNumberFormat="1" applyFont="1" applyAlignment="1">
      <alignment horizontal="left"/>
    </xf>
    <xf numFmtId="176" fontId="46" fillId="20" borderId="0" xfId="59" applyNumberFormat="1" applyFont="1" applyFill="1" applyAlignment="1"/>
    <xf numFmtId="176" fontId="46" fillId="0" borderId="0" xfId="59" applyNumberFormat="1" applyFont="1" applyAlignment="1"/>
    <xf numFmtId="176" fontId="46" fillId="0" borderId="0" xfId="59" applyNumberFormat="1" applyFont="1" applyFill="1" applyAlignment="1">
      <alignment horizontal="right"/>
    </xf>
    <xf numFmtId="176" fontId="46" fillId="0" borderId="0" xfId="59" applyNumberFormat="1" applyFont="1" applyBorder="1" applyAlignment="1"/>
    <xf numFmtId="176" fontId="46" fillId="0" borderId="11" xfId="59" applyNumberFormat="1" applyFont="1" applyFill="1" applyBorder="1" applyAlignment="1"/>
    <xf numFmtId="176" fontId="46" fillId="0" borderId="35" xfId="59" applyNumberFormat="1" applyFont="1" applyFill="1" applyBorder="1" applyAlignment="1"/>
    <xf numFmtId="164" fontId="46" fillId="0" borderId="0" xfId="0" applyNumberFormat="1" applyFont="1" applyAlignment="1">
      <alignment horizontal="left"/>
    </xf>
    <xf numFmtId="167" fontId="46" fillId="0" borderId="0" xfId="0" applyNumberFormat="1" applyFont="1"/>
    <xf numFmtId="164" fontId="103" fillId="0" borderId="0" xfId="0" applyNumberFormat="1" applyFont="1" applyAlignment="1">
      <alignment horizontal="left"/>
    </xf>
    <xf numFmtId="0" fontId="46" fillId="0" borderId="0" xfId="0" applyNumberFormat="1" applyFont="1" applyAlignment="1">
      <alignment wrapText="1"/>
    </xf>
    <xf numFmtId="0" fontId="24" fillId="0" borderId="21" xfId="136" applyFont="1" applyBorder="1" applyAlignment="1">
      <alignment horizontal="center" wrapText="1"/>
    </xf>
    <xf numFmtId="170" fontId="24" fillId="0" borderId="0" xfId="59" applyNumberFormat="1" applyFont="1" applyFill="1" applyBorder="1" applyAlignment="1"/>
    <xf numFmtId="0" fontId="24" fillId="20" borderId="16" xfId="151" quotePrefix="1" applyFont="1" applyFill="1" applyBorder="1"/>
    <xf numFmtId="0" fontId="92" fillId="0" borderId="0" xfId="147" applyFont="1"/>
    <xf numFmtId="176" fontId="10" fillId="0" borderId="0" xfId="59" applyNumberFormat="1" applyFont="1" applyFill="1" applyBorder="1"/>
    <xf numFmtId="164" fontId="17" fillId="0" borderId="0" xfId="85" applyNumberFormat="1" applyFont="1" applyFill="1" applyBorder="1" applyAlignment="1"/>
    <xf numFmtId="3" fontId="100" fillId="0" borderId="0" xfId="0" applyNumberFormat="1" applyFont="1" applyAlignment="1">
      <alignment vertical="top"/>
    </xf>
    <xf numFmtId="173" fontId="46" fillId="0" borderId="0" xfId="0" applyFont="1" applyAlignment="1" applyProtection="1">
      <alignment vertical="top" wrapText="1"/>
    </xf>
    <xf numFmtId="173" fontId="67" fillId="0" borderId="0" xfId="0" applyFont="1" applyAlignment="1">
      <alignment vertical="center" wrapText="1"/>
    </xf>
    <xf numFmtId="14" fontId="19" fillId="20" borderId="28" xfId="136" applyNumberFormat="1" applyFont="1" applyFill="1" applyBorder="1"/>
    <xf numFmtId="0" fontId="24" fillId="0" borderId="18" xfId="136" applyFont="1" applyBorder="1"/>
    <xf numFmtId="173" fontId="110" fillId="0" borderId="0" xfId="0" applyFont="1" applyAlignment="1">
      <alignment vertical="top"/>
    </xf>
    <xf numFmtId="10" fontId="82" fillId="0" borderId="0" xfId="132" applyNumberFormat="1" applyFont="1"/>
    <xf numFmtId="0" fontId="6" fillId="0" borderId="0" xfId="147" applyFont="1" applyAlignment="1">
      <alignment horizontal="center" wrapText="1"/>
    </xf>
    <xf numFmtId="0" fontId="24" fillId="0" borderId="13" xfId="0" applyNumberFormat="1" applyFont="1" applyBorder="1" applyAlignment="1">
      <alignment horizontal="center"/>
    </xf>
    <xf numFmtId="173" fontId="46" fillId="0" borderId="0" xfId="0" applyFont="1" applyAlignment="1">
      <alignment vertical="top" wrapText="1"/>
    </xf>
    <xf numFmtId="0" fontId="74" fillId="0" borderId="0" xfId="129" quotePrefix="1" applyFont="1" applyAlignment="1">
      <alignment horizontal="right" vertical="top"/>
    </xf>
    <xf numFmtId="173" fontId="17" fillId="0" borderId="0" xfId="0" applyFont="1" applyAlignment="1">
      <alignment horizontal="left" vertical="top"/>
    </xf>
    <xf numFmtId="170" fontId="17" fillId="0" borderId="0" xfId="0" quotePrefix="1" applyNumberFormat="1" applyFont="1" applyAlignment="1">
      <alignment horizontal="right"/>
    </xf>
    <xf numFmtId="0" fontId="5" fillId="0" borderId="11" xfId="147" applyFont="1" applyBorder="1" applyAlignment="1">
      <alignment horizontal="center" wrapText="1"/>
    </xf>
    <xf numFmtId="0" fontId="10" fillId="0" borderId="0" xfId="147" applyFont="1" applyAlignment="1">
      <alignment wrapText="1"/>
    </xf>
    <xf numFmtId="170" fontId="24" fillId="20" borderId="0" xfId="0" applyNumberFormat="1" applyFont="1" applyFill="1"/>
    <xf numFmtId="0" fontId="46" fillId="0" borderId="0" xfId="156" applyFont="1"/>
    <xf numFmtId="0" fontId="46" fillId="0" borderId="0" xfId="156" applyFont="1" applyAlignment="1">
      <alignment horizontal="center"/>
    </xf>
    <xf numFmtId="176" fontId="46" fillId="0" borderId="0" xfId="157" applyNumberFormat="1" applyFont="1"/>
    <xf numFmtId="0" fontId="112" fillId="0" borderId="0" xfId="156" applyFont="1" applyAlignment="1">
      <alignment horizontal="left"/>
    </xf>
    <xf numFmtId="176" fontId="46" fillId="0" borderId="29" xfId="156" applyNumberFormat="1" applyFont="1" applyBorder="1"/>
    <xf numFmtId="176" fontId="46" fillId="0" borderId="29" xfId="157" applyNumberFormat="1" applyFont="1" applyBorder="1"/>
    <xf numFmtId="176" fontId="46" fillId="0" borderId="0" xfId="156" applyNumberFormat="1" applyFont="1"/>
    <xf numFmtId="0" fontId="47" fillId="0" borderId="0" xfId="155" applyFont="1" applyAlignment="1">
      <alignment horizontal="center"/>
    </xf>
    <xf numFmtId="176" fontId="47" fillId="0" borderId="0" xfId="157" applyNumberFormat="1" applyFont="1" applyAlignment="1">
      <alignment horizontal="center" wrapText="1"/>
    </xf>
    <xf numFmtId="0" fontId="112" fillId="0" borderId="0" xfId="156" applyFont="1"/>
    <xf numFmtId="0" fontId="47" fillId="0" borderId="0" xfId="159" applyNumberFormat="1" applyFont="1"/>
    <xf numFmtId="0" fontId="46" fillId="0" borderId="0" xfId="156" applyFont="1" applyAlignment="1">
      <alignment horizontal="center" wrapText="1"/>
    </xf>
    <xf numFmtId="37" fontId="47" fillId="0" borderId="0" xfId="157" applyNumberFormat="1" applyFont="1" applyAlignment="1">
      <alignment horizontal="center" wrapText="1"/>
    </xf>
    <xf numFmtId="187" fontId="47" fillId="0" borderId="0" xfId="157" applyNumberFormat="1" applyFont="1" applyAlignment="1">
      <alignment horizontal="center" wrapText="1"/>
    </xf>
    <xf numFmtId="176" fontId="47" fillId="0" borderId="11" xfId="157" applyNumberFormat="1" applyFont="1" applyBorder="1" applyAlignment="1">
      <alignment horizontal="center" wrapText="1"/>
    </xf>
    <xf numFmtId="49" fontId="47" fillId="0" borderId="11" xfId="157" applyNumberFormat="1" applyFont="1" applyBorder="1" applyAlignment="1">
      <alignment horizontal="center" wrapText="1"/>
    </xf>
    <xf numFmtId="49" fontId="47" fillId="0" borderId="11" xfId="157" applyNumberFormat="1" applyFont="1" applyBorder="1" applyAlignment="1">
      <alignment horizontal="left" wrapText="1"/>
    </xf>
    <xf numFmtId="0" fontId="47" fillId="0" borderId="11" xfId="159" applyNumberFormat="1" applyFont="1" applyBorder="1"/>
    <xf numFmtId="0" fontId="47" fillId="0" borderId="11" xfId="156" applyFont="1" applyBorder="1" applyAlignment="1">
      <alignment horizontal="center" wrapText="1"/>
    </xf>
    <xf numFmtId="0" fontId="47" fillId="0" borderId="11" xfId="157" applyNumberFormat="1" applyFont="1" applyBorder="1" applyAlignment="1">
      <alignment horizontal="center" wrapText="1"/>
    </xf>
    <xf numFmtId="176" fontId="46" fillId="0" borderId="0" xfId="157" applyNumberFormat="1" applyFont="1" applyAlignment="1">
      <alignment horizontal="center"/>
    </xf>
    <xf numFmtId="176" fontId="46" fillId="0" borderId="0" xfId="157" applyNumberFormat="1" applyFont="1" applyAlignment="1">
      <alignment horizontal="right"/>
    </xf>
    <xf numFmtId="0" fontId="46" fillId="0" borderId="0" xfId="156" applyFont="1" applyAlignment="1">
      <alignment vertical="top" wrapText="1"/>
    </xf>
    <xf numFmtId="188" fontId="46" fillId="0" borderId="0" xfId="156" applyNumberFormat="1" applyFont="1"/>
    <xf numFmtId="176" fontId="46" fillId="0" borderId="0" xfId="59" applyNumberFormat="1" applyFont="1"/>
    <xf numFmtId="0" fontId="47" fillId="0" borderId="0" xfId="155" applyFont="1" applyAlignment="1">
      <alignment horizontal="center" wrapText="1"/>
    </xf>
    <xf numFmtId="0" fontId="112" fillId="0" borderId="0" xfId="156" applyFont="1" applyAlignment="1">
      <alignment horizontal="center" wrapText="1"/>
    </xf>
    <xf numFmtId="0" fontId="47" fillId="0" borderId="11" xfId="159" applyNumberFormat="1" applyFont="1" applyBorder="1" applyAlignment="1">
      <alignment horizontal="center" wrapText="1"/>
    </xf>
    <xf numFmtId="0" fontId="46" fillId="0" borderId="0" xfId="156" applyFont="1" applyAlignment="1">
      <alignment horizontal="right"/>
    </xf>
    <xf numFmtId="0" fontId="112" fillId="0" borderId="0" xfId="156" applyFont="1" applyAlignment="1">
      <alignment horizontal="right"/>
    </xf>
    <xf numFmtId="176" fontId="46" fillId="0" borderId="0" xfId="59" applyNumberFormat="1" applyFont="1" applyFill="1" applyAlignment="1">
      <alignment horizontal="left"/>
    </xf>
    <xf numFmtId="176" fontId="46" fillId="0" borderId="0" xfId="156" applyNumberFormat="1" applyFont="1" applyAlignment="1">
      <alignment horizontal="center"/>
    </xf>
    <xf numFmtId="180" fontId="46" fillId="0" borderId="0" xfId="59" applyNumberFormat="1" applyFont="1" applyAlignment="1">
      <alignment horizontal="center"/>
    </xf>
    <xf numFmtId="43" fontId="46" fillId="0" borderId="0" xfId="156" applyNumberFormat="1" applyFont="1" applyAlignment="1">
      <alignment horizontal="center"/>
    </xf>
    <xf numFmtId="180" fontId="47" fillId="0" borderId="11" xfId="59" applyNumberFormat="1" applyFont="1" applyBorder="1" applyAlignment="1">
      <alignment horizontal="center" wrapText="1"/>
    </xf>
    <xf numFmtId="180" fontId="47" fillId="0" borderId="0" xfId="59" applyNumberFormat="1" applyFont="1" applyAlignment="1">
      <alignment horizontal="center" wrapText="1"/>
    </xf>
    <xf numFmtId="0" fontId="46" fillId="0" borderId="0" xfId="156" applyFont="1" applyAlignment="1">
      <alignment horizontal="left" indent="1"/>
    </xf>
    <xf numFmtId="0" fontId="46" fillId="0" borderId="0" xfId="156" applyFont="1" applyAlignment="1">
      <alignment horizontal="right" indent="1"/>
    </xf>
    <xf numFmtId="0" fontId="46" fillId="0" borderId="0" xfId="156" applyFont="1" applyAlignment="1">
      <alignment wrapText="1"/>
    </xf>
    <xf numFmtId="176" fontId="46" fillId="0" borderId="0" xfId="157" applyNumberFormat="1" applyFont="1" applyAlignment="1">
      <alignment wrapText="1"/>
    </xf>
    <xf numFmtId="180" fontId="46" fillId="0" borderId="0" xfId="59" applyNumberFormat="1" applyFont="1" applyAlignment="1">
      <alignment horizontal="center" wrapText="1"/>
    </xf>
    <xf numFmtId="176" fontId="46" fillId="20" borderId="0" xfId="157" applyNumberFormat="1" applyFont="1" applyFill="1"/>
    <xf numFmtId="180" fontId="46" fillId="0" borderId="0" xfId="59" applyNumberFormat="1" applyFont="1"/>
    <xf numFmtId="176" fontId="46" fillId="0" borderId="0" xfId="157" applyNumberFormat="1" applyFont="1" applyBorder="1"/>
    <xf numFmtId="176" fontId="47" fillId="0" borderId="11" xfId="157" applyNumberFormat="1" applyFont="1" applyBorder="1" applyAlignment="1">
      <alignment horizontal="left" wrapText="1"/>
    </xf>
    <xf numFmtId="176" fontId="47" fillId="0" borderId="0" xfId="157" applyNumberFormat="1" applyFont="1" applyBorder="1" applyAlignment="1">
      <alignment horizontal="left" wrapText="1"/>
    </xf>
    <xf numFmtId="176" fontId="46" fillId="0" borderId="18" xfId="156" applyNumberFormat="1" applyFont="1" applyBorder="1"/>
    <xf numFmtId="173" fontId="47" fillId="0" borderId="11" xfId="0" applyFont="1" applyBorder="1" applyAlignment="1">
      <alignment horizontal="center"/>
    </xf>
    <xf numFmtId="176" fontId="46" fillId="0" borderId="29" xfId="59" applyNumberFormat="1" applyFont="1" applyBorder="1" applyAlignment="1"/>
    <xf numFmtId="0" fontId="0" fillId="0" borderId="0" xfId="0" applyNumberFormat="1"/>
    <xf numFmtId="0" fontId="24" fillId="0" borderId="0" xfId="155" applyFont="1"/>
    <xf numFmtId="0" fontId="47" fillId="0" borderId="11" xfId="0" applyNumberFormat="1" applyFont="1" applyBorder="1" applyAlignment="1">
      <alignment horizontal="center"/>
    </xf>
    <xf numFmtId="173" fontId="46" fillId="0" borderId="0" xfId="0" quotePrefix="1" applyFont="1"/>
    <xf numFmtId="176" fontId="46" fillId="0" borderId="0" xfId="59" applyNumberFormat="1" applyFont="1" applyAlignment="1">
      <alignment horizontal="center"/>
    </xf>
    <xf numFmtId="176" fontId="46" fillId="0" borderId="0" xfId="59" applyNumberFormat="1" applyFont="1" applyAlignment="1">
      <alignment horizontal="right"/>
    </xf>
    <xf numFmtId="0" fontId="46" fillId="20" borderId="0" xfId="158" applyFont="1" applyFill="1" applyAlignment="1">
      <alignment horizontal="left"/>
    </xf>
    <xf numFmtId="176" fontId="46" fillId="20" borderId="0" xfId="157" applyNumberFormat="1" applyFont="1" applyFill="1" applyAlignment="1">
      <alignment horizontal="left"/>
    </xf>
    <xf numFmtId="176" fontId="46" fillId="20" borderId="0" xfId="157" applyNumberFormat="1" applyFont="1" applyFill="1" applyAlignment="1">
      <alignment horizontal="center"/>
    </xf>
    <xf numFmtId="0" fontId="47" fillId="20" borderId="11" xfId="157" applyNumberFormat="1" applyFont="1" applyFill="1" applyBorder="1" applyAlignment="1">
      <alignment horizontal="center" wrapText="1"/>
    </xf>
    <xf numFmtId="176" fontId="46" fillId="20" borderId="0" xfId="59" applyNumberFormat="1" applyFont="1" applyFill="1" applyAlignment="1">
      <alignment horizontal="left"/>
    </xf>
    <xf numFmtId="180" fontId="46" fillId="20" borderId="0" xfId="59" applyNumberFormat="1" applyFont="1" applyFill="1" applyAlignment="1">
      <alignment horizontal="center"/>
    </xf>
    <xf numFmtId="176" fontId="46" fillId="20" borderId="0" xfId="157" applyNumberFormat="1" applyFont="1" applyFill="1" applyBorder="1" applyAlignment="1">
      <alignment horizontal="left"/>
    </xf>
    <xf numFmtId="0" fontId="47" fillId="0" borderId="0" xfId="156" applyFont="1"/>
    <xf numFmtId="188" fontId="46" fillId="0" borderId="0" xfId="156" applyNumberFormat="1" applyFont="1" applyAlignment="1">
      <alignment horizontal="center"/>
    </xf>
    <xf numFmtId="188" fontId="112" fillId="0" borderId="0" xfId="156" applyNumberFormat="1" applyFont="1"/>
    <xf numFmtId="188" fontId="46" fillId="20" borderId="0" xfId="59" applyNumberFormat="1" applyFont="1" applyFill="1" applyAlignment="1">
      <alignment horizontal="left"/>
    </xf>
    <xf numFmtId="0" fontId="46" fillId="0" borderId="0" xfId="157" applyNumberFormat="1" applyFont="1" applyAlignment="1">
      <alignment horizontal="center"/>
    </xf>
    <xf numFmtId="0" fontId="47" fillId="0" borderId="0" xfId="157" applyNumberFormat="1" applyFont="1" applyAlignment="1">
      <alignment horizontal="center" wrapText="1"/>
    </xf>
    <xf numFmtId="0" fontId="46" fillId="20" borderId="0" xfId="157" applyNumberFormat="1" applyFont="1" applyFill="1" applyAlignment="1">
      <alignment horizontal="center"/>
    </xf>
    <xf numFmtId="180" fontId="46" fillId="0" borderId="0" xfId="161" applyNumberFormat="1" applyFont="1"/>
    <xf numFmtId="180" fontId="46" fillId="0" borderId="0" xfId="161" applyNumberFormat="1" applyFont="1" applyAlignment="1">
      <alignment horizontal="right"/>
    </xf>
    <xf numFmtId="0" fontId="115" fillId="0" borderId="0" xfId="160" applyFont="1"/>
    <xf numFmtId="0" fontId="115" fillId="0" borderId="0" xfId="160" applyFont="1" applyAlignment="1">
      <alignment horizontal="center"/>
    </xf>
    <xf numFmtId="2" fontId="116" fillId="0" borderId="0" xfId="160" applyNumberFormat="1" applyFont="1" applyAlignment="1">
      <alignment horizontal="center" wrapText="1"/>
    </xf>
    <xf numFmtId="17" fontId="115" fillId="0" borderId="0" xfId="160" applyNumberFormat="1" applyFont="1" applyAlignment="1">
      <alignment horizontal="center"/>
    </xf>
    <xf numFmtId="189" fontId="115" fillId="0" borderId="0" xfId="160" applyNumberFormat="1" applyFont="1"/>
    <xf numFmtId="190" fontId="115" fillId="0" borderId="0" xfId="160" applyNumberFormat="1" applyFont="1"/>
    <xf numFmtId="180" fontId="115" fillId="0" borderId="0" xfId="160" applyNumberFormat="1" applyFont="1"/>
    <xf numFmtId="180" fontId="46" fillId="0" borderId="0" xfId="161" applyNumberFormat="1" applyFont="1" applyFill="1"/>
    <xf numFmtId="180" fontId="46" fillId="0" borderId="11" xfId="161" applyNumberFormat="1" applyFont="1" applyFill="1" applyBorder="1"/>
    <xf numFmtId="180" fontId="46" fillId="20" borderId="0" xfId="161" applyNumberFormat="1" applyFont="1" applyFill="1"/>
    <xf numFmtId="0" fontId="115" fillId="0" borderId="0" xfId="160" applyFont="1" applyAlignment="1">
      <alignment horizontal="left"/>
    </xf>
    <xf numFmtId="0" fontId="46" fillId="0" borderId="0" xfId="161" applyNumberFormat="1" applyFont="1"/>
    <xf numFmtId="0" fontId="46" fillId="0" borderId="0" xfId="161" applyNumberFormat="1" applyFont="1" applyAlignment="1">
      <alignment horizontal="right"/>
    </xf>
    <xf numFmtId="0" fontId="115" fillId="0" borderId="0" xfId="160" applyFont="1" applyAlignment="1">
      <alignment horizontal="right"/>
    </xf>
    <xf numFmtId="2" fontId="116" fillId="0" borderId="11" xfId="160" applyNumberFormat="1" applyFont="1" applyBorder="1" applyAlignment="1">
      <alignment horizontal="center" wrapText="1"/>
    </xf>
    <xf numFmtId="2" fontId="116" fillId="0" borderId="11" xfId="161" applyNumberFormat="1" applyFont="1" applyBorder="1" applyAlignment="1">
      <alignment horizontal="center" wrapText="1"/>
    </xf>
    <xf numFmtId="0" fontId="115" fillId="20" borderId="0" xfId="160" applyFont="1" applyFill="1"/>
    <xf numFmtId="0" fontId="117" fillId="0" borderId="0" xfId="160" applyFont="1"/>
    <xf numFmtId="176" fontId="115" fillId="0" borderId="0" xfId="59" applyNumberFormat="1" applyFont="1" applyAlignment="1"/>
    <xf numFmtId="0" fontId="115" fillId="0" borderId="0" xfId="160" quotePrefix="1" applyFont="1" applyAlignment="1">
      <alignment horizontal="right"/>
    </xf>
    <xf numFmtId="176" fontId="46" fillId="0" borderId="0" xfId="157" applyNumberFormat="1" applyFont="1" applyFill="1" applyAlignment="1">
      <alignment horizontal="right"/>
    </xf>
    <xf numFmtId="176" fontId="46" fillId="0" borderId="0" xfId="157" applyNumberFormat="1" applyFont="1" applyFill="1" applyAlignment="1">
      <alignment horizontal="left"/>
    </xf>
    <xf numFmtId="0" fontId="46" fillId="0" borderId="0" xfId="0" applyNumberFormat="1" applyFont="1" applyAlignment="1">
      <alignment vertical="top" wrapText="1"/>
    </xf>
    <xf numFmtId="176" fontId="47" fillId="0" borderId="0" xfId="157" applyNumberFormat="1" applyFont="1" applyAlignment="1">
      <alignment horizontal="right" wrapText="1"/>
    </xf>
    <xf numFmtId="0" fontId="46" fillId="0" borderId="0" xfId="156" applyFont="1" applyAlignment="1">
      <alignment horizontal="right" wrapText="1"/>
    </xf>
    <xf numFmtId="176" fontId="46" fillId="0" borderId="0" xfId="157" applyNumberFormat="1" applyFont="1" applyBorder="1" applyAlignment="1">
      <alignment horizontal="right"/>
    </xf>
    <xf numFmtId="0" fontId="47" fillId="0" borderId="0" xfId="155" applyFont="1"/>
    <xf numFmtId="0" fontId="119" fillId="0" borderId="0" xfId="157" applyNumberFormat="1" applyFont="1" applyAlignment="1">
      <alignment horizontal="center" wrapText="1"/>
    </xf>
    <xf numFmtId="180" fontId="46" fillId="0" borderId="0" xfId="161" applyNumberFormat="1" applyFont="1" applyAlignment="1">
      <alignment horizontal="left"/>
    </xf>
    <xf numFmtId="10" fontId="46" fillId="20" borderId="0" xfId="85" applyNumberFormat="1" applyFont="1" applyFill="1" applyAlignment="1">
      <alignment horizontal="right"/>
    </xf>
    <xf numFmtId="10" fontId="46" fillId="0" borderId="0" xfId="85" applyNumberFormat="1" applyFont="1" applyAlignment="1">
      <alignment horizontal="right"/>
    </xf>
    <xf numFmtId="0" fontId="115" fillId="0" borderId="0" xfId="160" quotePrefix="1" applyFont="1" applyAlignment="1">
      <alignment horizontal="center"/>
    </xf>
    <xf numFmtId="176" fontId="46" fillId="20" borderId="0" xfId="59" applyNumberFormat="1" applyFont="1" applyFill="1" applyAlignment="1">
      <alignment horizontal="right"/>
    </xf>
    <xf numFmtId="0" fontId="115" fillId="0" borderId="0" xfId="160" applyFont="1" applyAlignment="1">
      <alignment horizontal="left" wrapText="1"/>
    </xf>
    <xf numFmtId="0" fontId="115" fillId="0" borderId="0" xfId="160" applyFont="1" applyAlignment="1">
      <alignment horizontal="center" wrapText="1"/>
    </xf>
    <xf numFmtId="180" fontId="46" fillId="0" borderId="0" xfId="161" applyNumberFormat="1" applyFont="1" applyAlignment="1">
      <alignment horizontal="left" wrapText="1"/>
    </xf>
    <xf numFmtId="176" fontId="47" fillId="0" borderId="11" xfId="59" applyNumberFormat="1" applyFont="1" applyBorder="1" applyAlignment="1">
      <alignment horizontal="center" wrapText="1"/>
    </xf>
    <xf numFmtId="176" fontId="47" fillId="20" borderId="11" xfId="59" applyNumberFormat="1" applyFont="1" applyFill="1" applyBorder="1" applyAlignment="1">
      <alignment horizontal="center" wrapText="1"/>
    </xf>
    <xf numFmtId="180" fontId="47" fillId="0" borderId="11" xfId="161" applyNumberFormat="1" applyFont="1" applyBorder="1" applyAlignment="1">
      <alignment horizontal="center" wrapText="1"/>
    </xf>
    <xf numFmtId="10" fontId="115" fillId="0" borderId="0" xfId="85" applyNumberFormat="1" applyFont="1" applyAlignment="1">
      <alignment horizontal="right"/>
    </xf>
    <xf numFmtId="0" fontId="115" fillId="20" borderId="0" xfId="160" applyFont="1" applyFill="1" applyAlignment="1">
      <alignment horizontal="left"/>
    </xf>
    <xf numFmtId="0" fontId="46" fillId="0" borderId="0" xfId="0" applyNumberFormat="1" applyFont="1" applyAlignment="1">
      <alignment horizontal="center" vertical="top" wrapText="1"/>
    </xf>
    <xf numFmtId="0" fontId="115" fillId="0" borderId="0" xfId="160" quotePrefix="1" applyFont="1" applyAlignment="1">
      <alignment horizontal="center" wrapText="1"/>
    </xf>
    <xf numFmtId="176" fontId="46" fillId="0" borderId="29" xfId="59" applyNumberFormat="1" applyFont="1" applyBorder="1" applyAlignment="1">
      <alignment horizontal="right"/>
    </xf>
    <xf numFmtId="0" fontId="116" fillId="0" borderId="11" xfId="160" applyFont="1" applyBorder="1" applyAlignment="1">
      <alignment horizontal="left"/>
    </xf>
    <xf numFmtId="10" fontId="46" fillId="0" borderId="0" xfId="85" applyNumberFormat="1" applyFont="1" applyFill="1" applyAlignment="1">
      <alignment horizontal="right"/>
    </xf>
    <xf numFmtId="164" fontId="46" fillId="0" borderId="0" xfId="0" applyNumberFormat="1" applyFont="1" applyAlignment="1">
      <alignment horizontal="right"/>
    </xf>
    <xf numFmtId="0" fontId="120" fillId="0" borderId="0" xfId="160" applyFont="1" applyAlignment="1">
      <alignment horizontal="center"/>
    </xf>
    <xf numFmtId="10" fontId="46" fillId="0" borderId="0" xfId="59" applyNumberFormat="1" applyFont="1" applyAlignment="1">
      <alignment horizontal="right"/>
    </xf>
    <xf numFmtId="0" fontId="48" fillId="0" borderId="0" xfId="0" applyNumberFormat="1" applyFont="1" applyAlignment="1">
      <alignment horizontal="center" vertical="center"/>
    </xf>
    <xf numFmtId="173" fontId="46" fillId="20" borderId="0" xfId="0" applyFont="1" applyFill="1"/>
    <xf numFmtId="176" fontId="46" fillId="0" borderId="0" xfId="59" applyNumberFormat="1" applyFont="1" applyFill="1"/>
    <xf numFmtId="173" fontId="46" fillId="20" borderId="0" xfId="0" applyFont="1" applyFill="1" applyAlignment="1">
      <alignment horizontal="center"/>
    </xf>
    <xf numFmtId="176" fontId="47" fillId="0" borderId="0" xfId="59" applyNumberFormat="1" applyFont="1" applyFill="1" applyBorder="1"/>
    <xf numFmtId="176" fontId="46" fillId="20" borderId="0" xfId="59" applyNumberFormat="1" applyFont="1" applyFill="1"/>
    <xf numFmtId="173" fontId="46" fillId="0" borderId="0" xfId="0" applyFont="1" applyAlignment="1">
      <alignment horizontal="center" wrapText="1"/>
    </xf>
    <xf numFmtId="176" fontId="46" fillId="0" borderId="0" xfId="59" applyNumberFormat="1" applyFont="1" applyFill="1" applyBorder="1" applyAlignment="1">
      <alignment vertical="top" wrapText="1"/>
    </xf>
    <xf numFmtId="173" fontId="47" fillId="0" borderId="11" xfId="0" applyFont="1" applyBorder="1" applyAlignment="1">
      <alignment horizontal="center" wrapText="1"/>
    </xf>
    <xf numFmtId="191" fontId="46" fillId="0" borderId="0" xfId="59" applyNumberFormat="1" applyFont="1" applyAlignment="1">
      <alignment horizontal="center" vertical="center"/>
    </xf>
    <xf numFmtId="191" fontId="47" fillId="0" borderId="11" xfId="59" applyNumberFormat="1" applyFont="1" applyBorder="1" applyAlignment="1">
      <alignment horizontal="center" wrapText="1"/>
    </xf>
    <xf numFmtId="191" fontId="46" fillId="0" borderId="0" xfId="59" applyNumberFormat="1" applyFont="1"/>
    <xf numFmtId="191" fontId="46" fillId="0" borderId="0" xfId="59" applyNumberFormat="1" applyFont="1" applyAlignment="1"/>
    <xf numFmtId="191" fontId="46" fillId="0" borderId="0" xfId="59" applyNumberFormat="1" applyFont="1" applyFill="1" applyBorder="1" applyAlignment="1">
      <alignment vertical="top" wrapText="1"/>
    </xf>
    <xf numFmtId="176" fontId="46" fillId="0" borderId="29" xfId="59" applyNumberFormat="1" applyFont="1" applyBorder="1"/>
    <xf numFmtId="43" fontId="46" fillId="20" borderId="0" xfId="59" applyFont="1" applyFill="1" applyAlignment="1">
      <alignment horizontal="center"/>
    </xf>
    <xf numFmtId="43" fontId="46" fillId="0" borderId="0" xfId="59" applyFont="1" applyFill="1" applyAlignment="1">
      <alignment horizontal="center"/>
    </xf>
    <xf numFmtId="176" fontId="46" fillId="0" borderId="0" xfId="157" applyNumberFormat="1" applyFont="1" applyFill="1"/>
    <xf numFmtId="0" fontId="47" fillId="0" borderId="0" xfId="159" applyNumberFormat="1" applyFont="1" applyBorder="1"/>
    <xf numFmtId="173" fontId="47" fillId="0" borderId="11" xfId="0" applyFont="1" applyBorder="1" applyAlignment="1">
      <alignment horizontal="left" wrapText="1"/>
    </xf>
    <xf numFmtId="0" fontId="47" fillId="0" borderId="11" xfId="159" applyNumberFormat="1" applyFont="1" applyBorder="1" applyAlignment="1">
      <alignment horizontal="left" wrapText="1"/>
    </xf>
    <xf numFmtId="0" fontId="112" fillId="0" borderId="0" xfId="156" applyFont="1" applyAlignment="1">
      <alignment wrapText="1"/>
    </xf>
    <xf numFmtId="176" fontId="46" fillId="0" borderId="0" xfId="59" applyNumberFormat="1" applyFont="1" applyAlignment="1">
      <alignment horizontal="left"/>
    </xf>
    <xf numFmtId="0" fontId="46" fillId="0" borderId="0" xfId="156" applyFont="1" applyAlignment="1">
      <alignment horizontal="left"/>
    </xf>
    <xf numFmtId="176" fontId="46" fillId="0" borderId="0" xfId="157" applyNumberFormat="1" applyFont="1" applyFill="1" applyAlignment="1">
      <alignment horizontal="center"/>
    </xf>
    <xf numFmtId="49" fontId="47" fillId="0" borderId="0" xfId="157" applyNumberFormat="1" applyFont="1" applyFill="1" applyBorder="1" applyAlignment="1">
      <alignment horizontal="left" wrapText="1"/>
    </xf>
    <xf numFmtId="43" fontId="46" fillId="0" borderId="0" xfId="59" applyFont="1" applyAlignment="1">
      <alignment horizontal="center"/>
    </xf>
    <xf numFmtId="0" fontId="47" fillId="0" borderId="0" xfId="159" applyNumberFormat="1" applyFont="1" applyBorder="1" applyAlignment="1">
      <alignment horizontal="center" wrapText="1"/>
    </xf>
    <xf numFmtId="0" fontId="47" fillId="0" borderId="0" xfId="159" applyNumberFormat="1" applyFont="1" applyFill="1" applyBorder="1" applyAlignment="1">
      <alignment horizontal="center" wrapText="1"/>
    </xf>
    <xf numFmtId="169" fontId="46" fillId="0" borderId="0" xfId="156" applyNumberFormat="1" applyFont="1" applyAlignment="1">
      <alignment horizontal="center"/>
    </xf>
    <xf numFmtId="0" fontId="46" fillId="0" borderId="11" xfId="156" applyFont="1" applyBorder="1"/>
    <xf numFmtId="3" fontId="46" fillId="0" borderId="0" xfId="0" quotePrefix="1" applyNumberFormat="1" applyFont="1" applyAlignment="1">
      <alignment horizontal="right"/>
    </xf>
    <xf numFmtId="180" fontId="100" fillId="0" borderId="0" xfId="59" applyNumberFormat="1" applyFont="1" applyAlignment="1"/>
    <xf numFmtId="180" fontId="46" fillId="0" borderId="0" xfId="59" applyNumberFormat="1" applyFont="1" applyFill="1" applyAlignment="1">
      <alignment horizontal="center"/>
    </xf>
    <xf numFmtId="0" fontId="47" fillId="0" borderId="0" xfId="159" applyNumberFormat="1" applyFont="1" applyFill="1"/>
    <xf numFmtId="0" fontId="118" fillId="0" borderId="0" xfId="155" applyFont="1" applyAlignment="1">
      <alignment horizontal="center"/>
    </xf>
    <xf numFmtId="176" fontId="47" fillId="0" borderId="0" xfId="157" quotePrefix="1" applyNumberFormat="1" applyFont="1" applyAlignment="1">
      <alignment wrapText="1"/>
    </xf>
    <xf numFmtId="176" fontId="47" fillId="0" borderId="0" xfId="157" applyNumberFormat="1" applyFont="1" applyAlignment="1">
      <alignment wrapText="1"/>
    </xf>
    <xf numFmtId="49" fontId="118" fillId="0" borderId="0" xfId="157" applyNumberFormat="1" applyFont="1" applyBorder="1" applyAlignment="1">
      <alignment wrapText="1"/>
    </xf>
    <xf numFmtId="180" fontId="46" fillId="0" borderId="0" xfId="59" applyNumberFormat="1" applyFont="1" applyBorder="1"/>
    <xf numFmtId="180" fontId="112" fillId="0" borderId="0" xfId="59" applyNumberFormat="1" applyFont="1"/>
    <xf numFmtId="176" fontId="46" fillId="0" borderId="0" xfId="157" applyNumberFormat="1" applyFont="1" applyAlignment="1">
      <alignment horizontal="left"/>
    </xf>
    <xf numFmtId="0" fontId="115" fillId="0" borderId="0" xfId="160" quotePrefix="1" applyFont="1" applyAlignment="1">
      <alignment horizontal="left"/>
    </xf>
    <xf numFmtId="0" fontId="46" fillId="0" borderId="11" xfId="0" applyNumberFormat="1" applyFont="1" applyBorder="1"/>
    <xf numFmtId="173" fontId="46" fillId="0" borderId="11" xfId="0" applyFont="1" applyBorder="1"/>
    <xf numFmtId="176" fontId="46" fillId="0" borderId="0" xfId="59" applyNumberFormat="1" applyFont="1" applyBorder="1"/>
    <xf numFmtId="181" fontId="46" fillId="0" borderId="0" xfId="59" applyNumberFormat="1" applyFont="1" applyFill="1" applyAlignment="1"/>
    <xf numFmtId="176" fontId="47" fillId="0" borderId="0" xfId="59" applyNumberFormat="1" applyFont="1" applyBorder="1"/>
    <xf numFmtId="173" fontId="119" fillId="0" borderId="0" xfId="0" applyFont="1"/>
    <xf numFmtId="173" fontId="46" fillId="0" borderId="0" xfId="0" applyFont="1" applyAlignment="1">
      <alignment wrapText="1"/>
    </xf>
    <xf numFmtId="173" fontId="115" fillId="0" borderId="0" xfId="160" applyNumberFormat="1" applyFont="1" applyAlignment="1">
      <alignment horizontal="left"/>
    </xf>
    <xf numFmtId="0" fontId="120" fillId="0" borderId="0" xfId="160" quotePrefix="1" applyFont="1" applyAlignment="1">
      <alignment horizontal="center"/>
    </xf>
    <xf numFmtId="176" fontId="48" fillId="0" borderId="0" xfId="59" applyNumberFormat="1" applyFont="1" applyFill="1" applyAlignment="1">
      <alignment horizontal="center" vertical="center"/>
    </xf>
    <xf numFmtId="176" fontId="48" fillId="0" borderId="0" xfId="59" applyNumberFormat="1" applyFont="1" applyFill="1" applyBorder="1" applyAlignment="1">
      <alignment horizontal="center" vertical="center"/>
    </xf>
    <xf numFmtId="176" fontId="104" fillId="0" borderId="0" xfId="59" applyNumberFormat="1" applyFont="1" applyFill="1" applyAlignment="1">
      <alignment horizontal="center" vertical="center"/>
    </xf>
    <xf numFmtId="176" fontId="46" fillId="0" borderId="15" xfId="157" applyNumberFormat="1" applyFont="1" applyBorder="1" applyAlignment="1">
      <alignment horizontal="center"/>
    </xf>
    <xf numFmtId="176" fontId="46" fillId="0" borderId="29" xfId="157" applyNumberFormat="1" applyFont="1" applyBorder="1" applyAlignment="1">
      <alignment horizontal="center"/>
    </xf>
    <xf numFmtId="176" fontId="46" fillId="0" borderId="20" xfId="157" applyNumberFormat="1" applyFont="1" applyBorder="1" applyAlignment="1">
      <alignment horizontal="center"/>
    </xf>
    <xf numFmtId="176" fontId="46" fillId="0" borderId="38" xfId="157" applyNumberFormat="1" applyFont="1" applyBorder="1" applyAlignment="1">
      <alignment horizontal="center"/>
    </xf>
    <xf numFmtId="173" fontId="46" fillId="0" borderId="10" xfId="0" applyFont="1" applyBorder="1" applyAlignment="1">
      <alignment horizontal="center"/>
    </xf>
    <xf numFmtId="176" fontId="24" fillId="0" borderId="0" xfId="59" applyNumberFormat="1" applyFont="1" applyFill="1" applyAlignment="1">
      <alignment horizontal="right"/>
    </xf>
    <xf numFmtId="0" fontId="47" fillId="0" borderId="0" xfId="156" applyFont="1" applyAlignment="1">
      <alignment vertical="top"/>
    </xf>
    <xf numFmtId="0" fontId="47" fillId="0" borderId="0" xfId="157" applyNumberFormat="1" applyFont="1" applyFill="1" applyAlignment="1">
      <alignment vertical="top"/>
    </xf>
    <xf numFmtId="176" fontId="46" fillId="0" borderId="0" xfId="157" applyNumberFormat="1" applyFont="1" applyAlignment="1">
      <alignment vertical="top" wrapText="1"/>
    </xf>
    <xf numFmtId="0" fontId="46" fillId="0" borderId="0" xfId="156" applyFont="1" applyAlignment="1">
      <alignment vertical="top"/>
    </xf>
    <xf numFmtId="180" fontId="46" fillId="0" borderId="0" xfId="59" applyNumberFormat="1" applyFont="1" applyFill="1"/>
    <xf numFmtId="173" fontId="67" fillId="0" borderId="0" xfId="0" applyFont="1" applyAlignment="1">
      <alignment vertical="top"/>
    </xf>
    <xf numFmtId="176" fontId="46" fillId="0" borderId="18" xfId="59" applyNumberFormat="1" applyFont="1" applyFill="1" applyBorder="1" applyAlignment="1">
      <alignment horizontal="right"/>
    </xf>
    <xf numFmtId="176" fontId="47" fillId="0" borderId="0" xfId="157" applyNumberFormat="1" applyFont="1" applyFill="1" applyAlignment="1">
      <alignment vertical="top"/>
    </xf>
    <xf numFmtId="43" fontId="46" fillId="0" borderId="0" xfId="59" applyFont="1"/>
    <xf numFmtId="176" fontId="46" fillId="0" borderId="0" xfId="157" applyNumberFormat="1" applyFont="1" applyFill="1" applyBorder="1"/>
    <xf numFmtId="0" fontId="100" fillId="0" borderId="0" xfId="0" applyNumberFormat="1" applyFont="1" applyAlignment="1">
      <alignment horizontal="center" vertical="top"/>
    </xf>
    <xf numFmtId="0" fontId="46" fillId="0" borderId="0" xfId="0" applyNumberFormat="1" applyFont="1" applyAlignment="1">
      <alignment vertical="top"/>
    </xf>
    <xf numFmtId="176" fontId="46" fillId="0" borderId="0" xfId="157" applyNumberFormat="1" applyFont="1" applyFill="1" applyAlignment="1">
      <alignment vertical="top"/>
    </xf>
    <xf numFmtId="0" fontId="47" fillId="0" borderId="0" xfId="161" applyNumberFormat="1" applyFont="1" applyFill="1" applyAlignment="1">
      <alignment vertical="top"/>
    </xf>
    <xf numFmtId="176" fontId="47" fillId="0" borderId="0" xfId="59" applyNumberFormat="1" applyFont="1" applyBorder="1" applyAlignment="1"/>
    <xf numFmtId="0" fontId="121" fillId="0" borderId="0" xfId="160" applyFont="1"/>
    <xf numFmtId="43" fontId="12" fillId="0" borderId="0" xfId="147" applyNumberFormat="1"/>
    <xf numFmtId="176" fontId="46" fillId="20" borderId="11" xfId="59" applyNumberFormat="1" applyFont="1" applyFill="1" applyBorder="1" applyAlignment="1"/>
    <xf numFmtId="0" fontId="47" fillId="0" borderId="0" xfId="0" applyNumberFormat="1" applyFont="1" applyAlignment="1">
      <alignment horizontal="center"/>
    </xf>
    <xf numFmtId="176" fontId="115" fillId="0" borderId="29" xfId="59" applyNumberFormat="1" applyFont="1" applyBorder="1" applyAlignment="1"/>
    <xf numFmtId="176" fontId="115" fillId="0" borderId="11" xfId="59" applyNumberFormat="1" applyFont="1" applyBorder="1" applyAlignment="1"/>
    <xf numFmtId="176" fontId="115" fillId="0" borderId="24" xfId="59" applyNumberFormat="1" applyFont="1" applyBorder="1" applyAlignment="1"/>
    <xf numFmtId="176" fontId="115" fillId="0" borderId="0" xfId="59" applyNumberFormat="1" applyFont="1" applyFill="1" applyAlignment="1"/>
    <xf numFmtId="176" fontId="115" fillId="0" borderId="0" xfId="59" applyNumberFormat="1" applyFont="1" applyFill="1" applyBorder="1" applyAlignment="1"/>
    <xf numFmtId="176" fontId="46" fillId="0" borderId="0" xfId="59" applyNumberFormat="1" applyFont="1" applyFill="1" applyBorder="1" applyAlignment="1"/>
    <xf numFmtId="176" fontId="115" fillId="0" borderId="0" xfId="59" applyNumberFormat="1" applyFont="1" applyBorder="1" applyAlignment="1"/>
    <xf numFmtId="44" fontId="24" fillId="0" borderId="10" xfId="63" applyFont="1" applyFill="1" applyBorder="1" applyAlignment="1"/>
    <xf numFmtId="0" fontId="92" fillId="0" borderId="0" xfId="147" applyFont="1" applyAlignment="1">
      <alignment vertical="top"/>
    </xf>
    <xf numFmtId="0" fontId="108" fillId="0" borderId="0" xfId="132" applyFont="1"/>
    <xf numFmtId="173" fontId="123" fillId="0" borderId="0" xfId="0" applyFont="1"/>
    <xf numFmtId="0" fontId="124" fillId="0" borderId="0" xfId="155" applyFont="1" applyAlignment="1">
      <alignment horizontal="left"/>
    </xf>
    <xf numFmtId="0" fontId="107" fillId="0" borderId="0" xfId="156" applyFont="1"/>
    <xf numFmtId="0" fontId="107" fillId="0" borderId="0" xfId="156" applyFont="1" applyAlignment="1">
      <alignment horizontal="left"/>
    </xf>
    <xf numFmtId="173" fontId="122" fillId="0" borderId="0" xfId="0" applyFont="1" applyAlignment="1">
      <alignment vertical="top"/>
    </xf>
    <xf numFmtId="0" fontId="108" fillId="0" borderId="0" xfId="0" applyNumberFormat="1" applyFont="1"/>
    <xf numFmtId="173" fontId="108" fillId="0" borderId="0" xfId="0" applyFont="1"/>
    <xf numFmtId="0" fontId="107" fillId="0" borderId="0" xfId="160" applyFont="1"/>
    <xf numFmtId="176" fontId="107" fillId="0" borderId="0" xfId="157" applyNumberFormat="1" applyFont="1"/>
    <xf numFmtId="0" fontId="107" fillId="0" borderId="0" xfId="160" applyFont="1" applyAlignment="1">
      <alignment horizontal="left"/>
    </xf>
    <xf numFmtId="176" fontId="125" fillId="0" borderId="0" xfId="157" applyNumberFormat="1" applyFont="1"/>
    <xf numFmtId="173" fontId="126" fillId="0" borderId="0" xfId="0" applyFont="1"/>
    <xf numFmtId="0" fontId="127" fillId="0" borderId="0" xfId="156" applyFont="1"/>
    <xf numFmtId="0" fontId="127" fillId="0" borderId="0" xfId="156" applyFont="1" applyAlignment="1">
      <alignment horizontal="center"/>
    </xf>
    <xf numFmtId="176" fontId="127" fillId="0" borderId="0" xfId="157" applyNumberFormat="1" applyFont="1"/>
    <xf numFmtId="173" fontId="128" fillId="0" borderId="0" xfId="0" applyFont="1" applyAlignment="1">
      <alignment vertical="center"/>
    </xf>
    <xf numFmtId="173" fontId="129" fillId="0" borderId="0" xfId="0" applyFont="1"/>
    <xf numFmtId="0" fontId="127" fillId="0" borderId="0" xfId="160" applyFont="1"/>
    <xf numFmtId="173" fontId="127" fillId="0" borderId="0" xfId="0" applyFont="1"/>
    <xf numFmtId="0" fontId="127" fillId="0" borderId="0" xfId="157" applyNumberFormat="1" applyFont="1" applyFill="1" applyAlignment="1">
      <alignment vertical="top"/>
    </xf>
    <xf numFmtId="0" fontId="127" fillId="0" borderId="0" xfId="160" applyFont="1" applyAlignment="1">
      <alignment horizontal="left"/>
    </xf>
    <xf numFmtId="173" fontId="46" fillId="0" borderId="0" xfId="0" applyFont="1" applyAlignment="1">
      <alignment vertical="top"/>
    </xf>
    <xf numFmtId="0" fontId="129" fillId="0" borderId="0" xfId="132" applyFont="1"/>
    <xf numFmtId="176" fontId="46" fillId="0" borderId="11" xfId="59" applyNumberFormat="1" applyFont="1" applyFill="1" applyBorder="1"/>
    <xf numFmtId="176" fontId="46" fillId="0" borderId="29" xfId="157" applyNumberFormat="1" applyFont="1" applyFill="1" applyBorder="1"/>
    <xf numFmtId="176" fontId="47" fillId="0" borderId="0" xfId="157" applyNumberFormat="1" applyFont="1" applyFill="1" applyBorder="1" applyAlignment="1">
      <alignment horizontal="center" wrapText="1"/>
    </xf>
    <xf numFmtId="0" fontId="46" fillId="0" borderId="0" xfId="156" quotePrefix="1" applyFont="1" applyAlignment="1">
      <alignment horizontal="center" wrapText="1"/>
    </xf>
    <xf numFmtId="170" fontId="46" fillId="0" borderId="0" xfId="0" applyNumberFormat="1" applyFont="1"/>
    <xf numFmtId="187" fontId="127" fillId="0" borderId="0" xfId="157" applyNumberFormat="1" applyFont="1" applyAlignment="1"/>
    <xf numFmtId="173" fontId="69" fillId="0" borderId="0" xfId="0" applyFont="1" applyAlignment="1">
      <alignment vertical="center" wrapText="1"/>
    </xf>
    <xf numFmtId="180" fontId="46" fillId="0" borderId="0" xfId="161" applyNumberFormat="1" applyFont="1" applyFill="1" applyAlignment="1">
      <alignment horizontal="right"/>
    </xf>
    <xf numFmtId="0" fontId="115" fillId="0" borderId="0" xfId="160" quotePrefix="1" applyFont="1"/>
    <xf numFmtId="176" fontId="47" fillId="0" borderId="0" xfId="59" applyNumberFormat="1" applyFont="1" applyFill="1" applyBorder="1" applyAlignment="1">
      <alignment vertical="top"/>
    </xf>
    <xf numFmtId="176" fontId="107" fillId="0" borderId="0" xfId="59" applyNumberFormat="1" applyFont="1"/>
    <xf numFmtId="0" fontId="107" fillId="0" borderId="0" xfId="0" applyNumberFormat="1" applyFont="1"/>
    <xf numFmtId="0" fontId="107" fillId="0" borderId="0" xfId="0" applyNumberFormat="1" applyFont="1" applyAlignment="1">
      <alignment horizontal="left"/>
    </xf>
    <xf numFmtId="176" fontId="107" fillId="0" borderId="0" xfId="157" applyNumberFormat="1" applyFont="1" applyAlignment="1">
      <alignment horizontal="left" vertical="top"/>
    </xf>
    <xf numFmtId="0" fontId="107" fillId="0" borderId="0" xfId="159" applyNumberFormat="1" applyFont="1"/>
    <xf numFmtId="176" fontId="46" fillId="0" borderId="11" xfId="156" applyNumberFormat="1" applyFont="1" applyBorder="1"/>
    <xf numFmtId="176" fontId="46" fillId="0" borderId="0" xfId="59" applyNumberFormat="1" applyFont="1" applyFill="1" applyAlignment="1">
      <alignment horizontal="center" vertical="center"/>
    </xf>
    <xf numFmtId="176" fontId="46" fillId="20" borderId="0" xfId="59" quotePrefix="1" applyNumberFormat="1" applyFont="1" applyFill="1" applyAlignment="1">
      <alignment horizontal="center"/>
    </xf>
    <xf numFmtId="176" fontId="46" fillId="20" borderId="0" xfId="59" applyNumberFormat="1" applyFont="1" applyFill="1" applyAlignment="1">
      <alignment horizontal="center"/>
    </xf>
    <xf numFmtId="176" fontId="46" fillId="0" borderId="0" xfId="59" applyNumberFormat="1" applyFont="1" applyFill="1" applyAlignment="1">
      <alignment vertical="center"/>
    </xf>
    <xf numFmtId="176" fontId="24" fillId="0" borderId="25" xfId="59" applyNumberFormat="1" applyFont="1" applyFill="1" applyBorder="1" applyAlignment="1">
      <alignment horizontal="right"/>
    </xf>
    <xf numFmtId="180" fontId="24" fillId="0" borderId="0" xfId="59" applyNumberFormat="1" applyFont="1" applyFill="1" applyAlignment="1">
      <alignment horizontal="right"/>
    </xf>
    <xf numFmtId="3" fontId="24" fillId="0" borderId="0" xfId="132" applyNumberFormat="1" applyFont="1" applyAlignment="1">
      <alignment horizontal="left" wrapText="1"/>
    </xf>
    <xf numFmtId="173" fontId="46" fillId="0" borderId="0" xfId="0" applyFont="1" applyAlignment="1">
      <alignment horizontal="right" vertical="center"/>
    </xf>
    <xf numFmtId="173" fontId="67" fillId="0" borderId="0" xfId="0" applyFont="1" applyAlignment="1">
      <alignment horizontal="center"/>
    </xf>
    <xf numFmtId="0" fontId="67" fillId="0" borderId="0" xfId="0" applyNumberFormat="1" applyFont="1" applyAlignment="1">
      <alignment horizontal="center"/>
    </xf>
    <xf numFmtId="0" fontId="17" fillId="23" borderId="0" xfId="167" applyFont="1" applyFill="1" applyAlignment="1" applyProtection="1">
      <alignment horizontal="center"/>
      <protection locked="0"/>
    </xf>
    <xf numFmtId="0" fontId="87" fillId="23" borderId="0" xfId="81" applyFont="1" applyFill="1" applyAlignment="1">
      <alignment horizontal="left"/>
    </xf>
    <xf numFmtId="0" fontId="17" fillId="23" borderId="0" xfId="81" applyFont="1" applyFill="1"/>
    <xf numFmtId="0" fontId="17" fillId="23" borderId="0" xfId="81" applyFont="1" applyFill="1" applyAlignment="1">
      <alignment horizontal="center" wrapText="1"/>
    </xf>
    <xf numFmtId="0" fontId="17" fillId="23" borderId="0" xfId="81" applyFont="1" applyFill="1" applyAlignment="1">
      <alignment horizontal="center"/>
    </xf>
    <xf numFmtId="173" fontId="105" fillId="23" borderId="0" xfId="0" applyFont="1" applyFill="1" applyAlignment="1">
      <alignment horizontal="center" wrapText="1"/>
    </xf>
    <xf numFmtId="173" fontId="105" fillId="23" borderId="0" xfId="0" applyFont="1" applyFill="1" applyAlignment="1">
      <alignment horizontal="center"/>
    </xf>
    <xf numFmtId="49" fontId="17" fillId="20" borderId="0" xfId="81" applyNumberFormat="1" applyFont="1" applyFill="1"/>
    <xf numFmtId="1" fontId="17" fillId="20" borderId="0" xfId="81" applyNumberFormat="1" applyFont="1" applyFill="1" applyAlignment="1">
      <alignment horizontal="center"/>
    </xf>
    <xf numFmtId="176" fontId="24" fillId="20" borderId="0" xfId="61" applyNumberFormat="1" applyFont="1" applyFill="1" applyBorder="1" applyAlignment="1"/>
    <xf numFmtId="43" fontId="56" fillId="20" borderId="0" xfId="59" applyFont="1" applyFill="1" applyBorder="1" applyAlignment="1"/>
    <xf numFmtId="49" fontId="17" fillId="23" borderId="0" xfId="81" applyNumberFormat="1" applyFont="1" applyFill="1" applyAlignment="1">
      <alignment horizontal="left"/>
    </xf>
    <xf numFmtId="1" fontId="17" fillId="23" borderId="0" xfId="81" applyNumberFormat="1" applyFont="1" applyFill="1" applyAlignment="1">
      <alignment horizontal="center"/>
    </xf>
    <xf numFmtId="176" fontId="24" fillId="23" borderId="0" xfId="61" applyNumberFormat="1" applyFont="1" applyFill="1" applyBorder="1" applyAlignment="1"/>
    <xf numFmtId="43" fontId="56" fillId="23" borderId="0" xfId="59" applyFont="1" applyFill="1" applyBorder="1" applyAlignment="1"/>
    <xf numFmtId="0" fontId="17" fillId="23" borderId="0" xfId="81" applyFont="1" applyFill="1" applyAlignment="1">
      <alignment wrapText="1"/>
    </xf>
    <xf numFmtId="43" fontId="130" fillId="23" borderId="0" xfId="59" applyFont="1" applyFill="1" applyBorder="1" applyAlignment="1"/>
    <xf numFmtId="0" fontId="41" fillId="23" borderId="0" xfId="81" applyFont="1" applyFill="1" applyAlignment="1">
      <alignment horizontal="left"/>
    </xf>
    <xf numFmtId="173" fontId="67" fillId="0" borderId="0" xfId="0" applyFont="1" applyAlignment="1">
      <alignment horizontal="center" vertical="top"/>
    </xf>
    <xf numFmtId="191" fontId="46" fillId="0" borderId="0" xfId="59" applyNumberFormat="1" applyFont="1" applyFill="1"/>
    <xf numFmtId="176" fontId="46" fillId="0" borderId="0" xfId="59" applyNumberFormat="1" applyFont="1" applyAlignment="1">
      <alignment vertical="center"/>
    </xf>
    <xf numFmtId="176" fontId="46" fillId="0" borderId="25" xfId="59" applyNumberFormat="1" applyFont="1" applyFill="1" applyBorder="1" applyAlignment="1"/>
    <xf numFmtId="37" fontId="100" fillId="0" borderId="0" xfId="0" applyNumberFormat="1" applyFont="1"/>
    <xf numFmtId="173" fontId="46" fillId="0" borderId="0" xfId="142" applyFont="1"/>
    <xf numFmtId="176" fontId="100" fillId="0" borderId="18" xfId="59" applyNumberFormat="1" applyFont="1" applyFill="1" applyBorder="1" applyAlignment="1"/>
    <xf numFmtId="3" fontId="47" fillId="0" borderId="0" xfId="0" applyNumberFormat="1" applyFont="1"/>
    <xf numFmtId="3" fontId="46" fillId="0" borderId="0" xfId="0" quotePrefix="1" applyNumberFormat="1" applyFont="1"/>
    <xf numFmtId="171" fontId="100" fillId="20" borderId="0" xfId="85" applyNumberFormat="1" applyFont="1" applyFill="1" applyBorder="1" applyProtection="1">
      <protection locked="0"/>
    </xf>
    <xf numFmtId="0" fontId="115" fillId="0" borderId="0" xfId="160" applyFont="1" applyAlignment="1">
      <alignment vertical="top"/>
    </xf>
    <xf numFmtId="49" fontId="47" fillId="0" borderId="11" xfId="157" applyNumberFormat="1" applyFont="1" applyFill="1" applyBorder="1" applyAlignment="1">
      <alignment horizontal="center" wrapText="1"/>
    </xf>
    <xf numFmtId="176" fontId="47" fillId="0" borderId="11" xfId="157" applyNumberFormat="1" applyFont="1" applyFill="1" applyBorder="1" applyAlignment="1">
      <alignment horizontal="center" wrapText="1"/>
    </xf>
    <xf numFmtId="0" fontId="46" fillId="0" borderId="0" xfId="158" applyFont="1" applyAlignment="1">
      <alignment horizontal="left"/>
    </xf>
    <xf numFmtId="173" fontId="46" fillId="0" borderId="29" xfId="0" applyFont="1" applyBorder="1"/>
    <xf numFmtId="43" fontId="47" fillId="0" borderId="11" xfId="59" applyFont="1" applyBorder="1" applyAlignment="1">
      <alignment horizontal="center" wrapText="1"/>
    </xf>
    <xf numFmtId="181" fontId="46" fillId="0" borderId="0" xfId="59" applyNumberFormat="1" applyFont="1" applyFill="1" applyAlignment="1">
      <alignment horizontal="right"/>
    </xf>
    <xf numFmtId="43" fontId="46" fillId="0" borderId="0" xfId="59" applyFont="1" applyAlignment="1">
      <alignment horizontal="center" vertical="center"/>
    </xf>
    <xf numFmtId="43" fontId="46" fillId="0" borderId="0" xfId="59" applyFont="1" applyAlignment="1">
      <alignment horizontal="left"/>
    </xf>
    <xf numFmtId="176" fontId="24" fillId="0" borderId="2" xfId="59" applyNumberFormat="1" applyFont="1" applyFill="1" applyBorder="1"/>
    <xf numFmtId="176" fontId="47" fillId="0" borderId="38" xfId="59" applyNumberFormat="1" applyFont="1" applyFill="1" applyBorder="1" applyAlignment="1">
      <alignment horizontal="center"/>
    </xf>
    <xf numFmtId="176" fontId="47" fillId="0" borderId="16" xfId="59" applyNumberFormat="1" applyFont="1" applyFill="1" applyBorder="1" applyAlignment="1"/>
    <xf numFmtId="176" fontId="47" fillId="0" borderId="0" xfId="59" applyNumberFormat="1" applyFont="1" applyFill="1" applyBorder="1" applyAlignment="1"/>
    <xf numFmtId="176" fontId="107" fillId="0" borderId="0" xfId="157" applyNumberFormat="1" applyFont="1" applyFill="1"/>
    <xf numFmtId="180" fontId="46" fillId="0" borderId="0" xfId="161" applyNumberFormat="1" applyFont="1" applyFill="1" applyAlignment="1">
      <alignment horizontal="left"/>
    </xf>
    <xf numFmtId="180" fontId="127" fillId="0" borderId="0" xfId="161" applyNumberFormat="1" applyFont="1" applyFill="1" applyAlignment="1">
      <alignment horizontal="left"/>
    </xf>
    <xf numFmtId="176" fontId="47" fillId="0" borderId="11" xfId="59" applyNumberFormat="1" applyFont="1" applyFill="1" applyBorder="1" applyAlignment="1">
      <alignment horizontal="center" wrapText="1"/>
    </xf>
    <xf numFmtId="176" fontId="46" fillId="0" borderId="29" xfId="59" applyNumberFormat="1" applyFont="1" applyFill="1" applyBorder="1"/>
    <xf numFmtId="176" fontId="46" fillId="0" borderId="0" xfId="59" applyNumberFormat="1" applyFont="1" applyFill="1" applyAlignment="1">
      <alignment horizontal="center"/>
    </xf>
    <xf numFmtId="176" fontId="46" fillId="0" borderId="0" xfId="59" applyNumberFormat="1" applyFont="1" applyFill="1" applyBorder="1" applyAlignment="1">
      <alignment horizontal="center" vertical="center"/>
    </xf>
    <xf numFmtId="176" fontId="46" fillId="0" borderId="11" xfId="59" applyNumberFormat="1" applyFont="1" applyFill="1" applyBorder="1" applyAlignment="1">
      <alignment horizontal="center" vertical="center"/>
    </xf>
    <xf numFmtId="176" fontId="46" fillId="0" borderId="0" xfId="59" applyNumberFormat="1" applyFont="1" applyFill="1" applyBorder="1"/>
    <xf numFmtId="176" fontId="47" fillId="0" borderId="11" xfId="59" applyNumberFormat="1" applyFont="1" applyFill="1" applyBorder="1"/>
    <xf numFmtId="176" fontId="46" fillId="0" borderId="17" xfId="59" applyNumberFormat="1" applyFont="1" applyBorder="1" applyAlignment="1"/>
    <xf numFmtId="0" fontId="48" fillId="0" borderId="11" xfId="0" applyNumberFormat="1" applyFont="1" applyBorder="1" applyAlignment="1">
      <alignment horizontal="center" vertical="center"/>
    </xf>
    <xf numFmtId="173" fontId="47" fillId="0" borderId="11" xfId="0" applyFont="1" applyBorder="1"/>
    <xf numFmtId="173" fontId="56" fillId="0" borderId="0" xfId="0" applyFont="1"/>
    <xf numFmtId="173" fontId="131" fillId="0" borderId="18" xfId="0" applyFont="1" applyBorder="1"/>
    <xf numFmtId="3" fontId="24" fillId="0" borderId="0" xfId="167" applyNumberFormat="1" applyFont="1" applyAlignment="1">
      <alignment horizontal="right"/>
    </xf>
    <xf numFmtId="3" fontId="24" fillId="0" borderId="0" xfId="167" applyNumberFormat="1" applyFont="1"/>
    <xf numFmtId="0" fontId="47" fillId="0" borderId="0" xfId="156" quotePrefix="1" applyFont="1" applyAlignment="1">
      <alignment horizontal="center" wrapText="1"/>
    </xf>
    <xf numFmtId="176" fontId="47" fillId="0" borderId="11" xfId="157" applyNumberFormat="1" applyFont="1" applyFill="1" applyBorder="1" applyAlignment="1">
      <alignment horizontal="left" wrapText="1"/>
    </xf>
    <xf numFmtId="176" fontId="47" fillId="0" borderId="0" xfId="157" applyNumberFormat="1" applyFont="1" applyFill="1" applyBorder="1" applyAlignment="1">
      <alignment horizontal="left" wrapText="1"/>
    </xf>
    <xf numFmtId="176" fontId="48" fillId="0" borderId="11" xfId="59" applyNumberFormat="1" applyFont="1" applyFill="1" applyBorder="1" applyAlignment="1">
      <alignment horizontal="center" vertical="center"/>
    </xf>
    <xf numFmtId="10" fontId="46" fillId="0" borderId="0" xfId="85" applyNumberFormat="1" applyFont="1" applyFill="1" applyAlignment="1">
      <alignment horizontal="center"/>
    </xf>
    <xf numFmtId="176" fontId="47" fillId="0" borderId="0" xfId="157" applyNumberFormat="1" applyFont="1" applyBorder="1" applyAlignment="1">
      <alignment horizontal="center" wrapText="1"/>
    </xf>
    <xf numFmtId="49" fontId="46" fillId="0" borderId="0" xfId="157" quotePrefix="1" applyNumberFormat="1" applyFont="1" applyFill="1" applyBorder="1" applyAlignment="1">
      <alignment horizontal="center" wrapText="1"/>
    </xf>
    <xf numFmtId="0" fontId="116" fillId="0" borderId="0" xfId="160" applyFont="1" applyAlignment="1">
      <alignment vertical="top"/>
    </xf>
    <xf numFmtId="176" fontId="46" fillId="20" borderId="25" xfId="59" applyNumberFormat="1" applyFont="1" applyFill="1" applyBorder="1" applyAlignment="1"/>
    <xf numFmtId="0" fontId="47" fillId="0" borderId="0" xfId="157" applyNumberFormat="1" applyFont="1" applyFill="1" applyBorder="1" applyAlignment="1">
      <alignment vertical="top"/>
    </xf>
    <xf numFmtId="0" fontId="115" fillId="20" borderId="0" xfId="160" applyFont="1" applyFill="1" applyAlignment="1">
      <alignment horizontal="center"/>
    </xf>
    <xf numFmtId="164" fontId="46" fillId="0" borderId="0" xfId="0" applyNumberFormat="1" applyFont="1" applyAlignment="1">
      <alignment horizontal="left" wrapText="1"/>
    </xf>
    <xf numFmtId="0" fontId="46" fillId="0" borderId="6" xfId="0" applyNumberFormat="1" applyFont="1" applyBorder="1"/>
    <xf numFmtId="0" fontId="46" fillId="0" borderId="25" xfId="0" applyNumberFormat="1" applyFont="1" applyBorder="1"/>
    <xf numFmtId="49" fontId="46" fillId="0" borderId="0" xfId="0" applyNumberFormat="1" applyFont="1"/>
    <xf numFmtId="49" fontId="46" fillId="0" borderId="0" xfId="0" applyNumberFormat="1" applyFont="1" applyAlignment="1">
      <alignment horizontal="center"/>
    </xf>
    <xf numFmtId="3" fontId="46" fillId="0" borderId="0" xfId="0" applyNumberFormat="1" applyFont="1" applyAlignment="1">
      <alignment vertical="top"/>
    </xf>
    <xf numFmtId="0" fontId="46" fillId="0" borderId="6" xfId="0" applyNumberFormat="1" applyFont="1" applyBorder="1" applyAlignment="1">
      <alignment horizontal="center"/>
    </xf>
    <xf numFmtId="173" fontId="46" fillId="0" borderId="0" xfId="0" applyFont="1" applyAlignment="1">
      <alignment horizontal="center" vertical="top" wrapText="1"/>
    </xf>
    <xf numFmtId="173" fontId="46" fillId="0" borderId="0" xfId="0" applyFont="1" applyAlignment="1">
      <alignment horizontal="center" vertical="top"/>
    </xf>
    <xf numFmtId="0" fontId="2" fillId="0" borderId="0" xfId="147" applyFont="1"/>
    <xf numFmtId="49" fontId="47" fillId="0" borderId="11" xfId="157" applyNumberFormat="1" applyFont="1" applyFill="1" applyBorder="1" applyAlignment="1">
      <alignment horizontal="left" wrapText="1"/>
    </xf>
    <xf numFmtId="180" fontId="47" fillId="0" borderId="11" xfId="59" applyNumberFormat="1" applyFont="1" applyFill="1" applyBorder="1" applyAlignment="1">
      <alignment horizontal="center" wrapText="1"/>
    </xf>
    <xf numFmtId="184" fontId="46" fillId="0" borderId="0" xfId="59" applyNumberFormat="1" applyFont="1" applyFill="1"/>
    <xf numFmtId="0" fontId="115" fillId="0" borderId="0" xfId="160" applyFont="1" applyAlignment="1">
      <alignment vertical="top" wrapText="1"/>
    </xf>
    <xf numFmtId="166" fontId="46" fillId="0" borderId="0" xfId="0" applyNumberFormat="1" applyFont="1"/>
    <xf numFmtId="170" fontId="45" fillId="0" borderId="0" xfId="0" applyNumberFormat="1" applyFont="1" applyAlignment="1">
      <alignment horizontal="left"/>
    </xf>
    <xf numFmtId="14" fontId="24" fillId="0" borderId="0" xfId="151" applyNumberFormat="1" applyFont="1" applyAlignment="1">
      <alignment horizontal="center"/>
    </xf>
    <xf numFmtId="176" fontId="24" fillId="20" borderId="0" xfId="138" applyNumberFormat="1" applyFont="1" applyFill="1" applyBorder="1"/>
    <xf numFmtId="0" fontId="24" fillId="20" borderId="0" xfId="136" applyFont="1" applyFill="1"/>
    <xf numFmtId="0" fontId="24" fillId="0" borderId="0" xfId="136" applyFont="1" applyAlignment="1">
      <alignment horizontal="center" wrapText="1"/>
    </xf>
    <xf numFmtId="192" fontId="115" fillId="0" borderId="0" xfId="160" applyNumberFormat="1" applyFont="1"/>
    <xf numFmtId="192" fontId="107" fillId="0" borderId="0" xfId="160" applyNumberFormat="1" applyFont="1"/>
    <xf numFmtId="10" fontId="24" fillId="20" borderId="0" xfId="151" applyNumberFormat="1" applyFont="1" applyFill="1"/>
    <xf numFmtId="173" fontId="124" fillId="0" borderId="0" xfId="0" applyFont="1" applyAlignment="1">
      <alignment horizontal="right"/>
    </xf>
    <xf numFmtId="173" fontId="0" fillId="21" borderId="14" xfId="0" applyFill="1" applyBorder="1"/>
    <xf numFmtId="0" fontId="46" fillId="0" borderId="23" xfId="0" applyNumberFormat="1" applyFont="1" applyBorder="1" applyAlignment="1">
      <alignment horizontal="center"/>
    </xf>
    <xf numFmtId="176" fontId="24" fillId="20" borderId="0" xfId="59" applyNumberFormat="1" applyFont="1" applyFill="1" applyBorder="1" applyAlignment="1"/>
    <xf numFmtId="176" fontId="24" fillId="0" borderId="0" xfId="59" applyNumberFormat="1" applyFont="1" applyFill="1" applyBorder="1" applyAlignment="1">
      <alignment horizontal="center"/>
    </xf>
    <xf numFmtId="176" fontId="104" fillId="0" borderId="0" xfId="59" applyNumberFormat="1" applyFont="1" applyFill="1" applyBorder="1" applyAlignment="1">
      <alignment horizontal="center" vertical="center"/>
    </xf>
    <xf numFmtId="176" fontId="107" fillId="0" borderId="0" xfId="156" applyNumberFormat="1" applyFont="1"/>
    <xf numFmtId="1" fontId="24" fillId="20" borderId="0" xfId="151" applyNumberFormat="1" applyFont="1" applyFill="1" applyAlignment="1">
      <alignment horizontal="center"/>
    </xf>
    <xf numFmtId="43" fontId="46" fillId="0" borderId="0" xfId="156" applyNumberFormat="1" applyFont="1"/>
    <xf numFmtId="43" fontId="17" fillId="0" borderId="0" xfId="59" applyFont="1" applyFill="1" applyBorder="1" applyAlignment="1">
      <alignment vertical="top" wrapText="1"/>
    </xf>
    <xf numFmtId="10" fontId="100" fillId="0" borderId="0" xfId="85" applyNumberFormat="1" applyFont="1"/>
    <xf numFmtId="173" fontId="134" fillId="0" borderId="0" xfId="0" applyFont="1"/>
    <xf numFmtId="10" fontId="100" fillId="0" borderId="0" xfId="85" applyNumberFormat="1" applyFont="1" applyFill="1"/>
    <xf numFmtId="42" fontId="46" fillId="0" borderId="0" xfId="0" applyNumberFormat="1" applyFont="1"/>
    <xf numFmtId="171" fontId="100" fillId="0" borderId="0" xfId="85" applyNumberFormat="1" applyFont="1" applyFill="1"/>
    <xf numFmtId="171" fontId="100" fillId="0" borderId="0" xfId="0" applyNumberFormat="1" applyFont="1"/>
    <xf numFmtId="43" fontId="46" fillId="0" borderId="0" xfId="59" applyFont="1" applyFill="1"/>
    <xf numFmtId="43" fontId="47" fillId="0" borderId="0" xfId="59" applyFont="1" applyFill="1"/>
    <xf numFmtId="176" fontId="47" fillId="0" borderId="0" xfId="157" applyNumberFormat="1" applyFont="1" applyFill="1" applyAlignment="1">
      <alignment horizontal="center" wrapText="1"/>
    </xf>
    <xf numFmtId="173" fontId="100" fillId="0" borderId="0" xfId="0" applyFont="1"/>
    <xf numFmtId="0" fontId="46" fillId="0" borderId="0" xfId="0" applyNumberFormat="1" applyFont="1" applyAlignment="1">
      <alignment vertical="top" wrapText="1"/>
    </xf>
    <xf numFmtId="173" fontId="100" fillId="0" borderId="0" xfId="0" applyFont="1" applyAlignment="1">
      <alignment horizontal="left" vertical="top" wrapText="1"/>
    </xf>
    <xf numFmtId="0" fontId="46" fillId="0" borderId="0" xfId="0" applyNumberFormat="1" applyFont="1" applyAlignment="1">
      <alignment horizontal="left" vertical="top" wrapText="1"/>
    </xf>
    <xf numFmtId="0" fontId="100" fillId="0" borderId="0" xfId="0" applyNumberFormat="1" applyFont="1" applyAlignment="1">
      <alignment horizontal="left" vertical="top" wrapText="1"/>
    </xf>
    <xf numFmtId="0" fontId="100" fillId="0" borderId="0" xfId="0" applyNumberFormat="1" applyFont="1" applyAlignment="1">
      <alignment horizontal="left" wrapText="1"/>
    </xf>
    <xf numFmtId="0" fontId="100" fillId="0" borderId="0" xfId="0" applyNumberFormat="1" applyFont="1" applyAlignment="1">
      <alignment vertical="top" wrapText="1"/>
    </xf>
    <xf numFmtId="0" fontId="105" fillId="0" borderId="0" xfId="0" applyNumberFormat="1" applyFont="1" applyAlignment="1">
      <alignment horizontal="center"/>
    </xf>
    <xf numFmtId="0" fontId="46" fillId="0" borderId="0" xfId="82" applyFont="1" applyAlignment="1">
      <alignment horizontal="left" wrapText="1"/>
    </xf>
    <xf numFmtId="0" fontId="46" fillId="0" borderId="0" xfId="82" applyFont="1" applyAlignment="1">
      <alignment horizontal="left"/>
    </xf>
    <xf numFmtId="0" fontId="47" fillId="0" borderId="0" xfId="82" applyFont="1" applyAlignment="1">
      <alignment horizontal="center"/>
    </xf>
    <xf numFmtId="49" fontId="16" fillId="0" borderId="0" xfId="132" applyNumberFormat="1" applyFont="1" applyAlignment="1">
      <alignment horizontal="center"/>
    </xf>
    <xf numFmtId="0" fontId="16" fillId="0" borderId="0" xfId="132" applyFont="1" applyAlignment="1">
      <alignment horizontal="center"/>
    </xf>
    <xf numFmtId="0" fontId="79" fillId="0" borderId="0" xfId="132" applyFont="1" applyAlignment="1">
      <alignment horizontal="center"/>
    </xf>
    <xf numFmtId="0" fontId="24" fillId="0" borderId="0" xfId="132" applyFont="1" applyAlignment="1">
      <alignment horizontal="left" wrapText="1"/>
    </xf>
    <xf numFmtId="0" fontId="46" fillId="0" borderId="0" xfId="156" applyFont="1" applyAlignment="1">
      <alignment horizontal="left" vertical="top" wrapText="1"/>
    </xf>
    <xf numFmtId="0" fontId="92" fillId="20" borderId="27" xfId="147" applyFont="1" applyFill="1" applyBorder="1" applyAlignment="1">
      <alignment horizontal="center"/>
    </xf>
    <xf numFmtId="0" fontId="92" fillId="20" borderId="28" xfId="147" applyFont="1" applyFill="1" applyBorder="1" applyAlignment="1">
      <alignment horizontal="center"/>
    </xf>
    <xf numFmtId="0" fontId="8" fillId="20" borderId="0" xfId="147" applyFont="1" applyFill="1" applyAlignment="1">
      <alignment horizontal="center" wrapText="1"/>
    </xf>
    <xf numFmtId="0" fontId="12" fillId="20" borderId="0" xfId="147" applyFill="1" applyAlignment="1">
      <alignment horizontal="center" wrapText="1"/>
    </xf>
    <xf numFmtId="0" fontId="3" fillId="0" borderId="0" xfId="147" applyFont="1" applyAlignment="1">
      <alignment horizontal="left" wrapText="1"/>
    </xf>
    <xf numFmtId="0" fontId="7" fillId="0" borderId="0" xfId="147" applyFont="1" applyAlignment="1">
      <alignment horizontal="left" wrapText="1"/>
    </xf>
    <xf numFmtId="0" fontId="1" fillId="20" borderId="0" xfId="147" applyFont="1" applyFill="1" applyAlignment="1">
      <alignment horizontal="center" wrapText="1"/>
    </xf>
    <xf numFmtId="0" fontId="10" fillId="0" borderId="0" xfId="147" applyFont="1" applyAlignment="1">
      <alignment horizontal="left" wrapText="1"/>
    </xf>
    <xf numFmtId="0" fontId="46" fillId="0" borderId="0" xfId="156" applyFont="1" applyAlignment="1">
      <alignment horizontal="left" vertical="top"/>
    </xf>
    <xf numFmtId="0" fontId="46" fillId="0" borderId="0" xfId="156" applyFont="1" applyAlignment="1">
      <alignment horizontal="left" wrapText="1"/>
    </xf>
    <xf numFmtId="0" fontId="17" fillId="0" borderId="0" xfId="129" applyFont="1" applyAlignment="1">
      <alignment horizontal="left" vertical="top" wrapText="1"/>
    </xf>
    <xf numFmtId="0" fontId="77" fillId="0" borderId="0" xfId="129" applyFont="1" applyAlignment="1">
      <alignment horizontal="left" vertical="top" wrapText="1"/>
    </xf>
    <xf numFmtId="0" fontId="24" fillId="0" borderId="0" xfId="136" applyFont="1" applyAlignment="1">
      <alignment horizontal="center"/>
    </xf>
    <xf numFmtId="173" fontId="24" fillId="0" borderId="0" xfId="0" applyFont="1" applyAlignment="1">
      <alignment horizontal="left"/>
    </xf>
    <xf numFmtId="173" fontId="19" fillId="0" borderId="0" xfId="0" applyFont="1" applyAlignment="1">
      <alignment horizontal="center"/>
    </xf>
    <xf numFmtId="3" fontId="24" fillId="0" borderId="0" xfId="0" applyNumberFormat="1" applyFont="1" applyAlignment="1" applyProtection="1">
      <alignment horizontal="center"/>
      <protection locked="0"/>
    </xf>
    <xf numFmtId="49" fontId="19" fillId="0" borderId="0" xfId="0" applyNumberFormat="1" applyFont="1" applyAlignment="1">
      <alignment horizontal="center"/>
    </xf>
    <xf numFmtId="3" fontId="24" fillId="0" borderId="0" xfId="0" applyNumberFormat="1" applyFont="1" applyAlignment="1">
      <alignment horizontal="center"/>
    </xf>
    <xf numFmtId="173" fontId="24" fillId="0" borderId="0" xfId="0" applyFont="1" applyAlignment="1">
      <alignment horizontal="left" wrapText="1"/>
    </xf>
    <xf numFmtId="173" fontId="24" fillId="0" borderId="15" xfId="0" applyFont="1" applyBorder="1" applyAlignment="1">
      <alignment horizontal="center"/>
    </xf>
    <xf numFmtId="173" fontId="24" fillId="0" borderId="29" xfId="0" applyFont="1" applyBorder="1" applyAlignment="1">
      <alignment horizontal="center"/>
    </xf>
    <xf numFmtId="173" fontId="24" fillId="0" borderId="20" xfId="0" applyFont="1" applyBorder="1" applyAlignment="1">
      <alignment horizontal="center"/>
    </xf>
    <xf numFmtId="0" fontId="129" fillId="0" borderId="0" xfId="0" applyNumberFormat="1" applyFont="1" applyAlignment="1">
      <alignment horizontal="left"/>
    </xf>
    <xf numFmtId="173" fontId="47" fillId="0" borderId="0" xfId="0" applyFont="1" applyAlignment="1">
      <alignment horizontal="center"/>
    </xf>
    <xf numFmtId="3" fontId="46" fillId="0" borderId="0" xfId="0" applyNumberFormat="1" applyFont="1" applyAlignment="1" applyProtection="1">
      <alignment horizontal="center"/>
      <protection locked="0"/>
    </xf>
    <xf numFmtId="0" fontId="24" fillId="0" borderId="0" xfId="0" applyNumberFormat="1" applyFont="1" applyAlignment="1" applyProtection="1">
      <alignment horizontal="center"/>
      <protection locked="0"/>
    </xf>
    <xf numFmtId="173" fontId="129" fillId="0" borderId="16" xfId="0" applyFont="1" applyBorder="1" applyAlignment="1">
      <alignment horizontal="left" vertical="top" wrapText="1"/>
    </xf>
    <xf numFmtId="173" fontId="129" fillId="0" borderId="0" xfId="0" applyFont="1" applyAlignment="1">
      <alignment horizontal="left" vertical="top" wrapText="1"/>
    </xf>
    <xf numFmtId="0" fontId="115" fillId="0" borderId="0" xfId="160" applyFont="1" applyAlignment="1">
      <alignment horizontal="left" vertical="top" wrapText="1"/>
    </xf>
    <xf numFmtId="0" fontId="46" fillId="0" borderId="0" xfId="160" applyFont="1" applyAlignment="1">
      <alignment horizontal="left" vertical="top" wrapText="1"/>
    </xf>
    <xf numFmtId="0" fontId="46" fillId="0" borderId="0" xfId="156" applyFont="1" applyAlignment="1">
      <alignment horizontal="left"/>
    </xf>
    <xf numFmtId="0" fontId="115" fillId="0" borderId="0" xfId="160" applyFont="1" applyAlignment="1">
      <alignment horizontal="left" wrapText="1"/>
    </xf>
    <xf numFmtId="173" fontId="46" fillId="0" borderId="16" xfId="0" applyFont="1" applyBorder="1" applyAlignment="1">
      <alignment horizontal="center"/>
    </xf>
    <xf numFmtId="173" fontId="46" fillId="0" borderId="0" xfId="0" applyFont="1" applyAlignment="1">
      <alignment horizontal="center"/>
    </xf>
    <xf numFmtId="173" fontId="46" fillId="0" borderId="21" xfId="0" applyFont="1" applyBorder="1" applyAlignment="1">
      <alignment horizontal="center"/>
    </xf>
    <xf numFmtId="176" fontId="46" fillId="0" borderId="16" xfId="59" applyNumberFormat="1" applyFont="1" applyBorder="1" applyAlignment="1">
      <alignment horizontal="center" vertical="center"/>
    </xf>
    <xf numFmtId="176" fontId="46" fillId="0" borderId="0" xfId="59" applyNumberFormat="1" applyFont="1" applyBorder="1" applyAlignment="1">
      <alignment horizontal="center" vertical="center"/>
    </xf>
    <xf numFmtId="176" fontId="46" fillId="0" borderId="21" xfId="59" applyNumberFormat="1" applyFont="1" applyBorder="1" applyAlignment="1">
      <alignment horizontal="center" vertical="center"/>
    </xf>
    <xf numFmtId="173" fontId="46" fillId="0" borderId="0" xfId="0" applyFont="1" applyAlignment="1">
      <alignment horizontal="left" wrapText="1"/>
    </xf>
    <xf numFmtId="173" fontId="46" fillId="0" borderId="0" xfId="0" applyFont="1" applyAlignment="1">
      <alignment horizontal="left" vertical="top" wrapText="1"/>
    </xf>
    <xf numFmtId="173" fontId="0" fillId="0" borderId="0" xfId="0" applyAlignment="1">
      <alignment horizontal="center" wrapText="1"/>
    </xf>
    <xf numFmtId="173" fontId="17" fillId="0" borderId="0" xfId="0" applyFont="1" applyAlignment="1">
      <alignment horizontal="left" vertical="center" wrapText="1"/>
    </xf>
    <xf numFmtId="0" fontId="115" fillId="0" borderId="0" xfId="160" applyFont="1" applyFill="1" applyAlignment="1">
      <alignment horizontal="center"/>
    </xf>
    <xf numFmtId="180" fontId="46" fillId="0" borderId="0" xfId="59" applyNumberFormat="1" applyFont="1" applyFill="1" applyAlignment="1">
      <alignment horizontal="left"/>
    </xf>
    <xf numFmtId="180" fontId="107" fillId="0" borderId="0" xfId="161" applyNumberFormat="1" applyFont="1" applyFill="1" applyAlignment="1">
      <alignment horizontal="left"/>
    </xf>
    <xf numFmtId="173" fontId="46" fillId="0" borderId="0" xfId="0" applyFont="1" applyFill="1"/>
    <xf numFmtId="0" fontId="46" fillId="0" borderId="0" xfId="156" applyFont="1" applyFill="1" applyAlignment="1">
      <alignment horizontal="center"/>
    </xf>
  </cellXfs>
  <cellStyles count="16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00A" xfId="26" xr:uid="{00000000-0005-0000-0000-000019000000}"/>
    <cellStyle name="C00B" xfId="27" xr:uid="{00000000-0005-0000-0000-00001A000000}"/>
    <cellStyle name="C00L" xfId="28" xr:uid="{00000000-0005-0000-0000-00001B000000}"/>
    <cellStyle name="C01A" xfId="29" xr:uid="{00000000-0005-0000-0000-00001C000000}"/>
    <cellStyle name="C01B" xfId="30" xr:uid="{00000000-0005-0000-0000-00001D000000}"/>
    <cellStyle name="C01H" xfId="31" xr:uid="{00000000-0005-0000-0000-00001E000000}"/>
    <cellStyle name="C01L" xfId="32" xr:uid="{00000000-0005-0000-0000-00001F000000}"/>
    <cellStyle name="C02A" xfId="33" xr:uid="{00000000-0005-0000-0000-000020000000}"/>
    <cellStyle name="C02B" xfId="34" xr:uid="{00000000-0005-0000-0000-000021000000}"/>
    <cellStyle name="C02H" xfId="35" xr:uid="{00000000-0005-0000-0000-000022000000}"/>
    <cellStyle name="C02L" xfId="36" xr:uid="{00000000-0005-0000-0000-000023000000}"/>
    <cellStyle name="C03A" xfId="37" xr:uid="{00000000-0005-0000-0000-000024000000}"/>
    <cellStyle name="C03B" xfId="38" xr:uid="{00000000-0005-0000-0000-000025000000}"/>
    <cellStyle name="C03H" xfId="39" xr:uid="{00000000-0005-0000-0000-000026000000}"/>
    <cellStyle name="C03L" xfId="40" xr:uid="{00000000-0005-0000-0000-000027000000}"/>
    <cellStyle name="C04A" xfId="41" xr:uid="{00000000-0005-0000-0000-000028000000}"/>
    <cellStyle name="C04B" xfId="42" xr:uid="{00000000-0005-0000-0000-000029000000}"/>
    <cellStyle name="C04H" xfId="43" xr:uid="{00000000-0005-0000-0000-00002A000000}"/>
    <cellStyle name="C04L" xfId="44" xr:uid="{00000000-0005-0000-0000-00002B000000}"/>
    <cellStyle name="C05A" xfId="45" xr:uid="{00000000-0005-0000-0000-00002C000000}"/>
    <cellStyle name="C05B" xfId="46" xr:uid="{00000000-0005-0000-0000-00002D000000}"/>
    <cellStyle name="C05H" xfId="47" xr:uid="{00000000-0005-0000-0000-00002E000000}"/>
    <cellStyle name="C05L" xfId="48" xr:uid="{00000000-0005-0000-0000-00002F000000}"/>
    <cellStyle name="C06A" xfId="49" xr:uid="{00000000-0005-0000-0000-000030000000}"/>
    <cellStyle name="C06B" xfId="50" xr:uid="{00000000-0005-0000-0000-000031000000}"/>
    <cellStyle name="C06H" xfId="51" xr:uid="{00000000-0005-0000-0000-000032000000}"/>
    <cellStyle name="C06L" xfId="52" xr:uid="{00000000-0005-0000-0000-000033000000}"/>
    <cellStyle name="C07A" xfId="53" xr:uid="{00000000-0005-0000-0000-000034000000}"/>
    <cellStyle name="C07B" xfId="54" xr:uid="{00000000-0005-0000-0000-000035000000}"/>
    <cellStyle name="C07H" xfId="55" xr:uid="{00000000-0005-0000-0000-000036000000}"/>
    <cellStyle name="C07L" xfId="56" xr:uid="{00000000-0005-0000-0000-000037000000}"/>
    <cellStyle name="Calculation" xfId="57" builtinId="22" customBuiltin="1"/>
    <cellStyle name="Check Cell" xfId="58" builtinId="23" customBuiltin="1"/>
    <cellStyle name="Comma" xfId="59" builtinId="3"/>
    <cellStyle name="Comma [0] 2" xfId="159" xr:uid="{00000000-0005-0000-0000-00003B000000}"/>
    <cellStyle name="Comma 10 11" xfId="166" xr:uid="{00000000-0005-0000-0000-00003C000000}"/>
    <cellStyle name="Comma 2" xfId="60" xr:uid="{00000000-0005-0000-0000-00003D000000}"/>
    <cellStyle name="Comma 2 2" xfId="61" xr:uid="{00000000-0005-0000-0000-00003E000000}"/>
    <cellStyle name="Comma 2 3" xfId="135" xr:uid="{00000000-0005-0000-0000-00003F000000}"/>
    <cellStyle name="Comma 20" xfId="145" xr:uid="{00000000-0005-0000-0000-000040000000}"/>
    <cellStyle name="Comma 21" xfId="146" xr:uid="{00000000-0005-0000-0000-000041000000}"/>
    <cellStyle name="Comma 3" xfId="133" xr:uid="{00000000-0005-0000-0000-000042000000}"/>
    <cellStyle name="Comma 3 2" xfId="138" xr:uid="{00000000-0005-0000-0000-000043000000}"/>
    <cellStyle name="Comma 3 3" xfId="165" xr:uid="{00000000-0005-0000-0000-000044000000}"/>
    <cellStyle name="Comma 4" xfId="139" xr:uid="{00000000-0005-0000-0000-000045000000}"/>
    <cellStyle name="Comma 5" xfId="148" xr:uid="{00000000-0005-0000-0000-000046000000}"/>
    <cellStyle name="Comma 6" xfId="150" xr:uid="{00000000-0005-0000-0000-000047000000}"/>
    <cellStyle name="Comma 7" xfId="157" xr:uid="{00000000-0005-0000-0000-000048000000}"/>
    <cellStyle name="Comma 8" xfId="161" xr:uid="{00000000-0005-0000-0000-000049000000}"/>
    <cellStyle name="Comma 9" xfId="154" xr:uid="{00000000-0005-0000-0000-00004A000000}"/>
    <cellStyle name="Comma0" xfId="62" xr:uid="{00000000-0005-0000-0000-00004B000000}"/>
    <cellStyle name="Currency" xfId="63" builtinId="4"/>
    <cellStyle name="Currency 2" xfId="131" xr:uid="{00000000-0005-0000-0000-00004D000000}"/>
    <cellStyle name="Currency 2 2" xfId="141" xr:uid="{00000000-0005-0000-0000-00004E000000}"/>
    <cellStyle name="Currency 3" xfId="137" xr:uid="{00000000-0005-0000-0000-00004F000000}"/>
    <cellStyle name="Currency 4" xfId="163" xr:uid="{00000000-0005-0000-0000-000050000000}"/>
    <cellStyle name="Currency0" xfId="64" xr:uid="{00000000-0005-0000-0000-000051000000}"/>
    <cellStyle name="Date" xfId="65" xr:uid="{00000000-0005-0000-0000-000052000000}"/>
    <cellStyle name="Explanatory Text" xfId="66" builtinId="53" customBuiltin="1"/>
    <cellStyle name="Fixed" xfId="67" xr:uid="{00000000-0005-0000-0000-000054000000}"/>
    <cellStyle name="Good" xfId="68" builtinId="26" customBuiltin="1"/>
    <cellStyle name="Heading 1" xfId="69" builtinId="16" customBuiltin="1"/>
    <cellStyle name="Heading 2" xfId="70" builtinId="17" customBuiltin="1"/>
    <cellStyle name="Heading 3" xfId="71" builtinId="18" customBuiltin="1"/>
    <cellStyle name="Heading 4" xfId="72" builtinId="19" customBuiltin="1"/>
    <cellStyle name="Heading1" xfId="73" xr:uid="{00000000-0005-0000-0000-00005A000000}"/>
    <cellStyle name="Heading2" xfId="74" xr:uid="{00000000-0005-0000-0000-00005B000000}"/>
    <cellStyle name="Input" xfId="75" builtinId="20" customBuiltin="1"/>
    <cellStyle name="Linked Cell" xfId="76" builtinId="24" customBuiltin="1"/>
    <cellStyle name="Neutral" xfId="77" builtinId="28" customBuiltin="1"/>
    <cellStyle name="Normal" xfId="0" builtinId="0"/>
    <cellStyle name="Normal 10" xfId="153" xr:uid="{00000000-0005-0000-0000-000060000000}"/>
    <cellStyle name="Normal 10 2" xfId="143" xr:uid="{00000000-0005-0000-0000-000061000000}"/>
    <cellStyle name="Normal 11" xfId="160" xr:uid="{00000000-0005-0000-0000-000062000000}"/>
    <cellStyle name="Normal 2" xfId="78" xr:uid="{00000000-0005-0000-0000-000063000000}"/>
    <cellStyle name="Normal 2 2" xfId="79" xr:uid="{00000000-0005-0000-0000-000064000000}"/>
    <cellStyle name="Normal 2 3" xfId="155" xr:uid="{00000000-0005-0000-0000-000065000000}"/>
    <cellStyle name="Normal 20" xfId="144" xr:uid="{00000000-0005-0000-0000-000066000000}"/>
    <cellStyle name="Normal 3" xfId="80" xr:uid="{00000000-0005-0000-0000-000067000000}"/>
    <cellStyle name="Normal 3 2" xfId="81" xr:uid="{00000000-0005-0000-0000-000068000000}"/>
    <cellStyle name="Normal 4" xfId="129" xr:uid="{00000000-0005-0000-0000-000069000000}"/>
    <cellStyle name="Normal 4 2" xfId="156" xr:uid="{00000000-0005-0000-0000-00006A000000}"/>
    <cellStyle name="Normal 5" xfId="132" xr:uid="{00000000-0005-0000-0000-00006B000000}"/>
    <cellStyle name="Normal 5 60" xfId="164" xr:uid="{00000000-0005-0000-0000-00006C000000}"/>
    <cellStyle name="Normal 6" xfId="136" xr:uid="{00000000-0005-0000-0000-00006D000000}"/>
    <cellStyle name="Normal 6 2" xfId="151" xr:uid="{00000000-0005-0000-0000-00006E000000}"/>
    <cellStyle name="Normal 7" xfId="147" xr:uid="{00000000-0005-0000-0000-00006F000000}"/>
    <cellStyle name="Normal 8" xfId="149" xr:uid="{00000000-0005-0000-0000-000070000000}"/>
    <cellStyle name="Normal 9" xfId="158" xr:uid="{00000000-0005-0000-0000-000071000000}"/>
    <cellStyle name="Normal_21 Exh B" xfId="167" xr:uid="{00000000-0005-0000-0000-000072000000}"/>
    <cellStyle name="Normal_ATSI Attachment H-20A-Appendix A- Schedule 1A_7-29-2010 " xfId="82" xr:uid="{00000000-0005-0000-0000-000073000000}"/>
    <cellStyle name="Normal_Attachment Os for 2002 True-up" xfId="142" xr:uid="{00000000-0005-0000-0000-000074000000}"/>
    <cellStyle name="Note" xfId="83" builtinId="10" customBuiltin="1"/>
    <cellStyle name="Output" xfId="84" builtinId="21" customBuiltin="1"/>
    <cellStyle name="Percent" xfId="85" builtinId="5"/>
    <cellStyle name="Percent 2" xfId="130" xr:uid="{00000000-0005-0000-0000-000078000000}"/>
    <cellStyle name="Percent 2 2" xfId="86" xr:uid="{00000000-0005-0000-0000-000079000000}"/>
    <cellStyle name="Percent 2 2 2" xfId="140" xr:uid="{00000000-0005-0000-0000-00007A000000}"/>
    <cellStyle name="Percent 3" xfId="134" xr:uid="{00000000-0005-0000-0000-00007B000000}"/>
    <cellStyle name="Percent 4" xfId="152" xr:uid="{00000000-0005-0000-0000-00007C000000}"/>
    <cellStyle name="Percent 5" xfId="162" xr:uid="{00000000-0005-0000-0000-00007D000000}"/>
    <cellStyle name="PSChar" xfId="87" xr:uid="{00000000-0005-0000-0000-00007E000000}"/>
    <cellStyle name="PSDate" xfId="88" xr:uid="{00000000-0005-0000-0000-00007F000000}"/>
    <cellStyle name="PSDec" xfId="89" xr:uid="{00000000-0005-0000-0000-000080000000}"/>
    <cellStyle name="PSdesc" xfId="90" xr:uid="{00000000-0005-0000-0000-000081000000}"/>
    <cellStyle name="PSHeading" xfId="91" xr:uid="{00000000-0005-0000-0000-000082000000}"/>
    <cellStyle name="PSInt" xfId="92" xr:uid="{00000000-0005-0000-0000-000083000000}"/>
    <cellStyle name="PSSpacer" xfId="93" xr:uid="{00000000-0005-0000-0000-000084000000}"/>
    <cellStyle name="PStest" xfId="94" xr:uid="{00000000-0005-0000-0000-000085000000}"/>
    <cellStyle name="R00A" xfId="95" xr:uid="{00000000-0005-0000-0000-000086000000}"/>
    <cellStyle name="R00B" xfId="96" xr:uid="{00000000-0005-0000-0000-000087000000}"/>
    <cellStyle name="R00L" xfId="97" xr:uid="{00000000-0005-0000-0000-000088000000}"/>
    <cellStyle name="R01A" xfId="98" xr:uid="{00000000-0005-0000-0000-000089000000}"/>
    <cellStyle name="R01B" xfId="99" xr:uid="{00000000-0005-0000-0000-00008A000000}"/>
    <cellStyle name="R01H" xfId="100" xr:uid="{00000000-0005-0000-0000-00008B000000}"/>
    <cellStyle name="R01L" xfId="101" xr:uid="{00000000-0005-0000-0000-00008C000000}"/>
    <cellStyle name="R02A" xfId="102" xr:uid="{00000000-0005-0000-0000-00008D000000}"/>
    <cellStyle name="R02B" xfId="103" xr:uid="{00000000-0005-0000-0000-00008E000000}"/>
    <cellStyle name="R02H" xfId="104" xr:uid="{00000000-0005-0000-0000-00008F000000}"/>
    <cellStyle name="R02L" xfId="105" xr:uid="{00000000-0005-0000-0000-000090000000}"/>
    <cellStyle name="R03A" xfId="106" xr:uid="{00000000-0005-0000-0000-000091000000}"/>
    <cellStyle name="R03B" xfId="107" xr:uid="{00000000-0005-0000-0000-000092000000}"/>
    <cellStyle name="R03H" xfId="108" xr:uid="{00000000-0005-0000-0000-000093000000}"/>
    <cellStyle name="R03L" xfId="109" xr:uid="{00000000-0005-0000-0000-000094000000}"/>
    <cellStyle name="R04A" xfId="110" xr:uid="{00000000-0005-0000-0000-000095000000}"/>
    <cellStyle name="R04B" xfId="111" xr:uid="{00000000-0005-0000-0000-000096000000}"/>
    <cellStyle name="R04H" xfId="112" xr:uid="{00000000-0005-0000-0000-000097000000}"/>
    <cellStyle name="R04L" xfId="113" xr:uid="{00000000-0005-0000-0000-000098000000}"/>
    <cellStyle name="R05A" xfId="114" xr:uid="{00000000-0005-0000-0000-000099000000}"/>
    <cellStyle name="R05B" xfId="115" xr:uid="{00000000-0005-0000-0000-00009A000000}"/>
    <cellStyle name="R05H" xfId="116" xr:uid="{00000000-0005-0000-0000-00009B000000}"/>
    <cellStyle name="R05L" xfId="117" xr:uid="{00000000-0005-0000-0000-00009C000000}"/>
    <cellStyle name="R06A" xfId="118" xr:uid="{00000000-0005-0000-0000-00009D000000}"/>
    <cellStyle name="R06B" xfId="119" xr:uid="{00000000-0005-0000-0000-00009E000000}"/>
    <cellStyle name="R06H" xfId="120" xr:uid="{00000000-0005-0000-0000-00009F000000}"/>
    <cellStyle name="R06L" xfId="121" xr:uid="{00000000-0005-0000-0000-0000A0000000}"/>
    <cellStyle name="R07A" xfId="122" xr:uid="{00000000-0005-0000-0000-0000A1000000}"/>
    <cellStyle name="R07B" xfId="123" xr:uid="{00000000-0005-0000-0000-0000A2000000}"/>
    <cellStyle name="R07H" xfId="124" xr:uid="{00000000-0005-0000-0000-0000A3000000}"/>
    <cellStyle name="R07L" xfId="125" xr:uid="{00000000-0005-0000-0000-0000A4000000}"/>
    <cellStyle name="Title" xfId="126" builtinId="15" customBuiltin="1"/>
    <cellStyle name="Total" xfId="127" builtinId="25" customBuiltin="1"/>
    <cellStyle name="Warning Text" xfId="128" builtinId="11" customBuiltin="1"/>
  </cellStyles>
  <dxfs count="2">
    <dxf>
      <fill>
        <patternFill>
          <bgColor theme="5" tint="0.79998168889431442"/>
        </patternFill>
      </fill>
    </dxf>
    <dxf>
      <fill>
        <patternFill>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84" Type="http://schemas.openxmlformats.org/officeDocument/2006/relationships/externalLink" Target="externalLinks/externalLink56.xml"/><Relationship Id="rId89" Type="http://schemas.openxmlformats.org/officeDocument/2006/relationships/externalLink" Target="externalLinks/externalLink6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74" Type="http://schemas.openxmlformats.org/officeDocument/2006/relationships/externalLink" Target="externalLinks/externalLink46.xml"/><Relationship Id="rId79" Type="http://schemas.openxmlformats.org/officeDocument/2006/relationships/externalLink" Target="externalLinks/externalLink51.xml"/><Relationship Id="rId5" Type="http://schemas.openxmlformats.org/officeDocument/2006/relationships/worksheet" Target="worksheets/sheet5.xml"/><Relationship Id="rId90" Type="http://schemas.openxmlformats.org/officeDocument/2006/relationships/externalLink" Target="externalLinks/externalLink62.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80" Type="http://schemas.openxmlformats.org/officeDocument/2006/relationships/externalLink" Target="externalLinks/externalLink52.xml"/><Relationship Id="rId85" Type="http://schemas.openxmlformats.org/officeDocument/2006/relationships/externalLink" Target="externalLinks/externalLink5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83" Type="http://schemas.openxmlformats.org/officeDocument/2006/relationships/externalLink" Target="externalLinks/externalLink55.xml"/><Relationship Id="rId88" Type="http://schemas.openxmlformats.org/officeDocument/2006/relationships/externalLink" Target="externalLinks/externalLink60.xml"/><Relationship Id="rId91" Type="http://schemas.openxmlformats.org/officeDocument/2006/relationships/externalLink" Target="externalLinks/externalLink63.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10" Type="http://schemas.openxmlformats.org/officeDocument/2006/relationships/worksheet" Target="worksheets/sheet10.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externalLink" Target="externalLinks/externalLink50.xml"/><Relationship Id="rId81" Type="http://schemas.openxmlformats.org/officeDocument/2006/relationships/externalLink" Target="externalLinks/externalLink53.xml"/><Relationship Id="rId86" Type="http://schemas.openxmlformats.org/officeDocument/2006/relationships/externalLink" Target="externalLinks/externalLink58.xml"/><Relationship Id="rId94" Type="http://schemas.openxmlformats.org/officeDocument/2006/relationships/theme" Target="theme/theme1.xml"/><Relationship Id="rId9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1.xml"/><Relationship Id="rId34" Type="http://schemas.openxmlformats.org/officeDocument/2006/relationships/externalLink" Target="externalLinks/externalLink6.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76" Type="http://schemas.openxmlformats.org/officeDocument/2006/relationships/externalLink" Target="externalLinks/externalLink48.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43.xml"/><Relationship Id="rId92" Type="http://schemas.openxmlformats.org/officeDocument/2006/relationships/externalLink" Target="externalLinks/externalLink64.xml"/><Relationship Id="rId2" Type="http://schemas.openxmlformats.org/officeDocument/2006/relationships/worksheet" Target="worksheets/sheet2.xml"/><Relationship Id="rId29" Type="http://schemas.openxmlformats.org/officeDocument/2006/relationships/externalLink" Target="externalLinks/externalLink1.xml"/><Relationship Id="rId24" Type="http://schemas.openxmlformats.org/officeDocument/2006/relationships/worksheet" Target="worksheets/sheet24.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66" Type="http://schemas.openxmlformats.org/officeDocument/2006/relationships/externalLink" Target="externalLinks/externalLink38.xml"/><Relationship Id="rId87" Type="http://schemas.openxmlformats.org/officeDocument/2006/relationships/externalLink" Target="externalLinks/externalLink59.xml"/><Relationship Id="rId61" Type="http://schemas.openxmlformats.org/officeDocument/2006/relationships/externalLink" Target="externalLinks/externalLink33.xml"/><Relationship Id="rId82" Type="http://schemas.openxmlformats.org/officeDocument/2006/relationships/externalLink" Target="externalLinks/externalLink5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56" Type="http://schemas.openxmlformats.org/officeDocument/2006/relationships/externalLink" Target="externalLinks/externalLink28.xml"/><Relationship Id="rId77" Type="http://schemas.openxmlformats.org/officeDocument/2006/relationships/externalLink" Target="externalLinks/externalLink49.xml"/><Relationship Id="rId100"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93" Type="http://schemas.openxmlformats.org/officeDocument/2006/relationships/externalLink" Target="externalLinks/externalLink65.xml"/><Relationship Id="rId98"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Services/Finance/0848_corptaxnorth/tax/accrual/2006/ACE/December/Worksheet%20in%20Basis%20(1).xls?CDCE4AE2" TargetMode="External"/><Relationship Id="rId1" Type="http://schemas.openxmlformats.org/officeDocument/2006/relationships/externalLinkPath" Target="file:///\\CDCE4AE2\Worksheet%20in%20Basis%20(1).xls" TargetMode="External"/></Relationships>
</file>

<file path=xl/externalLinks/_rels/externalLink10.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NJ%20Restructuring/2002%20Budget%20and%20Rates/2002%20High%20Level%20Budget/2002-2006%20TUB%20Forecast%20.xls?CD785EF7" TargetMode="External"/><Relationship Id="rId1" Type="http://schemas.openxmlformats.org/officeDocument/2006/relationships/externalLinkPath" Target="file:///\\CD785EF7\2002-2006%20TUB%20Forecast%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oasis.oati.com/REGSUPP/FERC/FERC%20-%20OATT/RS1081%20Rate%20Filings/2013%20(2012%20TY)%20ER13-1623/Model%20&amp;%20Filing/Model%20RevReq%202013%20OATT%20-%20Final%20As%20Filed.xlsx" TargetMode="External"/></Relationships>
</file>

<file path=xl/externalLinks/_rels/externalLink12.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youlee/Local%20Settings/Temp/3)%20SPPC%202001%20Remove%20Capital%20Direct%20Costs.xls?244E6EAA" TargetMode="External"/><Relationship Id="rId1" Type="http://schemas.openxmlformats.org/officeDocument/2006/relationships/externalLinkPath" Target="file:///\\244E6EAA\3)%20SPPC%202001%20Remove%20Capital%20Direct%20Costs.xls" TargetMode="External"/></Relationships>
</file>

<file path=xl/externalLinks/_rels/externalLink13.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youlee/Local%20Settings/Temp/3)NPC%20%20Adjustment%20%202001%20Direct%20Capital%20Costs%20Removed%20.xls?244E6EAA" TargetMode="External"/><Relationship Id="rId1" Type="http://schemas.openxmlformats.org/officeDocument/2006/relationships/externalLinkPath" Target="file:///\\244E6EAA\3)NPC%20%20Adjustment%20%202001%20Direct%20Capital%20Costs%20Removed%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15.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Working/Annual%20Update%20-%202013/2013%20Annual%20Update%2020130430.xlsx?6D31B094" TargetMode="External"/><Relationship Id="rId1" Type="http://schemas.openxmlformats.org/officeDocument/2006/relationships/externalLinkPath" Target="file:///\\6D31B094\2013%20Annual%20Update%2020130430.xlsx"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um/Viewed/IDD%20#5 - Alliant - IPL_7.xlsx?EECC93CA" TargetMode="External"/><Relationship Id="rId1" Type="http://schemas.openxmlformats.org/officeDocument/2006/relationships/externalLinkPath" Target="file:///\\EECC93CA\IDD%20%235%20-%20Alliant%20-%20IPL_7.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kmapp-na1-02.towers.com:8901/00270/2000mlob/othsys/team/p8001w02.xls" TargetMode="External"/></Relationships>
</file>

<file path=xl/externalLinks/_rels/externalLink18.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Services/Finance/0865/04tr/Monthly%20Balances%20for%20Cap%20Int%20excluded%20routine%20jobs.xls?4D16C662" TargetMode="External"/><Relationship Id="rId1" Type="http://schemas.openxmlformats.org/officeDocument/2006/relationships/externalLinkPath" Target="file:///\\4D16C662\Monthly%20Balances%20for%20Cap%20Int%20excluded%20routine%20jobs.xls" TargetMode="External"/></Relationships>
</file>

<file path=xl/externalLinks/_rels/externalLink19.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KMARS001/My%20Documents/Clients/Accounting%20Method/AES/2002%20Indirect%20Cost%20Study%20-%20Calculation.xls?271EAAB5" TargetMode="External"/><Relationship Id="rId1" Type="http://schemas.openxmlformats.org/officeDocument/2006/relationships/externalLinkPath" Target="file:///\\271EAAB5\2002%20Indirect%20Cost%20Study%20-%20Calculation.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kyeh001/My%20Documents/Agouron/Ready%20for%20Review/Executive%20Summary/california%20Agouron%20Supermodel@10%25.xls?6457426F" TargetMode="External"/><Relationship Id="rId1" Type="http://schemas.openxmlformats.org/officeDocument/2006/relationships/externalLinkPath" Target="file:///\\6457426F\california%20Agouron%20Supermodel@10%25.xls" TargetMode="External"/></Relationships>
</file>

<file path=xl/externalLinks/_rels/externalLink20.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um/Viewed/2008%20New%20Method%20263A%20Calculation.xls?EECC93CA" TargetMode="External"/><Relationship Id="rId1" Type="http://schemas.openxmlformats.org/officeDocument/2006/relationships/externalLinkPath" Target="file:///\\EECC93CA\2008%20New%20Method%20263A%20Calculation.xls" TargetMode="External"/></Relationships>
</file>

<file path=xl/externalLinks/_rels/externalLink21.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1/KMARS001/LOCALS~1/Temp/notes335BF6/WBS%20by%20Profit%20Center%20CE%20Summary.xls?F0F141B4" TargetMode="External"/><Relationship Id="rId1" Type="http://schemas.openxmlformats.org/officeDocument/2006/relationships/externalLinkPath" Target="file:///\\F0F141B4\WBS%20by%20Profit%20Center%20CE%20Summary.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1/kfjeldal/LOCALS~1/Temp/notes8160F2/2003-2007%20TUB%20Forecast%20Deferral%20Case%20v080102.xls?89F62F70" TargetMode="External"/><Relationship Id="rId1" Type="http://schemas.openxmlformats.org/officeDocument/2006/relationships/externalLinkPath" Target="file:///\\89F62F70\2003-2007%20TUB%20Forecast%20Deferral%20Case%20v080102.xls" TargetMode="External"/></Relationships>
</file>

<file path=xl/externalLinks/_rels/externalLink23.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kellevans/My%20Documents/Clients/STR/Indirect%20Cost/Alliant%20Energy/Dept%20Analysis/AandGAnalysis%201999.xls?C5DBA643" TargetMode="External"/><Relationship Id="rId1" Type="http://schemas.openxmlformats.org/officeDocument/2006/relationships/externalLinkPath" Target="file:///\\C5DBA643\AandGAnalysis%201999.xls" TargetMode="External"/></Relationships>
</file>

<file path=xl/externalLinks/_rels/externalLink24.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Shared/NewJerseyDeferrals/1999%20Deferrals/oct99/OctoberTariff(Old).xls?CBEBD174" TargetMode="External"/><Relationship Id="rId1" Type="http://schemas.openxmlformats.org/officeDocument/2006/relationships/externalLinkPath" Target="file:///\\CBEBD174\OctoberTariff(Old).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PAWATER\WATER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28.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TEMP/Res_Alloc_MBS_Replacement_Project.xls?FA5F6583" TargetMode="External"/><Relationship Id="rId1" Type="http://schemas.openxmlformats.org/officeDocument/2006/relationships/externalLinkPath" Target="file:///\\FA5F6583\Res_Alloc_MBS_Replacement_Project.xls" TargetMode="External"/></Relationships>
</file>

<file path=xl/externalLinks/_rels/externalLink29.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Services/Finance/0865/06tr/cap%20int%202006/Cut-Ins.xls?86443B4B" TargetMode="External"/><Relationship Id="rId1" Type="http://schemas.openxmlformats.org/officeDocument/2006/relationships/externalLinkPath" Target="file:///\\86443B4B\Cut-I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sassociates.com\projects\2002\TRANS\2001\SUPPORT-PACKAGES\DPLG-APRIL2001-TRANSCHECKOU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ga-fs02\m-ga-projects01\39005\003\Templates%20to%20Compare\Formula%20December%202017%20True-up%20with%20Interest.xlsx" TargetMode="External"/></Relationships>
</file>

<file path=xl/externalLinks/_rels/externalLink31.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WINDOWS/TEMP/Unit%20Data%20Upload/Templates/Hyp.%20Retrieve%20v3.5%20%20-%20May%20%2002.xls?0184345A" TargetMode="External"/><Relationship Id="rId1" Type="http://schemas.openxmlformats.org/officeDocument/2006/relationships/externalLinkPath" Target="file:///\\0184345A\Hyp.%20Retrieve%20v3.5%20%20-%20May%20%2002.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Startup" Target="CONADM/TEST/FCW/Data97/TRANC.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www.oasis.oati.com/Kraft/Special%20Projects/OATT/2001/2001%20OATT%20Rates%20TD%20OMadj.xls" TargetMode="External"/></Relationships>
</file>

<file path=xl/externalLinks/_rels/externalLink34.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nvision/NPC/NVPWR_BALANCE_SHEET_(2001-12-31).xls?C3DCFF1F" TargetMode="External"/><Relationship Id="rId1" Type="http://schemas.openxmlformats.org/officeDocument/2006/relationships/externalLinkPath" Target="file:///\\C3DCFF1F\NVPWR_BALANCE_SHEET_(2001-12-3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oal.sp.ferc.gov/DOCUME~1/gacmag/LOCALS~1/Temp/Approximate%20calculation%20of%20PTF%20and%20non-PTF%20plant%20for%20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Startup" Target="CONADM/TEST/NUTRANS/TARIFFS/FIRM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kmapp-na1-02.towers.com:8901/Documents%20and%20Settings/judar/Local%20Settings/Temp/C.NOTEDATA/fastool.xls" TargetMode="External"/></Relationships>
</file>

<file path=xl/externalLinks/_rels/externalLink39.xml.rels><?xml version="1.0" encoding="UTF-8" standalone="yes"?>
<Relationships xmlns="http://schemas.openxmlformats.org/package/2006/relationships"><Relationship Id="rId2" Type="http://schemas.microsoft.com/office/2019/04/relationships/externalLinkLongPath" Target="file:///C:\users\joe.hoffman\appdata\local\microsoft\windows\inetcache\content.outlook\si030mas\DOCUME~1\smallk\LOCALS~1\Temp\notesA188F6\DOCUME~1\x0560fs\LOCALS~1\Temp\notes61BBD3\Pepco%2012-31-07%20TBBS%20adjust%20for%20MD%20rate%20change%20updated%20KRS.xls?91875CAF" TargetMode="External"/><Relationship Id="rId1" Type="http://schemas.openxmlformats.org/officeDocument/2006/relationships/externalLinkPath" Target="file:///\\91875CAF\Pepco%2012-31-07%20TBBS%20adjust%20for%20MD%20rate%20change%20updated%20KR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40.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um/Viewed/DOCUME~1/e50781/LOCALS~1/Temp/Domino%20Web%20Access/3-12-07%20KCK%20-%20For%20Next%20Rate%20Case.xls?CFAA6E1A" TargetMode="External"/><Relationship Id="rId1" Type="http://schemas.openxmlformats.org/officeDocument/2006/relationships/externalLinkPath" Target="file:///\\CFAA6E1A\3-12-07%20KCK%20-%20For%20Next%20Rate%20Cas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ww.oasis.oati.com/REGSUPP/FERC/MISO/MISO%20OATT%20Tariff/OpCos%20Attmnt%20O%2010-25-2012%20(2).xls" TargetMode="External"/></Relationships>
</file>

<file path=xl/externalLinks/_rels/externalLink42.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G304/CorpModel/Download/eda_cwip.xls?F48554DC" TargetMode="External"/><Relationship Id="rId1" Type="http://schemas.openxmlformats.org/officeDocument/2006/relationships/externalLinkPath" Target="file:///\\F48554DC\eda_cwip.xls" TargetMode="External"/></Relationships>
</file>

<file path=xl/externalLinks/_rels/externalLink43.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Services/Finance/0865/06tr/cap%20int%202006/Interest%20Computation.xls?86443B4B" TargetMode="External"/><Relationship Id="rId1" Type="http://schemas.openxmlformats.org/officeDocument/2006/relationships/externalLinkPath" Target="file:///\\86443B4B\Interest%20Computation.xls" TargetMode="External"/></Relationships>
</file>

<file path=xl/externalLinks/_rels/externalLink44.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um/Viewed/2007/Accounting/March%20Q1/DTE%20YTD%20MARCH%202007%20FIT%20ANALYSIS.xls?C139141B" TargetMode="External"/><Relationship Id="rId1" Type="http://schemas.openxmlformats.org/officeDocument/2006/relationships/externalLinkPath" Target="file:///\\C139141B\DTE%20YTD%20MARCH%202007%20FIT%20ANALYS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oal.sp.ferc.gov/User/WRK_GRP/PRICING/Transmission/PTF/2002/corrected%20all_ptf2002%20UI%20Revisions%20After%20Audit-In%20Progress.xls" TargetMode="External"/></Relationships>
</file>

<file path=xl/externalLinks/_rels/externalLink46.xml.rels><?xml version="1.0" encoding="UTF-8" standalone="yes"?>
<Relationships xmlns="http://schemas.openxmlformats.org/package/2006/relationships"><Relationship Id="rId2" Type="http://schemas.microsoft.com/office/2019/04/relationships/externalLinkLongPath" Target="file:///C:\users\joe.hoffman\appdata\local\microsoft\windows\inetcache\content.outlook\si030mas\Services\Finance\0848_tax_dept\Tax%20Accounting,%20Provisions,%20and%20Reserves\Provisions\2012\Power%20Delivery\Pepco\Q3\September\Pepco%202012%20September%20Close%202.xlsx?A4C5C635" TargetMode="External"/><Relationship Id="rId1" Type="http://schemas.openxmlformats.org/officeDocument/2006/relationships/externalLinkPath" Target="file:///\\A4C5C635\Pepco%202012%20September%20Close%202.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NBNW301\VOL5\STAFF\jdm\misc\2001%202Q\MERGER2.XLS" TargetMode="External"/></Relationships>
</file>

<file path=xl/externalLinks/_rels/externalLink48.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KMARS001/Local%20Settings/Temp/wz5907/Expense%20by%20Cost%20Center%20Group%20Reg%20Ind%205-9%202008%20with%20Group%20TDBU%20PC's.xls?1DC8E409" TargetMode="External"/><Relationship Id="rId1" Type="http://schemas.openxmlformats.org/officeDocument/2006/relationships/externalLinkPath" Target="file:///\\1DC8E409\Expense%20by%20Cost%20Center%20Group%20Reg%20Ind%205-9%202008%20with%20Group%20TDBU%20PC's.xls" TargetMode="External"/></Relationships>
</file>

<file path=xl/externalLinks/_rels/externalLink49.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um/Viewed/Financial%20Reports/Rpts2000/1200/UNSEC/DECO10QB.xls?5233D700" TargetMode="External"/><Relationship Id="rId1" Type="http://schemas.openxmlformats.org/officeDocument/2006/relationships/externalLinkPath" Target="file:///\\5233D700\DECO10Q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NBNW301\VOL5\STAFF\jdm\KMH\Merge\FERC%20Filing\FERC%20stmts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54.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Working/Annual%20Update%20-%202013/Data/Capital%20projection%2020130417.xlsx?C6D8CEDB" TargetMode="External"/><Relationship Id="rId1" Type="http://schemas.openxmlformats.org/officeDocument/2006/relationships/externalLinkPath" Target="file:///\\C6D8CEDB\Capital%20projection%2020130417.xlsx" TargetMode="External"/></Relationships>
</file>

<file path=xl/externalLinks/_rels/externalLink55.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kellevans/My%20Documents/Clients/STR/Indirect%20Cost/Nstar/Pools/Summary%20Query%20other%20cos%20-%20full%20lists.xls?1C1A347F" TargetMode="External"/><Relationship Id="rId1" Type="http://schemas.openxmlformats.org/officeDocument/2006/relationships/externalLinkPath" Target="file:///\\1C1A347F\Summary%20Query%20other%20cos%20-%20full%20lists.xls" TargetMode="External"/></Relationships>
</file>

<file path=xl/externalLinks/_rels/externalLink56.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1/KMARS001/LOCALS~1/Temp/notes335BF6/MEC%20EMPLOYEE%20HEADCOUNT%202006-2009%20updated.xls?F0F141B4" TargetMode="External"/><Relationship Id="rId1" Type="http://schemas.openxmlformats.org/officeDocument/2006/relationships/externalLinkPath" Target="file:///\\F0F141B4\MEC%20EMPLOYEE%20HEADCOUNT%202006-2009%20updated.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C-WPP-FP05\UD3\yoakumj\My%20Documents\Entry%20Template%20-%20State%20Dropdown.xls" TargetMode="External"/></Relationships>
</file>

<file path=xl/externalLinks/_rels/externalLink58.xml.rels><?xml version="1.0" encoding="UTF-8" standalone="yes"?>
<Relationships xmlns="http://schemas.openxmlformats.org/package/2006/relationships"><Relationship Id="rId2" Type="http://schemas.microsoft.com/office/2019/04/relationships/externalLinkLongPath" Target="file:///C:\users\joe.hoffman\appdata\local\microsoft\windows\inetcache\content.outlook\si030mas\Documents%20and%20Settings\mangai\Local%20Settings\Temporary%20Internet%20Files\OLK184\Appleton%20Papers%202000-2001_Additional%201040%20exclusions.xls?C2521D90" TargetMode="External"/><Relationship Id="rId1" Type="http://schemas.openxmlformats.org/officeDocument/2006/relationships/externalLinkPath" Target="file:///\\C2521D90\Appleton%20Papers%202000-2001_Additional%201040%20exclusion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Masterdata" TargetMode="External"/></Relationships>
</file>

<file path=xl/externalLinks/_rels/externalLink60.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WDIR/Desktop/Synforms_4.1.xls?50C81544" TargetMode="External"/><Relationship Id="rId1" Type="http://schemas.openxmlformats.org/officeDocument/2006/relationships/externalLinkPath" Target="file:///\\50C81544\Synforms_4.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63.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Program%20Files/Exchange/MP%20Adds%202001.xls?89E929CB" TargetMode="External"/><Relationship Id="rId1" Type="http://schemas.openxmlformats.org/officeDocument/2006/relationships/externalLinkPath" Target="file:///\\89E929CB\MP%20Adds%20200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tariffs/2000/formula%20rates/NSP%20xcelcoss%20miso.xls" TargetMode="External"/></Relationships>
</file>

<file path=xl/externalLinks/_rels/externalLink65.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PHI_Shared_Services/G038/MDDETAIL/PROPTAX.XLS?84372ADB" TargetMode="External"/><Relationship Id="rId1" Type="http://schemas.openxmlformats.org/officeDocument/2006/relationships/externalLinkPath" Target="file:///\\84372ADB\PROPTAX.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9.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1/khang/LOCALS~1/Temp/notesC66157/2011%20Q4%20SAP%20Cash%20Payment%20Data.xlsx?9D031E54" TargetMode="External"/><Relationship Id="rId1" Type="http://schemas.openxmlformats.org/officeDocument/2006/relationships/externalLinkPath" Target="file:///\\9D031E54\2011%20Q4%20SAP%20Cash%20Payment%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A.1"/>
      <sheetName val="A.1.1"/>
      <sheetName val="A.2 PTP"/>
      <sheetName val="B.1"/>
      <sheetName val="B.1.1"/>
      <sheetName val="B.2 NITS "/>
      <sheetName val="B.3.1 "/>
      <sheetName val="B.3.2  "/>
      <sheetName val="C. Input"/>
      <sheetName val="D.1 Cost of Capital"/>
      <sheetName val="D.12.1 TREV"/>
      <sheetName val="D.15 Demands"/>
      <sheetName val="D.16.1 Table B SUM"/>
      <sheetName val="D.16.1.1 Table B 2003"/>
      <sheetName val="D.16.1.2 Table B 2004"/>
      <sheetName val="D.16.1.3 Table B 2005"/>
      <sheetName val="D.16.1.4 Table B 2006"/>
      <sheetName val="D.16.1.5 Table B 2007"/>
      <sheetName val="D.16.1.6 Table B 2008"/>
      <sheetName val="D.16.1.7 Table B 2009"/>
      <sheetName val="D.16.1.8 Table B 2010"/>
      <sheetName val="D.16.1.9 Table B 2011"/>
      <sheetName val="D.16.1.10 Table B 2012"/>
      <sheetName val="D.16.2.1"/>
      <sheetName val="D.16.2.2"/>
      <sheetName val="D.16.2.3"/>
      <sheetName val="D.16.2.4"/>
      <sheetName val="D.16.3.1"/>
      <sheetName val="D.16.3.2"/>
      <sheetName val="D.16.3.3"/>
      <sheetName val="D.16.3.4"/>
      <sheetName val="D.16.3.5"/>
      <sheetName val="D.16.3.6"/>
      <sheetName val="D.16.3.7"/>
      <sheetName val="D.16.3.8"/>
      <sheetName val="D.16.3.9"/>
      <sheetName val="D.16.3.10"/>
      <sheetName val="D.16.3.11"/>
      <sheetName val="D.16.3.12"/>
      <sheetName val="D.17.1"/>
      <sheetName val="D.17.2"/>
      <sheetName val="D.17.3"/>
      <sheetName val="PrintModule"/>
    </sheetNames>
    <sheetDataSet>
      <sheetData sheetId="0" refreshError="1"/>
      <sheetData sheetId="1" refreshError="1"/>
      <sheetData sheetId="2" refreshError="1"/>
      <sheetData sheetId="3" refreshError="1">
        <row r="31">
          <cell r="P31">
            <v>0.62</v>
          </cell>
        </row>
        <row r="33">
          <cell r="P33">
            <v>0.11559999999999999</v>
          </cell>
        </row>
        <row r="55">
          <cell r="P55">
            <v>4594652900</v>
          </cell>
        </row>
        <row r="75">
          <cell r="P75">
            <v>0.17199999999999999</v>
          </cell>
        </row>
        <row r="91">
          <cell r="P91">
            <v>8.9499999999999996E-2</v>
          </cell>
        </row>
        <row r="111">
          <cell r="P111">
            <v>618198437</v>
          </cell>
        </row>
        <row r="129">
          <cell r="P129">
            <v>7.3000000000000001E-3</v>
          </cell>
        </row>
        <row r="165">
          <cell r="P165">
            <v>2534608822</v>
          </cell>
        </row>
        <row r="212">
          <cell r="P212">
            <v>310773442</v>
          </cell>
        </row>
        <row r="230">
          <cell r="P230">
            <v>1.642979</v>
          </cell>
        </row>
        <row r="276">
          <cell r="P276">
            <v>1.7050134952130698</v>
          </cell>
        </row>
        <row r="282">
          <cell r="P282">
            <v>0.39346465274147763</v>
          </cell>
        </row>
        <row r="288">
          <cell r="P288">
            <v>7.8692930548295528E-2</v>
          </cell>
        </row>
        <row r="294">
          <cell r="P294">
            <v>5.6055238198785856E-2</v>
          </cell>
        </row>
        <row r="332">
          <cell r="P332">
            <v>4.9183081592684705E-3</v>
          </cell>
        </row>
        <row r="333">
          <cell r="P333">
            <v>2.3356349249494105E-3</v>
          </cell>
        </row>
      </sheetData>
      <sheetData sheetId="4" refreshError="1"/>
      <sheetData sheetId="5" refreshError="1"/>
      <sheetData sheetId="6" refreshError="1">
        <row r="220">
          <cell r="P220">
            <v>607090822.76530898</v>
          </cell>
        </row>
      </sheetData>
      <sheetData sheetId="7" refreshError="1"/>
      <sheetData sheetId="8" refreshError="1"/>
      <sheetData sheetId="9" refreshError="1">
        <row r="23">
          <cell r="F23">
            <v>0.49540000000000001</v>
          </cell>
        </row>
        <row r="25">
          <cell r="F25">
            <v>1.7399999999999999E-2</v>
          </cell>
        </row>
        <row r="27">
          <cell r="F27">
            <v>0.48719999999999997</v>
          </cell>
        </row>
        <row r="33">
          <cell r="F33">
            <v>5.5300000000000002E-2</v>
          </cell>
          <cell r="I33">
            <v>4.9599999999999998E-2</v>
          </cell>
          <cell r="L33">
            <v>5.74E-2</v>
          </cell>
          <cell r="R33">
            <v>5.3600000000000002E-2</v>
          </cell>
          <cell r="X33">
            <v>6.7100000000000007E-2</v>
          </cell>
        </row>
        <row r="35">
          <cell r="F35">
            <v>6.3899999999999998E-2</v>
          </cell>
          <cell r="I35">
            <v>5.9900000000000002E-2</v>
          </cell>
          <cell r="L35">
            <v>8.7099999999999997E-2</v>
          </cell>
          <cell r="O35">
            <v>7.4899999999999994E-2</v>
          </cell>
          <cell r="R35">
            <v>5.6899999999999999E-2</v>
          </cell>
          <cell r="X35">
            <v>0</v>
          </cell>
        </row>
        <row r="37">
          <cell r="I37">
            <v>0.11</v>
          </cell>
          <cell r="L37">
            <v>0.11</v>
          </cell>
          <cell r="O37">
            <v>0.11</v>
          </cell>
          <cell r="R37">
            <v>0.11</v>
          </cell>
          <cell r="X37">
            <v>0.11</v>
          </cell>
        </row>
        <row r="76">
          <cell r="F76">
            <v>4.6199999999999998E-2</v>
          </cell>
        </row>
        <row r="144">
          <cell r="F144">
            <v>4594652900</v>
          </cell>
        </row>
        <row r="146">
          <cell r="F146">
            <v>0</v>
          </cell>
        </row>
        <row r="152">
          <cell r="F152">
            <v>14660147037</v>
          </cell>
        </row>
        <row r="161">
          <cell r="F161">
            <v>5119727758</v>
          </cell>
        </row>
        <row r="164">
          <cell r="F164">
            <v>5021648755</v>
          </cell>
        </row>
        <row r="166">
          <cell r="F166">
            <v>9181026660</v>
          </cell>
        </row>
        <row r="168">
          <cell r="F168">
            <v>802043191</v>
          </cell>
        </row>
        <row r="178">
          <cell r="F178">
            <v>43270862</v>
          </cell>
        </row>
        <row r="185">
          <cell r="F185">
            <v>483240817</v>
          </cell>
        </row>
        <row r="201">
          <cell r="F201">
            <v>634673266</v>
          </cell>
        </row>
        <row r="203">
          <cell r="F203">
            <v>442905</v>
          </cell>
        </row>
        <row r="205">
          <cell r="F205">
            <v>1451423</v>
          </cell>
        </row>
        <row r="207">
          <cell r="F207">
            <v>14580501</v>
          </cell>
        </row>
        <row r="215">
          <cell r="F215">
            <v>400332158</v>
          </cell>
        </row>
        <row r="220">
          <cell r="F220">
            <v>41406988</v>
          </cell>
        </row>
        <row r="222">
          <cell r="F222">
            <v>143057846</v>
          </cell>
        </row>
        <row r="234">
          <cell r="F234">
            <v>1870733615</v>
          </cell>
        </row>
        <row r="237">
          <cell r="F237">
            <v>161697644</v>
          </cell>
        </row>
        <row r="242">
          <cell r="F242">
            <v>459137456</v>
          </cell>
        </row>
        <row r="244">
          <cell r="F244">
            <v>34364287</v>
          </cell>
        </row>
        <row r="270">
          <cell r="F270">
            <v>108721514</v>
          </cell>
        </row>
        <row r="277">
          <cell r="F277">
            <v>18874886</v>
          </cell>
        </row>
        <row r="287">
          <cell r="F287">
            <v>23369818</v>
          </cell>
        </row>
        <row r="295">
          <cell r="F295">
            <v>0</v>
          </cell>
        </row>
        <row r="304">
          <cell r="F304">
            <v>115061400</v>
          </cell>
        </row>
        <row r="309">
          <cell r="F309">
            <v>60611928</v>
          </cell>
        </row>
        <row r="325">
          <cell r="F325">
            <v>8869408</v>
          </cell>
        </row>
        <row r="330">
          <cell r="F330">
            <v>30792170</v>
          </cell>
        </row>
        <row r="337">
          <cell r="F337">
            <v>19365303</v>
          </cell>
        </row>
        <row r="343">
          <cell r="F343">
            <v>4031948</v>
          </cell>
        </row>
        <row r="349">
          <cell r="F349">
            <v>20369012</v>
          </cell>
        </row>
        <row r="353">
          <cell r="F353">
            <v>11719743</v>
          </cell>
        </row>
        <row r="357">
          <cell r="F357">
            <v>2516885</v>
          </cell>
        </row>
      </sheetData>
      <sheetData sheetId="10" refreshError="1"/>
      <sheetData sheetId="11" refreshError="1"/>
      <sheetData sheetId="12" refreshError="1"/>
      <sheetData sheetId="13" refreshError="1"/>
      <sheetData sheetId="14" refreshError="1"/>
      <sheetData sheetId="15" refreshError="1">
        <row r="24">
          <cell r="A24">
            <v>37986</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C25">
            <v>118568.8</v>
          </cell>
          <cell r="D25">
            <v>0</v>
          </cell>
          <cell r="E25">
            <v>0</v>
          </cell>
          <cell r="F25">
            <v>19420.7</v>
          </cell>
          <cell r="G25">
            <v>0</v>
          </cell>
          <cell r="H25">
            <v>0</v>
          </cell>
          <cell r="I25">
            <v>64529</v>
          </cell>
          <cell r="J25">
            <v>0</v>
          </cell>
          <cell r="K25">
            <v>0</v>
          </cell>
          <cell r="L25">
            <v>0</v>
          </cell>
          <cell r="M25">
            <v>0</v>
          </cell>
          <cell r="N25">
            <v>0</v>
          </cell>
          <cell r="O25">
            <v>25885.3</v>
          </cell>
          <cell r="P25">
            <v>0</v>
          </cell>
          <cell r="Q25">
            <v>0</v>
          </cell>
          <cell r="R25">
            <v>0</v>
          </cell>
          <cell r="S25">
            <v>0</v>
          </cell>
          <cell r="T25">
            <v>0</v>
          </cell>
          <cell r="U25">
            <v>8733.7999999999993</v>
          </cell>
        </row>
        <row r="26">
          <cell r="A26">
            <v>38717</v>
          </cell>
          <cell r="C26">
            <v>118568.8</v>
          </cell>
          <cell r="D26">
            <v>0</v>
          </cell>
          <cell r="E26">
            <v>0</v>
          </cell>
          <cell r="F26">
            <v>19420.7</v>
          </cell>
          <cell r="G26">
            <v>0</v>
          </cell>
          <cell r="H26">
            <v>0</v>
          </cell>
          <cell r="I26">
            <v>64529</v>
          </cell>
          <cell r="J26">
            <v>0</v>
          </cell>
          <cell r="K26">
            <v>0</v>
          </cell>
          <cell r="L26">
            <v>0</v>
          </cell>
          <cell r="M26">
            <v>0</v>
          </cell>
          <cell r="N26">
            <v>0</v>
          </cell>
          <cell r="O26">
            <v>25885.3</v>
          </cell>
          <cell r="P26">
            <v>0</v>
          </cell>
          <cell r="Q26">
            <v>0</v>
          </cell>
          <cell r="R26">
            <v>0</v>
          </cell>
          <cell r="S26">
            <v>0</v>
          </cell>
          <cell r="T26">
            <v>0</v>
          </cell>
          <cell r="U26">
            <v>8733.7999999999993</v>
          </cell>
        </row>
        <row r="27">
          <cell r="A27">
            <v>39082</v>
          </cell>
          <cell r="C27">
            <v>118568.8</v>
          </cell>
          <cell r="D27">
            <v>0</v>
          </cell>
          <cell r="E27">
            <v>0</v>
          </cell>
          <cell r="F27">
            <v>19420.7</v>
          </cell>
          <cell r="G27">
            <v>0</v>
          </cell>
          <cell r="H27">
            <v>0</v>
          </cell>
          <cell r="I27">
            <v>64529</v>
          </cell>
          <cell r="J27">
            <v>0</v>
          </cell>
          <cell r="K27">
            <v>0</v>
          </cell>
          <cell r="L27">
            <v>0</v>
          </cell>
          <cell r="M27">
            <v>0</v>
          </cell>
          <cell r="N27">
            <v>0</v>
          </cell>
          <cell r="O27">
            <v>25885.3</v>
          </cell>
          <cell r="P27">
            <v>0</v>
          </cell>
          <cell r="Q27">
            <v>0</v>
          </cell>
          <cell r="R27">
            <v>0</v>
          </cell>
          <cell r="S27">
            <v>0</v>
          </cell>
          <cell r="T27">
            <v>0</v>
          </cell>
          <cell r="U27">
            <v>8733.7999999999993</v>
          </cell>
        </row>
        <row r="28">
          <cell r="A28">
            <v>39447</v>
          </cell>
          <cell r="C28">
            <v>118568.8</v>
          </cell>
          <cell r="D28">
            <v>0</v>
          </cell>
          <cell r="E28">
            <v>0</v>
          </cell>
          <cell r="F28">
            <v>19420.7</v>
          </cell>
          <cell r="G28">
            <v>0</v>
          </cell>
          <cell r="H28">
            <v>0</v>
          </cell>
          <cell r="I28">
            <v>64529</v>
          </cell>
          <cell r="J28">
            <v>0</v>
          </cell>
          <cell r="K28">
            <v>0</v>
          </cell>
          <cell r="L28">
            <v>0</v>
          </cell>
          <cell r="M28">
            <v>0</v>
          </cell>
          <cell r="N28">
            <v>0</v>
          </cell>
          <cell r="O28">
            <v>25885.3</v>
          </cell>
          <cell r="P28">
            <v>0</v>
          </cell>
          <cell r="Q28">
            <v>0</v>
          </cell>
          <cell r="R28">
            <v>0</v>
          </cell>
          <cell r="S28">
            <v>0</v>
          </cell>
          <cell r="T28">
            <v>0</v>
          </cell>
          <cell r="U28">
            <v>8733.7999999999993</v>
          </cell>
        </row>
        <row r="29">
          <cell r="A29">
            <v>39813</v>
          </cell>
          <cell r="C29">
            <v>118568.8</v>
          </cell>
          <cell r="D29">
            <v>0</v>
          </cell>
          <cell r="E29">
            <v>0</v>
          </cell>
          <cell r="F29">
            <v>19420.7</v>
          </cell>
          <cell r="G29">
            <v>0</v>
          </cell>
          <cell r="H29">
            <v>0</v>
          </cell>
          <cell r="I29">
            <v>64529</v>
          </cell>
          <cell r="J29">
            <v>0</v>
          </cell>
          <cell r="K29">
            <v>0</v>
          </cell>
          <cell r="L29">
            <v>0</v>
          </cell>
          <cell r="M29">
            <v>0</v>
          </cell>
          <cell r="N29">
            <v>0</v>
          </cell>
          <cell r="O29">
            <v>25885.3</v>
          </cell>
          <cell r="P29">
            <v>0</v>
          </cell>
          <cell r="Q29">
            <v>0</v>
          </cell>
          <cell r="R29">
            <v>0</v>
          </cell>
          <cell r="S29">
            <v>0</v>
          </cell>
          <cell r="T29">
            <v>0</v>
          </cell>
          <cell r="U29">
            <v>8733.7999999999993</v>
          </cell>
        </row>
        <row r="30">
          <cell r="A30">
            <v>40178</v>
          </cell>
          <cell r="C30">
            <v>118568.8</v>
          </cell>
          <cell r="D30">
            <v>0</v>
          </cell>
          <cell r="E30">
            <v>0</v>
          </cell>
          <cell r="F30">
            <v>19420.7</v>
          </cell>
          <cell r="G30">
            <v>0</v>
          </cell>
          <cell r="H30">
            <v>0</v>
          </cell>
          <cell r="I30">
            <v>64529</v>
          </cell>
          <cell r="J30">
            <v>0</v>
          </cell>
          <cell r="K30">
            <v>0</v>
          </cell>
          <cell r="L30">
            <v>0</v>
          </cell>
          <cell r="M30">
            <v>0</v>
          </cell>
          <cell r="N30">
            <v>0</v>
          </cell>
          <cell r="O30">
            <v>25885.3</v>
          </cell>
          <cell r="P30">
            <v>0</v>
          </cell>
          <cell r="Q30">
            <v>0</v>
          </cell>
          <cell r="R30">
            <v>0</v>
          </cell>
          <cell r="S30">
            <v>0</v>
          </cell>
          <cell r="T30">
            <v>0</v>
          </cell>
          <cell r="U30">
            <v>8733.7999999999993</v>
          </cell>
        </row>
        <row r="31">
          <cell r="A31">
            <v>40543</v>
          </cell>
          <cell r="C31">
            <v>118568.8</v>
          </cell>
          <cell r="D31">
            <v>0</v>
          </cell>
          <cell r="E31">
            <v>0</v>
          </cell>
          <cell r="F31">
            <v>19420.7</v>
          </cell>
          <cell r="G31">
            <v>0</v>
          </cell>
          <cell r="H31">
            <v>0</v>
          </cell>
          <cell r="I31">
            <v>64529</v>
          </cell>
          <cell r="J31">
            <v>0</v>
          </cell>
          <cell r="K31">
            <v>0</v>
          </cell>
          <cell r="L31">
            <v>0</v>
          </cell>
          <cell r="M31">
            <v>0</v>
          </cell>
          <cell r="N31">
            <v>0</v>
          </cell>
          <cell r="O31">
            <v>25885.3</v>
          </cell>
          <cell r="P31">
            <v>0</v>
          </cell>
          <cell r="Q31">
            <v>0</v>
          </cell>
          <cell r="R31">
            <v>0</v>
          </cell>
          <cell r="S31">
            <v>0</v>
          </cell>
          <cell r="T31">
            <v>0</v>
          </cell>
          <cell r="U31">
            <v>8733.7999999999993</v>
          </cell>
        </row>
        <row r="32">
          <cell r="A32">
            <v>40908</v>
          </cell>
          <cell r="C32">
            <v>118568.8</v>
          </cell>
          <cell r="D32">
            <v>0</v>
          </cell>
          <cell r="E32">
            <v>0</v>
          </cell>
          <cell r="F32">
            <v>19420.7</v>
          </cell>
          <cell r="G32">
            <v>0</v>
          </cell>
          <cell r="H32">
            <v>0</v>
          </cell>
          <cell r="I32">
            <v>64529</v>
          </cell>
          <cell r="J32">
            <v>0</v>
          </cell>
          <cell r="K32">
            <v>0</v>
          </cell>
          <cell r="L32">
            <v>0</v>
          </cell>
          <cell r="M32">
            <v>0</v>
          </cell>
          <cell r="N32">
            <v>0</v>
          </cell>
          <cell r="O32">
            <v>25885.3</v>
          </cell>
          <cell r="P32">
            <v>0</v>
          </cell>
          <cell r="Q32">
            <v>0</v>
          </cell>
          <cell r="R32">
            <v>0</v>
          </cell>
          <cell r="S32">
            <v>0</v>
          </cell>
          <cell r="T32">
            <v>0</v>
          </cell>
          <cell r="U32">
            <v>8733.7999999999993</v>
          </cell>
        </row>
        <row r="33">
          <cell r="A33">
            <v>41274</v>
          </cell>
          <cell r="C33">
            <v>118568.8</v>
          </cell>
          <cell r="D33">
            <v>0</v>
          </cell>
          <cell r="E33">
            <v>0</v>
          </cell>
          <cell r="F33">
            <v>19420.7</v>
          </cell>
          <cell r="G33">
            <v>0</v>
          </cell>
          <cell r="H33">
            <v>0</v>
          </cell>
          <cell r="I33">
            <v>64529</v>
          </cell>
          <cell r="J33">
            <v>0</v>
          </cell>
          <cell r="K33">
            <v>0</v>
          </cell>
          <cell r="L33">
            <v>0</v>
          </cell>
          <cell r="M33">
            <v>0</v>
          </cell>
          <cell r="N33">
            <v>0</v>
          </cell>
          <cell r="O33">
            <v>25885.3</v>
          </cell>
          <cell r="P33">
            <v>0</v>
          </cell>
          <cell r="Q33">
            <v>0</v>
          </cell>
          <cell r="R33">
            <v>0</v>
          </cell>
          <cell r="S33">
            <v>0</v>
          </cell>
          <cell r="T33">
            <v>0</v>
          </cell>
          <cell r="U33">
            <v>8733.7999999999993</v>
          </cell>
        </row>
        <row r="34">
          <cell r="A34">
            <v>41639</v>
          </cell>
          <cell r="C34">
            <v>118568.8</v>
          </cell>
          <cell r="D34">
            <v>0</v>
          </cell>
          <cell r="E34">
            <v>0</v>
          </cell>
          <cell r="F34">
            <v>19420.7</v>
          </cell>
          <cell r="G34">
            <v>0</v>
          </cell>
          <cell r="H34">
            <v>0</v>
          </cell>
          <cell r="I34">
            <v>64529</v>
          </cell>
          <cell r="J34">
            <v>0</v>
          </cell>
          <cell r="K34">
            <v>0</v>
          </cell>
          <cell r="L34">
            <v>0</v>
          </cell>
          <cell r="M34">
            <v>0</v>
          </cell>
          <cell r="N34">
            <v>0</v>
          </cell>
          <cell r="O34">
            <v>25885.3</v>
          </cell>
          <cell r="P34">
            <v>0</v>
          </cell>
          <cell r="Q34">
            <v>0</v>
          </cell>
          <cell r="R34">
            <v>0</v>
          </cell>
          <cell r="S34">
            <v>0</v>
          </cell>
          <cell r="T34">
            <v>0</v>
          </cell>
          <cell r="U34">
            <v>8733.7999999999993</v>
          </cell>
        </row>
        <row r="35">
          <cell r="A35">
            <v>42004</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9">
          <cell r="A39">
            <v>37986</v>
          </cell>
          <cell r="C39">
            <v>0</v>
          </cell>
        </row>
        <row r="40">
          <cell r="A40">
            <v>38352</v>
          </cell>
          <cell r="C40">
            <v>1126403.6000000001</v>
          </cell>
          <cell r="F40">
            <v>184496.65</v>
          </cell>
          <cell r="I40">
            <v>613025.5</v>
          </cell>
          <cell r="L40">
            <v>0</v>
          </cell>
          <cell r="O40">
            <v>245910.35</v>
          </cell>
          <cell r="R40">
            <v>0</v>
          </cell>
          <cell r="U40">
            <v>82971.100000000006</v>
          </cell>
        </row>
        <row r="41">
          <cell r="A41">
            <v>38717</v>
          </cell>
          <cell r="C41">
            <v>1007834.8</v>
          </cell>
          <cell r="F41">
            <v>165075.94999999998</v>
          </cell>
          <cell r="I41">
            <v>548496.5</v>
          </cell>
          <cell r="L41">
            <v>0</v>
          </cell>
          <cell r="O41">
            <v>220025.05000000002</v>
          </cell>
          <cell r="R41">
            <v>0</v>
          </cell>
          <cell r="U41">
            <v>74237.3</v>
          </cell>
        </row>
        <row r="42">
          <cell r="A42">
            <v>39082</v>
          </cell>
          <cell r="C42">
            <v>889266</v>
          </cell>
          <cell r="F42">
            <v>145655.24999999997</v>
          </cell>
          <cell r="I42">
            <v>483967.5</v>
          </cell>
          <cell r="L42">
            <v>0</v>
          </cell>
          <cell r="O42">
            <v>194139.75000000003</v>
          </cell>
          <cell r="R42">
            <v>0</v>
          </cell>
          <cell r="U42">
            <v>65503.5</v>
          </cell>
        </row>
        <row r="43">
          <cell r="A43">
            <v>39447</v>
          </cell>
          <cell r="C43">
            <v>770697.2</v>
          </cell>
          <cell r="F43">
            <v>126234.54999999997</v>
          </cell>
          <cell r="I43">
            <v>419438.5</v>
          </cell>
          <cell r="L43">
            <v>0</v>
          </cell>
          <cell r="O43">
            <v>168254.45000000004</v>
          </cell>
          <cell r="R43">
            <v>0</v>
          </cell>
          <cell r="U43">
            <v>56769.7</v>
          </cell>
        </row>
        <row r="44">
          <cell r="A44">
            <v>39813</v>
          </cell>
          <cell r="C44">
            <v>652128.4</v>
          </cell>
          <cell r="F44">
            <v>106813.84999999998</v>
          </cell>
          <cell r="I44">
            <v>354909.5</v>
          </cell>
          <cell r="L44">
            <v>0</v>
          </cell>
          <cell r="O44">
            <v>142369.15000000005</v>
          </cell>
          <cell r="R44">
            <v>0</v>
          </cell>
          <cell r="U44">
            <v>48035.899999999994</v>
          </cell>
        </row>
        <row r="45">
          <cell r="A45">
            <v>40178</v>
          </cell>
          <cell r="C45">
            <v>533559.6</v>
          </cell>
          <cell r="F45">
            <v>87393.14999999998</v>
          </cell>
          <cell r="I45">
            <v>290380.5</v>
          </cell>
          <cell r="L45">
            <v>0</v>
          </cell>
          <cell r="O45">
            <v>116483.85000000005</v>
          </cell>
          <cell r="R45">
            <v>0</v>
          </cell>
          <cell r="U45">
            <v>39302.099999999991</v>
          </cell>
        </row>
        <row r="46">
          <cell r="A46">
            <v>40543</v>
          </cell>
          <cell r="C46">
            <v>414990.8</v>
          </cell>
          <cell r="F46">
            <v>67972.449999999983</v>
          </cell>
          <cell r="I46">
            <v>225851.5</v>
          </cell>
          <cell r="L46">
            <v>0</v>
          </cell>
          <cell r="O46">
            <v>90598.550000000047</v>
          </cell>
          <cell r="R46">
            <v>0</v>
          </cell>
          <cell r="U46">
            <v>30568.299999999992</v>
          </cell>
        </row>
        <row r="47">
          <cell r="A47">
            <v>40908</v>
          </cell>
          <cell r="C47">
            <v>296422.00000000006</v>
          </cell>
          <cell r="F47">
            <v>48551.749999999985</v>
          </cell>
          <cell r="I47">
            <v>161322.5</v>
          </cell>
          <cell r="L47">
            <v>0</v>
          </cell>
          <cell r="O47">
            <v>64713.250000000044</v>
          </cell>
          <cell r="R47">
            <v>0</v>
          </cell>
          <cell r="U47">
            <v>21834.499999999993</v>
          </cell>
        </row>
        <row r="48">
          <cell r="A48">
            <v>41274</v>
          </cell>
          <cell r="C48">
            <v>177853.2</v>
          </cell>
          <cell r="F48">
            <v>29131.049999999985</v>
          </cell>
          <cell r="I48">
            <v>96793.5</v>
          </cell>
          <cell r="L48">
            <v>0</v>
          </cell>
          <cell r="O48">
            <v>38827.950000000041</v>
          </cell>
          <cell r="R48">
            <v>0</v>
          </cell>
          <cell r="U48">
            <v>13100.699999999993</v>
          </cell>
        </row>
        <row r="49">
          <cell r="A49">
            <v>41639</v>
          </cell>
          <cell r="C49">
            <v>59284.400000000023</v>
          </cell>
          <cell r="F49">
            <v>9710.349999999984</v>
          </cell>
          <cell r="I49">
            <v>32264.5</v>
          </cell>
          <cell r="L49">
            <v>0</v>
          </cell>
          <cell r="O49">
            <v>12942.650000000041</v>
          </cell>
          <cell r="R49">
            <v>0</v>
          </cell>
          <cell r="U49">
            <v>4366.8999999999942</v>
          </cell>
        </row>
        <row r="50">
          <cell r="A50">
            <v>42004</v>
          </cell>
          <cell r="C50">
            <v>0</v>
          </cell>
          <cell r="F50">
            <v>0</v>
          </cell>
          <cell r="I50">
            <v>0</v>
          </cell>
          <cell r="L50">
            <v>0</v>
          </cell>
          <cell r="O50">
            <v>0</v>
          </cell>
          <cell r="R50">
            <v>0</v>
          </cell>
          <cell r="U50">
            <v>0</v>
          </cell>
        </row>
      </sheetData>
      <sheetData sheetId="16"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493058</v>
          </cell>
          <cell r="D26">
            <v>0</v>
          </cell>
          <cell r="E26">
            <v>0</v>
          </cell>
          <cell r="F26">
            <v>105651</v>
          </cell>
          <cell r="G26">
            <v>0</v>
          </cell>
          <cell r="H26">
            <v>0</v>
          </cell>
          <cell r="I26">
            <v>132275.9</v>
          </cell>
          <cell r="J26">
            <v>0</v>
          </cell>
          <cell r="K26">
            <v>0</v>
          </cell>
          <cell r="L26">
            <v>172663.2</v>
          </cell>
          <cell r="M26">
            <v>0</v>
          </cell>
          <cell r="N26">
            <v>0</v>
          </cell>
          <cell r="O26">
            <v>18353</v>
          </cell>
          <cell r="P26">
            <v>0</v>
          </cell>
          <cell r="Q26">
            <v>0</v>
          </cell>
          <cell r="R26">
            <v>0</v>
          </cell>
          <cell r="S26">
            <v>0</v>
          </cell>
          <cell r="T26">
            <v>0</v>
          </cell>
          <cell r="U26">
            <v>64114.9</v>
          </cell>
        </row>
        <row r="27">
          <cell r="A27">
            <v>39082</v>
          </cell>
          <cell r="B27">
            <v>0</v>
          </cell>
          <cell r="C27">
            <v>493058</v>
          </cell>
          <cell r="D27">
            <v>0</v>
          </cell>
          <cell r="E27">
            <v>0</v>
          </cell>
          <cell r="F27">
            <v>105651</v>
          </cell>
          <cell r="G27">
            <v>0</v>
          </cell>
          <cell r="H27">
            <v>0</v>
          </cell>
          <cell r="I27">
            <v>132275.9</v>
          </cell>
          <cell r="J27">
            <v>0</v>
          </cell>
          <cell r="K27">
            <v>0</v>
          </cell>
          <cell r="L27">
            <v>172663.2</v>
          </cell>
          <cell r="M27">
            <v>0</v>
          </cell>
          <cell r="N27">
            <v>0</v>
          </cell>
          <cell r="O27">
            <v>18353</v>
          </cell>
          <cell r="P27">
            <v>0</v>
          </cell>
          <cell r="Q27">
            <v>0</v>
          </cell>
          <cell r="R27">
            <v>0</v>
          </cell>
          <cell r="S27">
            <v>0</v>
          </cell>
          <cell r="T27">
            <v>0</v>
          </cell>
          <cell r="U27">
            <v>64114.9</v>
          </cell>
        </row>
        <row r="28">
          <cell r="A28">
            <v>39447</v>
          </cell>
          <cell r="B28">
            <v>0</v>
          </cell>
          <cell r="C28">
            <v>493058</v>
          </cell>
          <cell r="D28">
            <v>0</v>
          </cell>
          <cell r="E28">
            <v>0</v>
          </cell>
          <cell r="F28">
            <v>105651</v>
          </cell>
          <cell r="G28">
            <v>0</v>
          </cell>
          <cell r="H28">
            <v>0</v>
          </cell>
          <cell r="I28">
            <v>132275.9</v>
          </cell>
          <cell r="J28">
            <v>0</v>
          </cell>
          <cell r="K28">
            <v>0</v>
          </cell>
          <cell r="L28">
            <v>172663.2</v>
          </cell>
          <cell r="M28">
            <v>0</v>
          </cell>
          <cell r="N28">
            <v>0</v>
          </cell>
          <cell r="O28">
            <v>18353</v>
          </cell>
          <cell r="P28">
            <v>0</v>
          </cell>
          <cell r="Q28">
            <v>0</v>
          </cell>
          <cell r="R28">
            <v>0</v>
          </cell>
          <cell r="S28">
            <v>0</v>
          </cell>
          <cell r="T28">
            <v>0</v>
          </cell>
          <cell r="U28">
            <v>64114.9</v>
          </cell>
        </row>
        <row r="29">
          <cell r="A29">
            <v>39813</v>
          </cell>
          <cell r="B29">
            <v>0</v>
          </cell>
          <cell r="C29">
            <v>493058</v>
          </cell>
          <cell r="D29">
            <v>0</v>
          </cell>
          <cell r="E29">
            <v>0</v>
          </cell>
          <cell r="F29">
            <v>105651</v>
          </cell>
          <cell r="G29">
            <v>0</v>
          </cell>
          <cell r="H29">
            <v>0</v>
          </cell>
          <cell r="I29">
            <v>132275.9</v>
          </cell>
          <cell r="J29">
            <v>0</v>
          </cell>
          <cell r="K29">
            <v>0</v>
          </cell>
          <cell r="L29">
            <v>172663.2</v>
          </cell>
          <cell r="M29">
            <v>0</v>
          </cell>
          <cell r="N29">
            <v>0</v>
          </cell>
          <cell r="O29">
            <v>18353</v>
          </cell>
          <cell r="P29">
            <v>0</v>
          </cell>
          <cell r="Q29">
            <v>0</v>
          </cell>
          <cell r="R29">
            <v>0</v>
          </cell>
          <cell r="S29">
            <v>0</v>
          </cell>
          <cell r="T29">
            <v>0</v>
          </cell>
          <cell r="U29">
            <v>64114.9</v>
          </cell>
        </row>
        <row r="30">
          <cell r="A30">
            <v>40178</v>
          </cell>
          <cell r="B30">
            <v>0</v>
          </cell>
          <cell r="C30">
            <v>493058</v>
          </cell>
          <cell r="D30">
            <v>0</v>
          </cell>
          <cell r="E30">
            <v>0</v>
          </cell>
          <cell r="F30">
            <v>105651</v>
          </cell>
          <cell r="G30">
            <v>0</v>
          </cell>
          <cell r="H30">
            <v>0</v>
          </cell>
          <cell r="I30">
            <v>132275.9</v>
          </cell>
          <cell r="J30">
            <v>0</v>
          </cell>
          <cell r="K30">
            <v>0</v>
          </cell>
          <cell r="L30">
            <v>172663.2</v>
          </cell>
          <cell r="M30">
            <v>0</v>
          </cell>
          <cell r="N30">
            <v>0</v>
          </cell>
          <cell r="O30">
            <v>18353</v>
          </cell>
          <cell r="P30">
            <v>0</v>
          </cell>
          <cell r="Q30">
            <v>0</v>
          </cell>
          <cell r="R30">
            <v>0</v>
          </cell>
          <cell r="S30">
            <v>0</v>
          </cell>
          <cell r="T30">
            <v>0</v>
          </cell>
          <cell r="U30">
            <v>64114.9</v>
          </cell>
        </row>
        <row r="31">
          <cell r="A31">
            <v>40543</v>
          </cell>
          <cell r="B31">
            <v>0</v>
          </cell>
          <cell r="C31">
            <v>493058</v>
          </cell>
          <cell r="D31">
            <v>0</v>
          </cell>
          <cell r="E31">
            <v>0</v>
          </cell>
          <cell r="F31">
            <v>105651</v>
          </cell>
          <cell r="G31">
            <v>0</v>
          </cell>
          <cell r="H31">
            <v>0</v>
          </cell>
          <cell r="I31">
            <v>132275.9</v>
          </cell>
          <cell r="J31">
            <v>0</v>
          </cell>
          <cell r="K31">
            <v>0</v>
          </cell>
          <cell r="L31">
            <v>172663.2</v>
          </cell>
          <cell r="M31">
            <v>0</v>
          </cell>
          <cell r="N31">
            <v>0</v>
          </cell>
          <cell r="O31">
            <v>18353</v>
          </cell>
          <cell r="P31">
            <v>0</v>
          </cell>
          <cell r="Q31">
            <v>0</v>
          </cell>
          <cell r="R31">
            <v>0</v>
          </cell>
          <cell r="S31">
            <v>0</v>
          </cell>
          <cell r="T31">
            <v>0</v>
          </cell>
          <cell r="U31">
            <v>64114.9</v>
          </cell>
        </row>
        <row r="32">
          <cell r="A32">
            <v>40908</v>
          </cell>
          <cell r="B32">
            <v>0</v>
          </cell>
          <cell r="C32">
            <v>493058</v>
          </cell>
          <cell r="D32">
            <v>0</v>
          </cell>
          <cell r="E32">
            <v>0</v>
          </cell>
          <cell r="F32">
            <v>105651</v>
          </cell>
          <cell r="G32">
            <v>0</v>
          </cell>
          <cell r="H32">
            <v>0</v>
          </cell>
          <cell r="I32">
            <v>132275.9</v>
          </cell>
          <cell r="J32">
            <v>0</v>
          </cell>
          <cell r="K32">
            <v>0</v>
          </cell>
          <cell r="L32">
            <v>172663.2</v>
          </cell>
          <cell r="M32">
            <v>0</v>
          </cell>
          <cell r="N32">
            <v>0</v>
          </cell>
          <cell r="O32">
            <v>18353</v>
          </cell>
          <cell r="P32">
            <v>0</v>
          </cell>
          <cell r="Q32">
            <v>0</v>
          </cell>
          <cell r="R32">
            <v>0</v>
          </cell>
          <cell r="S32">
            <v>0</v>
          </cell>
          <cell r="T32">
            <v>0</v>
          </cell>
          <cell r="U32">
            <v>64114.9</v>
          </cell>
        </row>
        <row r="33">
          <cell r="A33">
            <v>41274</v>
          </cell>
          <cell r="B33">
            <v>0</v>
          </cell>
          <cell r="C33">
            <v>493058</v>
          </cell>
          <cell r="D33">
            <v>0</v>
          </cell>
          <cell r="E33">
            <v>0</v>
          </cell>
          <cell r="F33">
            <v>105651</v>
          </cell>
          <cell r="G33">
            <v>0</v>
          </cell>
          <cell r="H33">
            <v>0</v>
          </cell>
          <cell r="I33">
            <v>132275.9</v>
          </cell>
          <cell r="J33">
            <v>0</v>
          </cell>
          <cell r="K33">
            <v>0</v>
          </cell>
          <cell r="L33">
            <v>172663.2</v>
          </cell>
          <cell r="M33">
            <v>0</v>
          </cell>
          <cell r="N33">
            <v>0</v>
          </cell>
          <cell r="O33">
            <v>18353</v>
          </cell>
          <cell r="P33">
            <v>0</v>
          </cell>
          <cell r="Q33">
            <v>0</v>
          </cell>
          <cell r="R33">
            <v>0</v>
          </cell>
          <cell r="S33">
            <v>0</v>
          </cell>
          <cell r="T33">
            <v>0</v>
          </cell>
          <cell r="U33">
            <v>64114.9</v>
          </cell>
        </row>
        <row r="34">
          <cell r="A34">
            <v>41639</v>
          </cell>
          <cell r="B34">
            <v>0</v>
          </cell>
          <cell r="C34">
            <v>493058</v>
          </cell>
          <cell r="D34">
            <v>0</v>
          </cell>
          <cell r="E34">
            <v>0</v>
          </cell>
          <cell r="F34">
            <v>105651</v>
          </cell>
          <cell r="G34">
            <v>0</v>
          </cell>
          <cell r="H34">
            <v>0</v>
          </cell>
          <cell r="I34">
            <v>132275.9</v>
          </cell>
          <cell r="J34">
            <v>0</v>
          </cell>
          <cell r="K34">
            <v>0</v>
          </cell>
          <cell r="L34">
            <v>172663.2</v>
          </cell>
          <cell r="M34">
            <v>0</v>
          </cell>
          <cell r="N34">
            <v>0</v>
          </cell>
          <cell r="O34">
            <v>18353</v>
          </cell>
          <cell r="P34">
            <v>0</v>
          </cell>
          <cell r="Q34">
            <v>0</v>
          </cell>
          <cell r="R34">
            <v>0</v>
          </cell>
          <cell r="S34">
            <v>0</v>
          </cell>
          <cell r="T34">
            <v>0</v>
          </cell>
          <cell r="U34">
            <v>64114.9</v>
          </cell>
        </row>
        <row r="35">
          <cell r="A35">
            <v>42004</v>
          </cell>
          <cell r="B35">
            <v>0</v>
          </cell>
          <cell r="C35">
            <v>493058</v>
          </cell>
          <cell r="D35">
            <v>0</v>
          </cell>
          <cell r="E35">
            <v>0</v>
          </cell>
          <cell r="F35">
            <v>105651</v>
          </cell>
          <cell r="G35">
            <v>0</v>
          </cell>
          <cell r="H35">
            <v>0</v>
          </cell>
          <cell r="I35">
            <v>132275.9</v>
          </cell>
          <cell r="J35">
            <v>0</v>
          </cell>
          <cell r="K35">
            <v>0</v>
          </cell>
          <cell r="L35">
            <v>172663.2</v>
          </cell>
          <cell r="M35">
            <v>0</v>
          </cell>
          <cell r="N35">
            <v>0</v>
          </cell>
          <cell r="O35">
            <v>18353</v>
          </cell>
          <cell r="P35">
            <v>0</v>
          </cell>
          <cell r="Q35">
            <v>0</v>
          </cell>
          <cell r="R35">
            <v>0</v>
          </cell>
          <cell r="S35">
            <v>0</v>
          </cell>
          <cell r="T35">
            <v>0</v>
          </cell>
          <cell r="U35">
            <v>64114.9</v>
          </cell>
        </row>
        <row r="36">
          <cell r="A36">
            <v>42369</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40">
          <cell r="A40">
            <v>37986</v>
          </cell>
          <cell r="B40">
            <v>0</v>
          </cell>
          <cell r="C40">
            <v>0</v>
          </cell>
        </row>
        <row r="41">
          <cell r="A41">
            <v>38352</v>
          </cell>
          <cell r="B41">
            <v>0</v>
          </cell>
          <cell r="C41">
            <v>0</v>
          </cell>
        </row>
        <row r="42">
          <cell r="A42">
            <v>38717</v>
          </cell>
          <cell r="B42">
            <v>0</v>
          </cell>
          <cell r="C42">
            <v>4684051</v>
          </cell>
          <cell r="F42">
            <v>1003684.5</v>
          </cell>
          <cell r="I42">
            <v>1256621.05</v>
          </cell>
          <cell r="L42">
            <v>1640300.4</v>
          </cell>
          <cell r="O42">
            <v>174353.5</v>
          </cell>
          <cell r="R42">
            <v>0</v>
          </cell>
          <cell r="U42">
            <v>609091.55000000005</v>
          </cell>
        </row>
        <row r="43">
          <cell r="A43">
            <v>39082</v>
          </cell>
          <cell r="B43">
            <v>0</v>
          </cell>
          <cell r="C43">
            <v>4190993</v>
          </cell>
          <cell r="F43">
            <v>898033.5</v>
          </cell>
          <cell r="I43">
            <v>1124345.1500000001</v>
          </cell>
          <cell r="L43">
            <v>1467637.2</v>
          </cell>
          <cell r="O43">
            <v>156000.5</v>
          </cell>
          <cell r="R43">
            <v>0</v>
          </cell>
          <cell r="U43">
            <v>544976.65</v>
          </cell>
        </row>
        <row r="44">
          <cell r="A44">
            <v>39447</v>
          </cell>
          <cell r="B44">
            <v>0</v>
          </cell>
          <cell r="C44">
            <v>3697935</v>
          </cell>
          <cell r="F44">
            <v>792382.5</v>
          </cell>
          <cell r="I44">
            <v>992069.25000000012</v>
          </cell>
          <cell r="L44">
            <v>1294974</v>
          </cell>
          <cell r="O44">
            <v>137647.5</v>
          </cell>
          <cell r="R44">
            <v>0</v>
          </cell>
          <cell r="U44">
            <v>480861.75</v>
          </cell>
        </row>
        <row r="45">
          <cell r="A45">
            <v>39813</v>
          </cell>
          <cell r="B45">
            <v>0</v>
          </cell>
          <cell r="C45">
            <v>3204877.0000000005</v>
          </cell>
          <cell r="F45">
            <v>686731.5</v>
          </cell>
          <cell r="I45">
            <v>859793.35000000009</v>
          </cell>
          <cell r="L45">
            <v>1122310.8</v>
          </cell>
          <cell r="O45">
            <v>119294.5</v>
          </cell>
          <cell r="R45">
            <v>0</v>
          </cell>
          <cell r="U45">
            <v>416746.85</v>
          </cell>
        </row>
        <row r="46">
          <cell r="A46">
            <v>40178</v>
          </cell>
          <cell r="B46">
            <v>0</v>
          </cell>
          <cell r="C46">
            <v>2711819</v>
          </cell>
          <cell r="F46">
            <v>581080.5</v>
          </cell>
          <cell r="I46">
            <v>727517.45000000007</v>
          </cell>
          <cell r="L46">
            <v>949647.60000000009</v>
          </cell>
          <cell r="O46">
            <v>100941.5</v>
          </cell>
          <cell r="R46">
            <v>0</v>
          </cell>
          <cell r="U46">
            <v>352631.94999999995</v>
          </cell>
        </row>
        <row r="47">
          <cell r="A47">
            <v>40543</v>
          </cell>
          <cell r="B47">
            <v>0</v>
          </cell>
          <cell r="C47">
            <v>2218761</v>
          </cell>
          <cell r="F47">
            <v>475429.5</v>
          </cell>
          <cell r="I47">
            <v>595241.55000000005</v>
          </cell>
          <cell r="L47">
            <v>776984.40000000014</v>
          </cell>
          <cell r="O47">
            <v>82588.5</v>
          </cell>
          <cell r="R47">
            <v>0</v>
          </cell>
          <cell r="U47">
            <v>288517.04999999993</v>
          </cell>
        </row>
        <row r="48">
          <cell r="A48">
            <v>40908</v>
          </cell>
          <cell r="B48">
            <v>0</v>
          </cell>
          <cell r="C48">
            <v>1725703</v>
          </cell>
          <cell r="F48">
            <v>369778.5</v>
          </cell>
          <cell r="I48">
            <v>462965.65</v>
          </cell>
          <cell r="L48">
            <v>604321.20000000019</v>
          </cell>
          <cell r="O48">
            <v>64235.5</v>
          </cell>
          <cell r="R48">
            <v>0</v>
          </cell>
          <cell r="U48">
            <v>224402.14999999994</v>
          </cell>
        </row>
        <row r="49">
          <cell r="A49">
            <v>41274</v>
          </cell>
          <cell r="B49">
            <v>0</v>
          </cell>
          <cell r="C49">
            <v>1232645.0000000002</v>
          </cell>
          <cell r="F49">
            <v>264127.5</v>
          </cell>
          <cell r="I49">
            <v>330689.75</v>
          </cell>
          <cell r="L49">
            <v>431658.00000000017</v>
          </cell>
          <cell r="O49">
            <v>45882.5</v>
          </cell>
          <cell r="R49">
            <v>0</v>
          </cell>
          <cell r="U49">
            <v>160287.24999999994</v>
          </cell>
        </row>
        <row r="50">
          <cell r="A50">
            <v>41639</v>
          </cell>
          <cell r="B50">
            <v>0</v>
          </cell>
          <cell r="C50">
            <v>739587.00000000012</v>
          </cell>
          <cell r="F50">
            <v>158476.5</v>
          </cell>
          <cell r="I50">
            <v>198413.85</v>
          </cell>
          <cell r="L50">
            <v>258994.80000000016</v>
          </cell>
          <cell r="O50">
            <v>27529.5</v>
          </cell>
          <cell r="R50">
            <v>0</v>
          </cell>
          <cell r="U50">
            <v>96172.349999999948</v>
          </cell>
        </row>
        <row r="51">
          <cell r="A51">
            <v>42004</v>
          </cell>
          <cell r="B51">
            <v>0</v>
          </cell>
          <cell r="C51">
            <v>246529.00000000012</v>
          </cell>
          <cell r="F51">
            <v>52825.5</v>
          </cell>
          <cell r="I51">
            <v>66137.950000000012</v>
          </cell>
          <cell r="L51">
            <v>86331.600000000151</v>
          </cell>
          <cell r="O51">
            <v>9176.5</v>
          </cell>
          <cell r="R51">
            <v>0</v>
          </cell>
          <cell r="U51">
            <v>32057.449999999946</v>
          </cell>
        </row>
        <row r="52">
          <cell r="A52">
            <v>42369</v>
          </cell>
          <cell r="B52">
            <v>0</v>
          </cell>
          <cell r="C52">
            <v>0</v>
          </cell>
          <cell r="F52">
            <v>0</v>
          </cell>
          <cell r="I52">
            <v>0</v>
          </cell>
          <cell r="L52">
            <v>0</v>
          </cell>
          <cell r="O52">
            <v>0</v>
          </cell>
          <cell r="R52">
            <v>0</v>
          </cell>
          <cell r="U52">
            <v>0</v>
          </cell>
        </row>
      </sheetData>
      <sheetData sheetId="17"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606608.69999999995</v>
          </cell>
          <cell r="D27">
            <v>0</v>
          </cell>
          <cell r="E27">
            <v>0</v>
          </cell>
          <cell r="F27">
            <v>160173.1</v>
          </cell>
          <cell r="G27">
            <v>0</v>
          </cell>
          <cell r="H27">
            <v>0</v>
          </cell>
          <cell r="I27">
            <v>0</v>
          </cell>
          <cell r="J27">
            <v>0</v>
          </cell>
          <cell r="K27">
            <v>0</v>
          </cell>
          <cell r="L27">
            <v>175672.9</v>
          </cell>
          <cell r="M27">
            <v>0</v>
          </cell>
          <cell r="N27">
            <v>0</v>
          </cell>
          <cell r="O27">
            <v>60241.1</v>
          </cell>
          <cell r="P27">
            <v>0</v>
          </cell>
          <cell r="Q27">
            <v>0</v>
          </cell>
          <cell r="R27">
            <v>0</v>
          </cell>
          <cell r="S27">
            <v>0</v>
          </cell>
          <cell r="T27">
            <v>0</v>
          </cell>
          <cell r="U27">
            <v>210521.60000000001</v>
          </cell>
        </row>
        <row r="28">
          <cell r="A28">
            <v>39447</v>
          </cell>
          <cell r="B28">
            <v>0</v>
          </cell>
          <cell r="C28">
            <v>606608.69999999995</v>
          </cell>
          <cell r="D28">
            <v>0</v>
          </cell>
          <cell r="E28">
            <v>0</v>
          </cell>
          <cell r="F28">
            <v>160173.1</v>
          </cell>
          <cell r="G28">
            <v>0</v>
          </cell>
          <cell r="H28">
            <v>0</v>
          </cell>
          <cell r="I28">
            <v>0</v>
          </cell>
          <cell r="J28">
            <v>0</v>
          </cell>
          <cell r="K28">
            <v>0</v>
          </cell>
          <cell r="L28">
            <v>175672.9</v>
          </cell>
          <cell r="M28">
            <v>0</v>
          </cell>
          <cell r="N28">
            <v>0</v>
          </cell>
          <cell r="O28">
            <v>60241.1</v>
          </cell>
          <cell r="P28">
            <v>0</v>
          </cell>
          <cell r="Q28">
            <v>0</v>
          </cell>
          <cell r="R28">
            <v>0</v>
          </cell>
          <cell r="S28">
            <v>0</v>
          </cell>
          <cell r="T28">
            <v>0</v>
          </cell>
          <cell r="U28">
            <v>210521.60000000001</v>
          </cell>
        </row>
        <row r="29">
          <cell r="A29">
            <v>39813</v>
          </cell>
          <cell r="B29">
            <v>0</v>
          </cell>
          <cell r="C29">
            <v>606608.69999999995</v>
          </cell>
          <cell r="D29">
            <v>0</v>
          </cell>
          <cell r="E29">
            <v>0</v>
          </cell>
          <cell r="F29">
            <v>160173.1</v>
          </cell>
          <cell r="G29">
            <v>0</v>
          </cell>
          <cell r="H29">
            <v>0</v>
          </cell>
          <cell r="I29">
            <v>0</v>
          </cell>
          <cell r="J29">
            <v>0</v>
          </cell>
          <cell r="K29">
            <v>0</v>
          </cell>
          <cell r="L29">
            <v>175672.9</v>
          </cell>
          <cell r="M29">
            <v>0</v>
          </cell>
          <cell r="N29">
            <v>0</v>
          </cell>
          <cell r="O29">
            <v>60241.1</v>
          </cell>
          <cell r="P29">
            <v>0</v>
          </cell>
          <cell r="Q29">
            <v>0</v>
          </cell>
          <cell r="R29">
            <v>0</v>
          </cell>
          <cell r="S29">
            <v>0</v>
          </cell>
          <cell r="T29">
            <v>0</v>
          </cell>
          <cell r="U29">
            <v>210521.60000000001</v>
          </cell>
        </row>
        <row r="30">
          <cell r="A30">
            <v>40178</v>
          </cell>
          <cell r="B30">
            <v>0</v>
          </cell>
          <cell r="C30">
            <v>606608.69999999995</v>
          </cell>
          <cell r="D30">
            <v>0</v>
          </cell>
          <cell r="E30">
            <v>0</v>
          </cell>
          <cell r="F30">
            <v>160173.1</v>
          </cell>
          <cell r="G30">
            <v>0</v>
          </cell>
          <cell r="H30">
            <v>0</v>
          </cell>
          <cell r="I30">
            <v>0</v>
          </cell>
          <cell r="J30">
            <v>0</v>
          </cell>
          <cell r="K30">
            <v>0</v>
          </cell>
          <cell r="L30">
            <v>175672.9</v>
          </cell>
          <cell r="M30">
            <v>0</v>
          </cell>
          <cell r="N30">
            <v>0</v>
          </cell>
          <cell r="O30">
            <v>60241.1</v>
          </cell>
          <cell r="P30">
            <v>0</v>
          </cell>
          <cell r="Q30">
            <v>0</v>
          </cell>
          <cell r="R30">
            <v>0</v>
          </cell>
          <cell r="S30">
            <v>0</v>
          </cell>
          <cell r="T30">
            <v>0</v>
          </cell>
          <cell r="U30">
            <v>210521.60000000001</v>
          </cell>
        </row>
        <row r="31">
          <cell r="A31">
            <v>40543</v>
          </cell>
          <cell r="B31">
            <v>0</v>
          </cell>
          <cell r="C31">
            <v>606608.69999999995</v>
          </cell>
          <cell r="D31">
            <v>0</v>
          </cell>
          <cell r="E31">
            <v>0</v>
          </cell>
          <cell r="F31">
            <v>160173.1</v>
          </cell>
          <cell r="G31">
            <v>0</v>
          </cell>
          <cell r="H31">
            <v>0</v>
          </cell>
          <cell r="I31">
            <v>0</v>
          </cell>
          <cell r="J31">
            <v>0</v>
          </cell>
          <cell r="K31">
            <v>0</v>
          </cell>
          <cell r="L31">
            <v>175672.9</v>
          </cell>
          <cell r="M31">
            <v>0</v>
          </cell>
          <cell r="N31">
            <v>0</v>
          </cell>
          <cell r="O31">
            <v>60241.1</v>
          </cell>
          <cell r="P31">
            <v>0</v>
          </cell>
          <cell r="Q31">
            <v>0</v>
          </cell>
          <cell r="R31">
            <v>0</v>
          </cell>
          <cell r="S31">
            <v>0</v>
          </cell>
          <cell r="T31">
            <v>0</v>
          </cell>
          <cell r="U31">
            <v>210521.60000000001</v>
          </cell>
        </row>
        <row r="32">
          <cell r="A32">
            <v>40908</v>
          </cell>
          <cell r="B32">
            <v>0</v>
          </cell>
          <cell r="C32">
            <v>606608.69999999995</v>
          </cell>
          <cell r="D32">
            <v>0</v>
          </cell>
          <cell r="E32">
            <v>0</v>
          </cell>
          <cell r="F32">
            <v>160173.1</v>
          </cell>
          <cell r="G32">
            <v>0</v>
          </cell>
          <cell r="H32">
            <v>0</v>
          </cell>
          <cell r="I32">
            <v>0</v>
          </cell>
          <cell r="J32">
            <v>0</v>
          </cell>
          <cell r="K32">
            <v>0</v>
          </cell>
          <cell r="L32">
            <v>175672.9</v>
          </cell>
          <cell r="M32">
            <v>0</v>
          </cell>
          <cell r="N32">
            <v>0</v>
          </cell>
          <cell r="O32">
            <v>60241.1</v>
          </cell>
          <cell r="P32">
            <v>0</v>
          </cell>
          <cell r="Q32">
            <v>0</v>
          </cell>
          <cell r="R32">
            <v>0</v>
          </cell>
          <cell r="S32">
            <v>0</v>
          </cell>
          <cell r="T32">
            <v>0</v>
          </cell>
          <cell r="U32">
            <v>210521.60000000001</v>
          </cell>
        </row>
        <row r="33">
          <cell r="A33">
            <v>41274</v>
          </cell>
          <cell r="B33">
            <v>0</v>
          </cell>
          <cell r="C33">
            <v>606608.69999999995</v>
          </cell>
          <cell r="D33">
            <v>0</v>
          </cell>
          <cell r="E33">
            <v>0</v>
          </cell>
          <cell r="F33">
            <v>160173.1</v>
          </cell>
          <cell r="G33">
            <v>0</v>
          </cell>
          <cell r="H33">
            <v>0</v>
          </cell>
          <cell r="I33">
            <v>0</v>
          </cell>
          <cell r="J33">
            <v>0</v>
          </cell>
          <cell r="K33">
            <v>0</v>
          </cell>
          <cell r="L33">
            <v>175672.9</v>
          </cell>
          <cell r="M33">
            <v>0</v>
          </cell>
          <cell r="N33">
            <v>0</v>
          </cell>
          <cell r="O33">
            <v>60241.1</v>
          </cell>
          <cell r="P33">
            <v>0</v>
          </cell>
          <cell r="Q33">
            <v>0</v>
          </cell>
          <cell r="R33">
            <v>0</v>
          </cell>
          <cell r="S33">
            <v>0</v>
          </cell>
          <cell r="T33">
            <v>0</v>
          </cell>
          <cell r="U33">
            <v>210521.60000000001</v>
          </cell>
        </row>
        <row r="34">
          <cell r="A34">
            <v>41639</v>
          </cell>
          <cell r="B34">
            <v>0</v>
          </cell>
          <cell r="C34">
            <v>606608.69999999995</v>
          </cell>
          <cell r="D34">
            <v>0</v>
          </cell>
          <cell r="E34">
            <v>0</v>
          </cell>
          <cell r="F34">
            <v>160173.1</v>
          </cell>
          <cell r="G34">
            <v>0</v>
          </cell>
          <cell r="H34">
            <v>0</v>
          </cell>
          <cell r="I34">
            <v>0</v>
          </cell>
          <cell r="J34">
            <v>0</v>
          </cell>
          <cell r="K34">
            <v>0</v>
          </cell>
          <cell r="L34">
            <v>175672.9</v>
          </cell>
          <cell r="M34">
            <v>0</v>
          </cell>
          <cell r="N34">
            <v>0</v>
          </cell>
          <cell r="O34">
            <v>60241.1</v>
          </cell>
          <cell r="P34">
            <v>0</v>
          </cell>
          <cell r="Q34">
            <v>0</v>
          </cell>
          <cell r="R34">
            <v>0</v>
          </cell>
          <cell r="S34">
            <v>0</v>
          </cell>
          <cell r="T34">
            <v>0</v>
          </cell>
          <cell r="U34">
            <v>210521.60000000001</v>
          </cell>
        </row>
        <row r="35">
          <cell r="A35">
            <v>42004</v>
          </cell>
          <cell r="B35">
            <v>0</v>
          </cell>
          <cell r="C35">
            <v>606608.69999999995</v>
          </cell>
          <cell r="D35">
            <v>0</v>
          </cell>
          <cell r="E35">
            <v>0</v>
          </cell>
          <cell r="F35">
            <v>160173.1</v>
          </cell>
          <cell r="G35">
            <v>0</v>
          </cell>
          <cell r="H35">
            <v>0</v>
          </cell>
          <cell r="I35">
            <v>0</v>
          </cell>
          <cell r="J35">
            <v>0</v>
          </cell>
          <cell r="K35">
            <v>0</v>
          </cell>
          <cell r="L35">
            <v>175672.9</v>
          </cell>
          <cell r="M35">
            <v>0</v>
          </cell>
          <cell r="N35">
            <v>0</v>
          </cell>
          <cell r="O35">
            <v>60241.1</v>
          </cell>
          <cell r="P35">
            <v>0</v>
          </cell>
          <cell r="Q35">
            <v>0</v>
          </cell>
          <cell r="R35">
            <v>0</v>
          </cell>
          <cell r="S35">
            <v>0</v>
          </cell>
          <cell r="T35">
            <v>0</v>
          </cell>
          <cell r="U35">
            <v>210521.60000000001</v>
          </cell>
        </row>
        <row r="36">
          <cell r="A36">
            <v>42369</v>
          </cell>
          <cell r="B36">
            <v>0</v>
          </cell>
          <cell r="C36">
            <v>606608.69999999995</v>
          </cell>
          <cell r="D36">
            <v>0</v>
          </cell>
          <cell r="E36">
            <v>0</v>
          </cell>
          <cell r="F36">
            <v>160173.1</v>
          </cell>
          <cell r="G36">
            <v>0</v>
          </cell>
          <cell r="H36">
            <v>0</v>
          </cell>
          <cell r="I36">
            <v>0</v>
          </cell>
          <cell r="J36">
            <v>0</v>
          </cell>
          <cell r="K36">
            <v>0</v>
          </cell>
          <cell r="L36">
            <v>175672.9</v>
          </cell>
          <cell r="M36">
            <v>0</v>
          </cell>
          <cell r="N36">
            <v>0</v>
          </cell>
          <cell r="O36">
            <v>60241.1</v>
          </cell>
          <cell r="P36">
            <v>0</v>
          </cell>
          <cell r="Q36">
            <v>0</v>
          </cell>
          <cell r="R36">
            <v>0</v>
          </cell>
          <cell r="S36">
            <v>0</v>
          </cell>
          <cell r="T36">
            <v>0</v>
          </cell>
          <cell r="U36">
            <v>210521.60000000001</v>
          </cell>
        </row>
        <row r="37">
          <cell r="A37">
            <v>42735</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41">
          <cell r="A41">
            <v>37986</v>
          </cell>
          <cell r="B41">
            <v>0</v>
          </cell>
          <cell r="C41">
            <v>0</v>
          </cell>
        </row>
        <row r="42">
          <cell r="A42">
            <v>38352</v>
          </cell>
          <cell r="B42">
            <v>0</v>
          </cell>
          <cell r="C42">
            <v>0</v>
          </cell>
          <cell r="F42">
            <v>0</v>
          </cell>
        </row>
        <row r="43">
          <cell r="A43">
            <v>38717</v>
          </cell>
          <cell r="B43">
            <v>0</v>
          </cell>
          <cell r="C43">
            <v>0</v>
          </cell>
          <cell r="F43">
            <v>0</v>
          </cell>
          <cell r="I43">
            <v>0</v>
          </cell>
          <cell r="L43">
            <v>0</v>
          </cell>
          <cell r="O43">
            <v>0</v>
          </cell>
          <cell r="R43">
            <v>0</v>
          </cell>
          <cell r="U43">
            <v>0</v>
          </cell>
        </row>
        <row r="44">
          <cell r="A44">
            <v>39082</v>
          </cell>
          <cell r="B44">
            <v>0</v>
          </cell>
          <cell r="C44">
            <v>5762782.6500000004</v>
          </cell>
          <cell r="D44">
            <v>0</v>
          </cell>
          <cell r="E44">
            <v>0</v>
          </cell>
          <cell r="F44">
            <v>1521644.45</v>
          </cell>
          <cell r="G44">
            <v>0</v>
          </cell>
          <cell r="H44">
            <v>0</v>
          </cell>
          <cell r="I44">
            <v>0</v>
          </cell>
          <cell r="J44">
            <v>0</v>
          </cell>
          <cell r="K44">
            <v>0</v>
          </cell>
          <cell r="L44">
            <v>1668892.55</v>
          </cell>
          <cell r="M44">
            <v>0</v>
          </cell>
          <cell r="N44">
            <v>0</v>
          </cell>
          <cell r="O44">
            <v>572290.44999999995</v>
          </cell>
          <cell r="P44">
            <v>0</v>
          </cell>
          <cell r="Q44">
            <v>0</v>
          </cell>
          <cell r="R44">
            <v>0</v>
          </cell>
          <cell r="S44">
            <v>0</v>
          </cell>
          <cell r="T44">
            <v>0</v>
          </cell>
          <cell r="U44">
            <v>1999955.2</v>
          </cell>
        </row>
        <row r="45">
          <cell r="A45">
            <v>39447</v>
          </cell>
          <cell r="B45">
            <v>0</v>
          </cell>
          <cell r="C45">
            <v>5156173.95</v>
          </cell>
          <cell r="D45">
            <v>0</v>
          </cell>
          <cell r="E45">
            <v>0</v>
          </cell>
          <cell r="F45">
            <v>1361471.3499999999</v>
          </cell>
          <cell r="G45">
            <v>0</v>
          </cell>
          <cell r="H45">
            <v>0</v>
          </cell>
          <cell r="I45">
            <v>0</v>
          </cell>
          <cell r="J45">
            <v>0</v>
          </cell>
          <cell r="K45">
            <v>0</v>
          </cell>
          <cell r="L45">
            <v>1493219.6500000001</v>
          </cell>
          <cell r="M45">
            <v>0</v>
          </cell>
          <cell r="N45">
            <v>0</v>
          </cell>
          <cell r="O45">
            <v>512049.35</v>
          </cell>
          <cell r="P45">
            <v>0</v>
          </cell>
          <cell r="Q45">
            <v>0</v>
          </cell>
          <cell r="R45">
            <v>0</v>
          </cell>
          <cell r="S45">
            <v>0</v>
          </cell>
          <cell r="T45">
            <v>0</v>
          </cell>
          <cell r="U45">
            <v>1789433.5999999999</v>
          </cell>
        </row>
        <row r="46">
          <cell r="A46">
            <v>39813</v>
          </cell>
          <cell r="B46">
            <v>0</v>
          </cell>
          <cell r="C46">
            <v>4549565.25</v>
          </cell>
          <cell r="D46">
            <v>0</v>
          </cell>
          <cell r="E46">
            <v>0</v>
          </cell>
          <cell r="F46">
            <v>1201298.2499999998</v>
          </cell>
          <cell r="G46">
            <v>0</v>
          </cell>
          <cell r="H46">
            <v>0</v>
          </cell>
          <cell r="I46">
            <v>0</v>
          </cell>
          <cell r="J46">
            <v>0</v>
          </cell>
          <cell r="K46">
            <v>0</v>
          </cell>
          <cell r="L46">
            <v>1317546.7500000002</v>
          </cell>
          <cell r="M46">
            <v>0</v>
          </cell>
          <cell r="N46">
            <v>0</v>
          </cell>
          <cell r="O46">
            <v>451808.25</v>
          </cell>
          <cell r="P46">
            <v>0</v>
          </cell>
          <cell r="Q46">
            <v>0</v>
          </cell>
          <cell r="R46">
            <v>0</v>
          </cell>
          <cell r="S46">
            <v>0</v>
          </cell>
          <cell r="T46">
            <v>0</v>
          </cell>
          <cell r="U46">
            <v>1578911.9999999998</v>
          </cell>
        </row>
        <row r="47">
          <cell r="A47">
            <v>40178</v>
          </cell>
          <cell r="B47">
            <v>0</v>
          </cell>
          <cell r="C47">
            <v>3942956.55</v>
          </cell>
          <cell r="D47">
            <v>0</v>
          </cell>
          <cell r="E47">
            <v>0</v>
          </cell>
          <cell r="F47">
            <v>1041125.1499999998</v>
          </cell>
          <cell r="G47">
            <v>0</v>
          </cell>
          <cell r="H47">
            <v>0</v>
          </cell>
          <cell r="I47">
            <v>0</v>
          </cell>
          <cell r="J47">
            <v>0</v>
          </cell>
          <cell r="K47">
            <v>0</v>
          </cell>
          <cell r="L47">
            <v>1141873.8500000003</v>
          </cell>
          <cell r="M47">
            <v>0</v>
          </cell>
          <cell r="N47">
            <v>0</v>
          </cell>
          <cell r="O47">
            <v>391567.15</v>
          </cell>
          <cell r="P47">
            <v>0</v>
          </cell>
          <cell r="Q47">
            <v>0</v>
          </cell>
          <cell r="R47">
            <v>0</v>
          </cell>
          <cell r="S47">
            <v>0</v>
          </cell>
          <cell r="T47">
            <v>0</v>
          </cell>
          <cell r="U47">
            <v>1368390.3999999997</v>
          </cell>
        </row>
        <row r="48">
          <cell r="A48">
            <v>40543</v>
          </cell>
          <cell r="B48">
            <v>0</v>
          </cell>
          <cell r="C48">
            <v>3336347.8499999996</v>
          </cell>
          <cell r="D48">
            <v>0</v>
          </cell>
          <cell r="E48">
            <v>0</v>
          </cell>
          <cell r="F48">
            <v>880952.04999999981</v>
          </cell>
          <cell r="G48">
            <v>0</v>
          </cell>
          <cell r="H48">
            <v>0</v>
          </cell>
          <cell r="I48">
            <v>0</v>
          </cell>
          <cell r="J48">
            <v>0</v>
          </cell>
          <cell r="K48">
            <v>0</v>
          </cell>
          <cell r="L48">
            <v>966200.9500000003</v>
          </cell>
          <cell r="M48">
            <v>0</v>
          </cell>
          <cell r="N48">
            <v>0</v>
          </cell>
          <cell r="O48">
            <v>331326.05000000005</v>
          </cell>
          <cell r="P48">
            <v>0</v>
          </cell>
          <cell r="Q48">
            <v>0</v>
          </cell>
          <cell r="R48">
            <v>0</v>
          </cell>
          <cell r="S48">
            <v>0</v>
          </cell>
          <cell r="T48">
            <v>0</v>
          </cell>
          <cell r="U48">
            <v>1157868.7999999996</v>
          </cell>
        </row>
        <row r="49">
          <cell r="A49">
            <v>40908</v>
          </cell>
          <cell r="B49">
            <v>0</v>
          </cell>
          <cell r="C49">
            <v>2729739.15</v>
          </cell>
          <cell r="D49">
            <v>0</v>
          </cell>
          <cell r="E49">
            <v>0</v>
          </cell>
          <cell r="F49">
            <v>720778.94999999984</v>
          </cell>
          <cell r="G49">
            <v>0</v>
          </cell>
          <cell r="H49">
            <v>0</v>
          </cell>
          <cell r="I49">
            <v>0</v>
          </cell>
          <cell r="J49">
            <v>0</v>
          </cell>
          <cell r="K49">
            <v>0</v>
          </cell>
          <cell r="L49">
            <v>790528.05000000028</v>
          </cell>
          <cell r="M49">
            <v>0</v>
          </cell>
          <cell r="N49">
            <v>0</v>
          </cell>
          <cell r="O49">
            <v>271084.95000000007</v>
          </cell>
          <cell r="P49">
            <v>0</v>
          </cell>
          <cell r="Q49">
            <v>0</v>
          </cell>
          <cell r="R49">
            <v>0</v>
          </cell>
          <cell r="S49">
            <v>0</v>
          </cell>
          <cell r="T49">
            <v>0</v>
          </cell>
          <cell r="U49">
            <v>947347.1999999996</v>
          </cell>
        </row>
        <row r="50">
          <cell r="A50">
            <v>41274</v>
          </cell>
          <cell r="B50">
            <v>0</v>
          </cell>
          <cell r="C50">
            <v>2123130.4499999997</v>
          </cell>
          <cell r="D50">
            <v>0</v>
          </cell>
          <cell r="E50">
            <v>0</v>
          </cell>
          <cell r="F50">
            <v>560605.84999999986</v>
          </cell>
          <cell r="G50">
            <v>0</v>
          </cell>
          <cell r="H50">
            <v>0</v>
          </cell>
          <cell r="I50">
            <v>0</v>
          </cell>
          <cell r="J50">
            <v>0</v>
          </cell>
          <cell r="K50">
            <v>0</v>
          </cell>
          <cell r="L50">
            <v>614855.15000000026</v>
          </cell>
          <cell r="M50">
            <v>0</v>
          </cell>
          <cell r="N50">
            <v>0</v>
          </cell>
          <cell r="O50">
            <v>210843.85000000006</v>
          </cell>
          <cell r="P50">
            <v>0</v>
          </cell>
          <cell r="Q50">
            <v>0</v>
          </cell>
          <cell r="R50">
            <v>0</v>
          </cell>
          <cell r="S50">
            <v>0</v>
          </cell>
          <cell r="T50">
            <v>0</v>
          </cell>
          <cell r="U50">
            <v>736825.59999999963</v>
          </cell>
        </row>
        <row r="51">
          <cell r="A51">
            <v>41639</v>
          </cell>
          <cell r="B51">
            <v>0</v>
          </cell>
          <cell r="C51">
            <v>1516521.75</v>
          </cell>
          <cell r="D51">
            <v>0</v>
          </cell>
          <cell r="E51">
            <v>0</v>
          </cell>
          <cell r="F51">
            <v>400432.74999999988</v>
          </cell>
          <cell r="G51">
            <v>0</v>
          </cell>
          <cell r="H51">
            <v>0</v>
          </cell>
          <cell r="I51">
            <v>0</v>
          </cell>
          <cell r="J51">
            <v>0</v>
          </cell>
          <cell r="K51">
            <v>0</v>
          </cell>
          <cell r="L51">
            <v>439182.25000000023</v>
          </cell>
          <cell r="M51">
            <v>0</v>
          </cell>
          <cell r="N51">
            <v>0</v>
          </cell>
          <cell r="O51">
            <v>150602.75000000006</v>
          </cell>
          <cell r="P51">
            <v>0</v>
          </cell>
          <cell r="Q51">
            <v>0</v>
          </cell>
          <cell r="R51">
            <v>0</v>
          </cell>
          <cell r="S51">
            <v>0</v>
          </cell>
          <cell r="T51">
            <v>0</v>
          </cell>
          <cell r="U51">
            <v>526303.99999999965</v>
          </cell>
        </row>
        <row r="52">
          <cell r="A52">
            <v>42004</v>
          </cell>
          <cell r="B52">
            <v>0</v>
          </cell>
          <cell r="C52">
            <v>909913.04999999981</v>
          </cell>
          <cell r="D52">
            <v>0</v>
          </cell>
          <cell r="E52">
            <v>0</v>
          </cell>
          <cell r="F52">
            <v>240259.64999999988</v>
          </cell>
          <cell r="G52">
            <v>0</v>
          </cell>
          <cell r="H52">
            <v>0</v>
          </cell>
          <cell r="I52">
            <v>0</v>
          </cell>
          <cell r="J52">
            <v>0</v>
          </cell>
          <cell r="K52">
            <v>0</v>
          </cell>
          <cell r="L52">
            <v>263509.35000000021</v>
          </cell>
          <cell r="M52">
            <v>0</v>
          </cell>
          <cell r="N52">
            <v>0</v>
          </cell>
          <cell r="O52">
            <v>90361.650000000052</v>
          </cell>
          <cell r="P52">
            <v>0</v>
          </cell>
          <cell r="Q52">
            <v>0</v>
          </cell>
          <cell r="R52">
            <v>0</v>
          </cell>
          <cell r="S52">
            <v>0</v>
          </cell>
          <cell r="T52">
            <v>0</v>
          </cell>
          <cell r="U52">
            <v>315782.39999999967</v>
          </cell>
        </row>
        <row r="53">
          <cell r="A53">
            <v>42369</v>
          </cell>
          <cell r="B53">
            <v>0</v>
          </cell>
          <cell r="C53">
            <v>303304.3499999998</v>
          </cell>
          <cell r="D53">
            <v>0</v>
          </cell>
          <cell r="E53">
            <v>0</v>
          </cell>
          <cell r="F53">
            <v>80086.549999999872</v>
          </cell>
          <cell r="G53">
            <v>0</v>
          </cell>
          <cell r="H53">
            <v>0</v>
          </cell>
          <cell r="I53">
            <v>0</v>
          </cell>
          <cell r="J53">
            <v>0</v>
          </cell>
          <cell r="K53">
            <v>0</v>
          </cell>
          <cell r="L53">
            <v>87836.450000000215</v>
          </cell>
          <cell r="M53">
            <v>0</v>
          </cell>
          <cell r="N53">
            <v>0</v>
          </cell>
          <cell r="O53">
            <v>30120.550000000054</v>
          </cell>
          <cell r="P53">
            <v>0</v>
          </cell>
          <cell r="Q53">
            <v>0</v>
          </cell>
          <cell r="R53">
            <v>0</v>
          </cell>
          <cell r="S53">
            <v>0</v>
          </cell>
          <cell r="T53">
            <v>0</v>
          </cell>
          <cell r="U53">
            <v>105260.79999999967</v>
          </cell>
        </row>
        <row r="54">
          <cell r="A54">
            <v>42735</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sheetData>
      <sheetData sheetId="18"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1078545.8999999999</v>
          </cell>
          <cell r="D28">
            <v>0</v>
          </cell>
          <cell r="E28">
            <v>0</v>
          </cell>
          <cell r="F28">
            <v>372155.8</v>
          </cell>
          <cell r="G28">
            <v>0</v>
          </cell>
          <cell r="H28">
            <v>0</v>
          </cell>
          <cell r="I28">
            <v>0</v>
          </cell>
          <cell r="J28">
            <v>0</v>
          </cell>
          <cell r="K28">
            <v>0</v>
          </cell>
          <cell r="L28">
            <v>41299.9</v>
          </cell>
          <cell r="M28">
            <v>0</v>
          </cell>
          <cell r="N28">
            <v>0</v>
          </cell>
          <cell r="O28">
            <v>14941</v>
          </cell>
          <cell r="P28">
            <v>0</v>
          </cell>
          <cell r="Q28">
            <v>0</v>
          </cell>
          <cell r="R28">
            <v>0</v>
          </cell>
          <cell r="S28">
            <v>0</v>
          </cell>
          <cell r="T28">
            <v>0</v>
          </cell>
          <cell r="U28">
            <v>650149.19999999995</v>
          </cell>
        </row>
        <row r="29">
          <cell r="A29">
            <v>39813</v>
          </cell>
          <cell r="B29">
            <v>0</v>
          </cell>
          <cell r="C29">
            <v>1078545.8999999999</v>
          </cell>
          <cell r="D29">
            <v>0</v>
          </cell>
          <cell r="E29">
            <v>0</v>
          </cell>
          <cell r="F29">
            <v>372155.8</v>
          </cell>
          <cell r="G29">
            <v>0</v>
          </cell>
          <cell r="H29">
            <v>0</v>
          </cell>
          <cell r="I29">
            <v>0</v>
          </cell>
          <cell r="J29">
            <v>0</v>
          </cell>
          <cell r="K29">
            <v>0</v>
          </cell>
          <cell r="L29">
            <v>41299.9</v>
          </cell>
          <cell r="M29">
            <v>0</v>
          </cell>
          <cell r="N29">
            <v>0</v>
          </cell>
          <cell r="O29">
            <v>14941</v>
          </cell>
          <cell r="P29">
            <v>0</v>
          </cell>
          <cell r="Q29">
            <v>0</v>
          </cell>
          <cell r="R29">
            <v>0</v>
          </cell>
          <cell r="S29">
            <v>0</v>
          </cell>
          <cell r="T29">
            <v>0</v>
          </cell>
          <cell r="U29">
            <v>650149.19999999995</v>
          </cell>
        </row>
        <row r="30">
          <cell r="A30">
            <v>40178</v>
          </cell>
          <cell r="B30">
            <v>0</v>
          </cell>
          <cell r="C30">
            <v>1078545.8999999999</v>
          </cell>
          <cell r="D30">
            <v>0</v>
          </cell>
          <cell r="E30">
            <v>0</v>
          </cell>
          <cell r="F30">
            <v>372155.8</v>
          </cell>
          <cell r="G30">
            <v>0</v>
          </cell>
          <cell r="H30">
            <v>0</v>
          </cell>
          <cell r="I30">
            <v>0</v>
          </cell>
          <cell r="J30">
            <v>0</v>
          </cell>
          <cell r="K30">
            <v>0</v>
          </cell>
          <cell r="L30">
            <v>41299.9</v>
          </cell>
          <cell r="M30">
            <v>0</v>
          </cell>
          <cell r="N30">
            <v>0</v>
          </cell>
          <cell r="O30">
            <v>14941</v>
          </cell>
          <cell r="P30">
            <v>0</v>
          </cell>
          <cell r="Q30">
            <v>0</v>
          </cell>
          <cell r="R30">
            <v>0</v>
          </cell>
          <cell r="S30">
            <v>0</v>
          </cell>
          <cell r="T30">
            <v>0</v>
          </cell>
          <cell r="U30">
            <v>650149.19999999995</v>
          </cell>
        </row>
        <row r="31">
          <cell r="A31">
            <v>40543</v>
          </cell>
          <cell r="B31">
            <v>0</v>
          </cell>
          <cell r="C31">
            <v>1078545.8999999999</v>
          </cell>
          <cell r="D31">
            <v>0</v>
          </cell>
          <cell r="E31">
            <v>0</v>
          </cell>
          <cell r="F31">
            <v>372155.8</v>
          </cell>
          <cell r="G31">
            <v>0</v>
          </cell>
          <cell r="H31">
            <v>0</v>
          </cell>
          <cell r="I31">
            <v>0</v>
          </cell>
          <cell r="J31">
            <v>0</v>
          </cell>
          <cell r="K31">
            <v>0</v>
          </cell>
          <cell r="L31">
            <v>41299.9</v>
          </cell>
          <cell r="M31">
            <v>0</v>
          </cell>
          <cell r="N31">
            <v>0</v>
          </cell>
          <cell r="O31">
            <v>14941</v>
          </cell>
          <cell r="P31">
            <v>0</v>
          </cell>
          <cell r="Q31">
            <v>0</v>
          </cell>
          <cell r="R31">
            <v>0</v>
          </cell>
          <cell r="S31">
            <v>0</v>
          </cell>
          <cell r="T31">
            <v>0</v>
          </cell>
          <cell r="U31">
            <v>650149.19999999995</v>
          </cell>
        </row>
        <row r="32">
          <cell r="A32">
            <v>40908</v>
          </cell>
          <cell r="B32">
            <v>0</v>
          </cell>
          <cell r="C32">
            <v>1078545.8999999999</v>
          </cell>
          <cell r="D32">
            <v>0</v>
          </cell>
          <cell r="E32">
            <v>0</v>
          </cell>
          <cell r="F32">
            <v>372155.8</v>
          </cell>
          <cell r="G32">
            <v>0</v>
          </cell>
          <cell r="H32">
            <v>0</v>
          </cell>
          <cell r="I32">
            <v>0</v>
          </cell>
          <cell r="J32">
            <v>0</v>
          </cell>
          <cell r="K32">
            <v>0</v>
          </cell>
          <cell r="L32">
            <v>41299.9</v>
          </cell>
          <cell r="M32">
            <v>0</v>
          </cell>
          <cell r="N32">
            <v>0</v>
          </cell>
          <cell r="O32">
            <v>14941</v>
          </cell>
          <cell r="P32">
            <v>0</v>
          </cell>
          <cell r="Q32">
            <v>0</v>
          </cell>
          <cell r="R32">
            <v>0</v>
          </cell>
          <cell r="S32">
            <v>0</v>
          </cell>
          <cell r="T32">
            <v>0</v>
          </cell>
          <cell r="U32">
            <v>650149.19999999995</v>
          </cell>
        </row>
        <row r="33">
          <cell r="A33">
            <v>41274</v>
          </cell>
          <cell r="B33">
            <v>0</v>
          </cell>
          <cell r="C33">
            <v>1078545.8999999999</v>
          </cell>
          <cell r="D33">
            <v>0</v>
          </cell>
          <cell r="E33">
            <v>0</v>
          </cell>
          <cell r="F33">
            <v>372155.8</v>
          </cell>
          <cell r="G33">
            <v>0</v>
          </cell>
          <cell r="H33">
            <v>0</v>
          </cell>
          <cell r="I33">
            <v>0</v>
          </cell>
          <cell r="J33">
            <v>0</v>
          </cell>
          <cell r="K33">
            <v>0</v>
          </cell>
          <cell r="L33">
            <v>41299.9</v>
          </cell>
          <cell r="M33">
            <v>0</v>
          </cell>
          <cell r="N33">
            <v>0</v>
          </cell>
          <cell r="O33">
            <v>14941</v>
          </cell>
          <cell r="P33">
            <v>0</v>
          </cell>
          <cell r="Q33">
            <v>0</v>
          </cell>
          <cell r="R33">
            <v>0</v>
          </cell>
          <cell r="S33">
            <v>0</v>
          </cell>
          <cell r="T33">
            <v>0</v>
          </cell>
          <cell r="U33">
            <v>650149.19999999995</v>
          </cell>
        </row>
        <row r="34">
          <cell r="A34">
            <v>41639</v>
          </cell>
          <cell r="B34">
            <v>0</v>
          </cell>
          <cell r="C34">
            <v>1078545.8999999999</v>
          </cell>
          <cell r="D34">
            <v>0</v>
          </cell>
          <cell r="E34">
            <v>0</v>
          </cell>
          <cell r="F34">
            <v>372155.8</v>
          </cell>
          <cell r="G34">
            <v>0</v>
          </cell>
          <cell r="H34">
            <v>0</v>
          </cell>
          <cell r="I34">
            <v>0</v>
          </cell>
          <cell r="J34">
            <v>0</v>
          </cell>
          <cell r="K34">
            <v>0</v>
          </cell>
          <cell r="L34">
            <v>41299.9</v>
          </cell>
          <cell r="M34">
            <v>0</v>
          </cell>
          <cell r="N34">
            <v>0</v>
          </cell>
          <cell r="O34">
            <v>14941</v>
          </cell>
          <cell r="P34">
            <v>0</v>
          </cell>
          <cell r="Q34">
            <v>0</v>
          </cell>
          <cell r="R34">
            <v>0</v>
          </cell>
          <cell r="S34">
            <v>0</v>
          </cell>
          <cell r="T34">
            <v>0</v>
          </cell>
          <cell r="U34">
            <v>650149.19999999995</v>
          </cell>
        </row>
        <row r="35">
          <cell r="A35">
            <v>42004</v>
          </cell>
          <cell r="B35">
            <v>0</v>
          </cell>
          <cell r="C35">
            <v>1078545.8999999999</v>
          </cell>
          <cell r="D35">
            <v>0</v>
          </cell>
          <cell r="E35">
            <v>0</v>
          </cell>
          <cell r="F35">
            <v>372155.8</v>
          </cell>
          <cell r="G35">
            <v>0</v>
          </cell>
          <cell r="H35">
            <v>0</v>
          </cell>
          <cell r="I35">
            <v>0</v>
          </cell>
          <cell r="J35">
            <v>0</v>
          </cell>
          <cell r="K35">
            <v>0</v>
          </cell>
          <cell r="L35">
            <v>41299.9</v>
          </cell>
          <cell r="M35">
            <v>0</v>
          </cell>
          <cell r="N35">
            <v>0</v>
          </cell>
          <cell r="O35">
            <v>14941</v>
          </cell>
          <cell r="P35">
            <v>0</v>
          </cell>
          <cell r="Q35">
            <v>0</v>
          </cell>
          <cell r="R35">
            <v>0</v>
          </cell>
          <cell r="S35">
            <v>0</v>
          </cell>
          <cell r="T35">
            <v>0</v>
          </cell>
          <cell r="U35">
            <v>650149.19999999995</v>
          </cell>
        </row>
        <row r="36">
          <cell r="A36">
            <v>42369</v>
          </cell>
          <cell r="B36">
            <v>0</v>
          </cell>
          <cell r="C36">
            <v>1078545.8999999999</v>
          </cell>
          <cell r="D36">
            <v>0</v>
          </cell>
          <cell r="E36">
            <v>0</v>
          </cell>
          <cell r="F36">
            <v>372155.8</v>
          </cell>
          <cell r="G36">
            <v>0</v>
          </cell>
          <cell r="H36">
            <v>0</v>
          </cell>
          <cell r="I36">
            <v>0</v>
          </cell>
          <cell r="J36">
            <v>0</v>
          </cell>
          <cell r="K36">
            <v>0</v>
          </cell>
          <cell r="L36">
            <v>41299.9</v>
          </cell>
          <cell r="M36">
            <v>0</v>
          </cell>
          <cell r="N36">
            <v>0</v>
          </cell>
          <cell r="O36">
            <v>14941</v>
          </cell>
          <cell r="P36">
            <v>0</v>
          </cell>
          <cell r="Q36">
            <v>0</v>
          </cell>
          <cell r="R36">
            <v>0</v>
          </cell>
          <cell r="S36">
            <v>0</v>
          </cell>
          <cell r="T36">
            <v>0</v>
          </cell>
          <cell r="U36">
            <v>650149.19999999995</v>
          </cell>
        </row>
        <row r="37">
          <cell r="A37">
            <v>42735</v>
          </cell>
          <cell r="B37">
            <v>0</v>
          </cell>
          <cell r="C37">
            <v>1078545.8999999999</v>
          </cell>
          <cell r="D37">
            <v>0</v>
          </cell>
          <cell r="E37">
            <v>0</v>
          </cell>
          <cell r="F37">
            <v>372155.8</v>
          </cell>
          <cell r="G37">
            <v>0</v>
          </cell>
          <cell r="H37">
            <v>0</v>
          </cell>
          <cell r="I37">
            <v>0</v>
          </cell>
          <cell r="J37">
            <v>0</v>
          </cell>
          <cell r="K37">
            <v>0</v>
          </cell>
          <cell r="L37">
            <v>41299.9</v>
          </cell>
          <cell r="M37">
            <v>0</v>
          </cell>
          <cell r="N37">
            <v>0</v>
          </cell>
          <cell r="O37">
            <v>14941</v>
          </cell>
          <cell r="P37">
            <v>0</v>
          </cell>
          <cell r="Q37">
            <v>0</v>
          </cell>
          <cell r="R37">
            <v>0</v>
          </cell>
          <cell r="S37">
            <v>0</v>
          </cell>
          <cell r="T37">
            <v>0</v>
          </cell>
          <cell r="U37">
            <v>650149.19999999995</v>
          </cell>
        </row>
        <row r="38">
          <cell r="A38">
            <v>43100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2">
          <cell r="A42">
            <v>37986</v>
          </cell>
          <cell r="B42">
            <v>0</v>
          </cell>
          <cell r="C42">
            <v>0</v>
          </cell>
        </row>
        <row r="43">
          <cell r="A43">
            <v>38352</v>
          </cell>
          <cell r="B43">
            <v>0</v>
          </cell>
          <cell r="C43">
            <v>0</v>
          </cell>
          <cell r="F43">
            <v>0</v>
          </cell>
        </row>
        <row r="44">
          <cell r="A44">
            <v>38717</v>
          </cell>
          <cell r="B44">
            <v>0</v>
          </cell>
          <cell r="C44">
            <v>0</v>
          </cell>
          <cell r="F44">
            <v>0</v>
          </cell>
          <cell r="I44">
            <v>0</v>
          </cell>
          <cell r="L44">
            <v>0</v>
          </cell>
          <cell r="O44">
            <v>0</v>
          </cell>
          <cell r="R44">
            <v>0</v>
          </cell>
          <cell r="U44">
            <v>0</v>
          </cell>
        </row>
        <row r="45">
          <cell r="A45">
            <v>39082</v>
          </cell>
          <cell r="B45">
            <v>0</v>
          </cell>
          <cell r="C45">
            <v>0</v>
          </cell>
          <cell r="F45">
            <v>0</v>
          </cell>
          <cell r="I45">
            <v>0</v>
          </cell>
          <cell r="L45">
            <v>0</v>
          </cell>
          <cell r="O45">
            <v>0</v>
          </cell>
          <cell r="R45">
            <v>0</v>
          </cell>
          <cell r="U45">
            <v>0</v>
          </cell>
        </row>
        <row r="46">
          <cell r="A46">
            <v>39447</v>
          </cell>
          <cell r="B46">
            <v>0</v>
          </cell>
          <cell r="C46">
            <v>10246186.050000001</v>
          </cell>
          <cell r="F46">
            <v>3535480.1</v>
          </cell>
          <cell r="I46">
            <v>0</v>
          </cell>
          <cell r="L46">
            <v>392349.05</v>
          </cell>
          <cell r="O46">
            <v>141939.5</v>
          </cell>
          <cell r="R46">
            <v>0</v>
          </cell>
          <cell r="U46">
            <v>6176417.4000000004</v>
          </cell>
        </row>
        <row r="47">
          <cell r="A47">
            <v>39813</v>
          </cell>
          <cell r="B47">
            <v>0</v>
          </cell>
          <cell r="C47">
            <v>9167640.1500000004</v>
          </cell>
          <cell r="F47">
            <v>3163324.3000000003</v>
          </cell>
          <cell r="I47">
            <v>0</v>
          </cell>
          <cell r="L47">
            <v>351049.14999999997</v>
          </cell>
          <cell r="O47">
            <v>126998.5</v>
          </cell>
          <cell r="R47">
            <v>0</v>
          </cell>
          <cell r="U47">
            <v>5526268.2000000002</v>
          </cell>
        </row>
        <row r="48">
          <cell r="A48">
            <v>40178</v>
          </cell>
          <cell r="B48">
            <v>0</v>
          </cell>
          <cell r="C48">
            <v>8089094.25</v>
          </cell>
          <cell r="F48">
            <v>2791168.5000000005</v>
          </cell>
          <cell r="I48">
            <v>0</v>
          </cell>
          <cell r="L48">
            <v>309749.24999999994</v>
          </cell>
          <cell r="O48">
            <v>112057.5</v>
          </cell>
          <cell r="R48">
            <v>0</v>
          </cell>
          <cell r="U48">
            <v>4876119</v>
          </cell>
        </row>
        <row r="49">
          <cell r="A49">
            <v>40543</v>
          </cell>
          <cell r="B49">
            <v>0</v>
          </cell>
          <cell r="C49">
            <v>7010548.3500000006</v>
          </cell>
          <cell r="F49">
            <v>2419012.7000000007</v>
          </cell>
          <cell r="I49">
            <v>0</v>
          </cell>
          <cell r="L49">
            <v>268449.34999999992</v>
          </cell>
          <cell r="O49">
            <v>97116.5</v>
          </cell>
          <cell r="R49">
            <v>0</v>
          </cell>
          <cell r="U49">
            <v>4225969.8</v>
          </cell>
        </row>
        <row r="50">
          <cell r="A50">
            <v>40908</v>
          </cell>
          <cell r="B50">
            <v>0</v>
          </cell>
          <cell r="C50">
            <v>5932002.4500000002</v>
          </cell>
          <cell r="F50">
            <v>2046856.9000000006</v>
          </cell>
          <cell r="I50">
            <v>0</v>
          </cell>
          <cell r="L50">
            <v>227149.44999999992</v>
          </cell>
          <cell r="O50">
            <v>82175.5</v>
          </cell>
          <cell r="R50">
            <v>0</v>
          </cell>
          <cell r="U50">
            <v>3575820.5999999996</v>
          </cell>
        </row>
        <row r="51">
          <cell r="A51">
            <v>41274</v>
          </cell>
          <cell r="B51">
            <v>0</v>
          </cell>
          <cell r="C51">
            <v>4853456.55</v>
          </cell>
          <cell r="F51">
            <v>1674701.1000000006</v>
          </cell>
          <cell r="I51">
            <v>0</v>
          </cell>
          <cell r="L51">
            <v>185849.54999999993</v>
          </cell>
          <cell r="O51">
            <v>67234.5</v>
          </cell>
          <cell r="R51">
            <v>0</v>
          </cell>
          <cell r="U51">
            <v>2925671.3999999994</v>
          </cell>
        </row>
        <row r="52">
          <cell r="A52">
            <v>41639</v>
          </cell>
          <cell r="B52">
            <v>0</v>
          </cell>
          <cell r="C52">
            <v>3774910.6499999994</v>
          </cell>
          <cell r="F52">
            <v>1302545.3000000005</v>
          </cell>
          <cell r="I52">
            <v>0</v>
          </cell>
          <cell r="L52">
            <v>144549.64999999994</v>
          </cell>
          <cell r="O52">
            <v>52293.5</v>
          </cell>
          <cell r="R52">
            <v>0</v>
          </cell>
          <cell r="U52">
            <v>2275522.1999999993</v>
          </cell>
        </row>
        <row r="53">
          <cell r="A53">
            <v>42004</v>
          </cell>
          <cell r="B53">
            <v>0</v>
          </cell>
          <cell r="C53">
            <v>2696364.75</v>
          </cell>
          <cell r="F53">
            <v>930389.50000000047</v>
          </cell>
          <cell r="I53">
            <v>0</v>
          </cell>
          <cell r="L53">
            <v>103249.74999999994</v>
          </cell>
          <cell r="O53">
            <v>37352.5</v>
          </cell>
          <cell r="R53">
            <v>0</v>
          </cell>
          <cell r="U53">
            <v>1625372.9999999993</v>
          </cell>
        </row>
        <row r="54">
          <cell r="A54">
            <v>42369</v>
          </cell>
          <cell r="B54">
            <v>0</v>
          </cell>
          <cell r="C54">
            <v>1617818.8499999996</v>
          </cell>
          <cell r="F54">
            <v>558233.70000000042</v>
          </cell>
          <cell r="I54">
            <v>0</v>
          </cell>
          <cell r="L54">
            <v>61949.84999999994</v>
          </cell>
          <cell r="O54">
            <v>22411.5</v>
          </cell>
          <cell r="R54">
            <v>0</v>
          </cell>
          <cell r="U54">
            <v>975223.79999999935</v>
          </cell>
        </row>
        <row r="55">
          <cell r="A55">
            <v>42735</v>
          </cell>
          <cell r="B55">
            <v>0</v>
          </cell>
          <cell r="C55">
            <v>539272.94999999972</v>
          </cell>
          <cell r="F55">
            <v>186077.90000000043</v>
          </cell>
          <cell r="I55">
            <v>0</v>
          </cell>
          <cell r="L55">
            <v>20649.949999999939</v>
          </cell>
          <cell r="O55">
            <v>7470.5</v>
          </cell>
          <cell r="R55">
            <v>0</v>
          </cell>
          <cell r="U55">
            <v>325074.59999999939</v>
          </cell>
        </row>
        <row r="56">
          <cell r="A56">
            <v>43100</v>
          </cell>
          <cell r="B56">
            <v>0</v>
          </cell>
          <cell r="C56">
            <v>0</v>
          </cell>
          <cell r="F56">
            <v>0</v>
          </cell>
          <cell r="I56">
            <v>0</v>
          </cell>
          <cell r="L56">
            <v>0</v>
          </cell>
          <cell r="O56">
            <v>0</v>
          </cell>
          <cell r="R56">
            <v>0</v>
          </cell>
          <cell r="U56">
            <v>0</v>
          </cell>
        </row>
      </sheetData>
      <sheetData sheetId="19"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39813</v>
          </cell>
          <cell r="B29">
            <v>0</v>
          </cell>
          <cell r="C29">
            <v>913727.2</v>
          </cell>
          <cell r="D29">
            <v>0</v>
          </cell>
          <cell r="E29">
            <v>0</v>
          </cell>
          <cell r="F29">
            <v>304540</v>
          </cell>
          <cell r="G29">
            <v>0</v>
          </cell>
          <cell r="H29">
            <v>0</v>
          </cell>
          <cell r="I29">
            <v>0</v>
          </cell>
          <cell r="J29">
            <v>0</v>
          </cell>
          <cell r="K29">
            <v>0</v>
          </cell>
          <cell r="L29">
            <v>73606.8</v>
          </cell>
          <cell r="M29">
            <v>0</v>
          </cell>
          <cell r="N29">
            <v>0</v>
          </cell>
          <cell r="O29">
            <v>27164.6</v>
          </cell>
          <cell r="P29">
            <v>0</v>
          </cell>
          <cell r="Q29">
            <v>0</v>
          </cell>
          <cell r="R29">
            <v>0</v>
          </cell>
          <cell r="S29">
            <v>0</v>
          </cell>
          <cell r="T29">
            <v>0</v>
          </cell>
          <cell r="U29">
            <v>508415.8</v>
          </cell>
        </row>
        <row r="30">
          <cell r="A30">
            <v>40178</v>
          </cell>
          <cell r="B30">
            <v>0</v>
          </cell>
          <cell r="C30">
            <v>913727.2</v>
          </cell>
          <cell r="D30">
            <v>0</v>
          </cell>
          <cell r="E30">
            <v>0</v>
          </cell>
          <cell r="F30">
            <v>304540</v>
          </cell>
          <cell r="G30">
            <v>0</v>
          </cell>
          <cell r="H30">
            <v>0</v>
          </cell>
          <cell r="I30">
            <v>0</v>
          </cell>
          <cell r="J30">
            <v>0</v>
          </cell>
          <cell r="K30">
            <v>0</v>
          </cell>
          <cell r="L30">
            <v>73606.8</v>
          </cell>
          <cell r="M30">
            <v>0</v>
          </cell>
          <cell r="N30">
            <v>0</v>
          </cell>
          <cell r="O30">
            <v>27164.6</v>
          </cell>
          <cell r="P30">
            <v>0</v>
          </cell>
          <cell r="Q30">
            <v>0</v>
          </cell>
          <cell r="R30">
            <v>0</v>
          </cell>
          <cell r="S30">
            <v>0</v>
          </cell>
          <cell r="T30">
            <v>0</v>
          </cell>
          <cell r="U30">
            <v>508415.8</v>
          </cell>
        </row>
        <row r="31">
          <cell r="A31">
            <v>40543</v>
          </cell>
          <cell r="B31">
            <v>0</v>
          </cell>
          <cell r="C31">
            <v>913727.2</v>
          </cell>
          <cell r="D31">
            <v>0</v>
          </cell>
          <cell r="E31">
            <v>0</v>
          </cell>
          <cell r="F31">
            <v>304540</v>
          </cell>
          <cell r="G31">
            <v>0</v>
          </cell>
          <cell r="H31">
            <v>0</v>
          </cell>
          <cell r="I31">
            <v>0</v>
          </cell>
          <cell r="J31">
            <v>0</v>
          </cell>
          <cell r="K31">
            <v>0</v>
          </cell>
          <cell r="L31">
            <v>73606.8</v>
          </cell>
          <cell r="M31">
            <v>0</v>
          </cell>
          <cell r="N31">
            <v>0</v>
          </cell>
          <cell r="O31">
            <v>27164.6</v>
          </cell>
          <cell r="P31">
            <v>0</v>
          </cell>
          <cell r="Q31">
            <v>0</v>
          </cell>
          <cell r="R31">
            <v>0</v>
          </cell>
          <cell r="S31">
            <v>0</v>
          </cell>
          <cell r="T31">
            <v>0</v>
          </cell>
          <cell r="U31">
            <v>508415.8</v>
          </cell>
        </row>
        <row r="32">
          <cell r="A32">
            <v>40908</v>
          </cell>
          <cell r="B32">
            <v>0</v>
          </cell>
          <cell r="C32">
            <v>913727.2</v>
          </cell>
          <cell r="D32">
            <v>0</v>
          </cell>
          <cell r="E32">
            <v>0</v>
          </cell>
          <cell r="F32">
            <v>304540</v>
          </cell>
          <cell r="G32">
            <v>0</v>
          </cell>
          <cell r="H32">
            <v>0</v>
          </cell>
          <cell r="I32">
            <v>0</v>
          </cell>
          <cell r="J32">
            <v>0</v>
          </cell>
          <cell r="K32">
            <v>0</v>
          </cell>
          <cell r="L32">
            <v>73606.8</v>
          </cell>
          <cell r="M32">
            <v>0</v>
          </cell>
          <cell r="N32">
            <v>0</v>
          </cell>
          <cell r="O32">
            <v>27164.6</v>
          </cell>
          <cell r="P32">
            <v>0</v>
          </cell>
          <cell r="Q32">
            <v>0</v>
          </cell>
          <cell r="R32">
            <v>0</v>
          </cell>
          <cell r="S32">
            <v>0</v>
          </cell>
          <cell r="T32">
            <v>0</v>
          </cell>
          <cell r="U32">
            <v>508415.8</v>
          </cell>
        </row>
        <row r="33">
          <cell r="A33">
            <v>41274</v>
          </cell>
          <cell r="B33">
            <v>0</v>
          </cell>
          <cell r="C33">
            <v>913727.2</v>
          </cell>
          <cell r="D33">
            <v>0</v>
          </cell>
          <cell r="E33">
            <v>0</v>
          </cell>
          <cell r="F33">
            <v>304540</v>
          </cell>
          <cell r="G33">
            <v>0</v>
          </cell>
          <cell r="H33">
            <v>0</v>
          </cell>
          <cell r="I33">
            <v>0</v>
          </cell>
          <cell r="J33">
            <v>0</v>
          </cell>
          <cell r="K33">
            <v>0</v>
          </cell>
          <cell r="L33">
            <v>73606.8</v>
          </cell>
          <cell r="M33">
            <v>0</v>
          </cell>
          <cell r="N33">
            <v>0</v>
          </cell>
          <cell r="O33">
            <v>27164.6</v>
          </cell>
          <cell r="P33">
            <v>0</v>
          </cell>
          <cell r="Q33">
            <v>0</v>
          </cell>
          <cell r="R33">
            <v>0</v>
          </cell>
          <cell r="S33">
            <v>0</v>
          </cell>
          <cell r="T33">
            <v>0</v>
          </cell>
          <cell r="U33">
            <v>508415.8</v>
          </cell>
        </row>
        <row r="34">
          <cell r="A34">
            <v>41639</v>
          </cell>
          <cell r="B34">
            <v>0</v>
          </cell>
          <cell r="C34">
            <v>913727.2</v>
          </cell>
          <cell r="D34">
            <v>0</v>
          </cell>
          <cell r="E34">
            <v>0</v>
          </cell>
          <cell r="F34">
            <v>304540</v>
          </cell>
          <cell r="G34">
            <v>0</v>
          </cell>
          <cell r="H34">
            <v>0</v>
          </cell>
          <cell r="I34">
            <v>0</v>
          </cell>
          <cell r="J34">
            <v>0</v>
          </cell>
          <cell r="K34">
            <v>0</v>
          </cell>
          <cell r="L34">
            <v>73606.8</v>
          </cell>
          <cell r="M34">
            <v>0</v>
          </cell>
          <cell r="N34">
            <v>0</v>
          </cell>
          <cell r="O34">
            <v>27164.6</v>
          </cell>
          <cell r="P34">
            <v>0</v>
          </cell>
          <cell r="Q34">
            <v>0</v>
          </cell>
          <cell r="R34">
            <v>0</v>
          </cell>
          <cell r="S34">
            <v>0</v>
          </cell>
          <cell r="T34">
            <v>0</v>
          </cell>
          <cell r="U34">
            <v>508415.8</v>
          </cell>
        </row>
        <row r="35">
          <cell r="A35">
            <v>42004</v>
          </cell>
          <cell r="B35">
            <v>0</v>
          </cell>
          <cell r="C35">
            <v>913727.2</v>
          </cell>
          <cell r="D35">
            <v>0</v>
          </cell>
          <cell r="E35">
            <v>0</v>
          </cell>
          <cell r="F35">
            <v>304540</v>
          </cell>
          <cell r="G35">
            <v>0</v>
          </cell>
          <cell r="H35">
            <v>0</v>
          </cell>
          <cell r="I35">
            <v>0</v>
          </cell>
          <cell r="J35">
            <v>0</v>
          </cell>
          <cell r="K35">
            <v>0</v>
          </cell>
          <cell r="L35">
            <v>73606.8</v>
          </cell>
          <cell r="M35">
            <v>0</v>
          </cell>
          <cell r="N35">
            <v>0</v>
          </cell>
          <cell r="O35">
            <v>27164.6</v>
          </cell>
          <cell r="P35">
            <v>0</v>
          </cell>
          <cell r="Q35">
            <v>0</v>
          </cell>
          <cell r="R35">
            <v>0</v>
          </cell>
          <cell r="S35">
            <v>0</v>
          </cell>
          <cell r="T35">
            <v>0</v>
          </cell>
          <cell r="U35">
            <v>508415.8</v>
          </cell>
        </row>
        <row r="36">
          <cell r="A36">
            <v>42369</v>
          </cell>
          <cell r="B36">
            <v>0</v>
          </cell>
          <cell r="C36">
            <v>913727.2</v>
          </cell>
          <cell r="D36">
            <v>0</v>
          </cell>
          <cell r="E36">
            <v>0</v>
          </cell>
          <cell r="F36">
            <v>304540</v>
          </cell>
          <cell r="G36">
            <v>0</v>
          </cell>
          <cell r="H36">
            <v>0</v>
          </cell>
          <cell r="I36">
            <v>0</v>
          </cell>
          <cell r="J36">
            <v>0</v>
          </cell>
          <cell r="K36">
            <v>0</v>
          </cell>
          <cell r="L36">
            <v>73606.8</v>
          </cell>
          <cell r="M36">
            <v>0</v>
          </cell>
          <cell r="N36">
            <v>0</v>
          </cell>
          <cell r="O36">
            <v>27164.6</v>
          </cell>
          <cell r="P36">
            <v>0</v>
          </cell>
          <cell r="Q36">
            <v>0</v>
          </cell>
          <cell r="R36">
            <v>0</v>
          </cell>
          <cell r="S36">
            <v>0</v>
          </cell>
          <cell r="T36">
            <v>0</v>
          </cell>
          <cell r="U36">
            <v>508415.8</v>
          </cell>
        </row>
        <row r="37">
          <cell r="A37">
            <v>42735</v>
          </cell>
          <cell r="B37">
            <v>0</v>
          </cell>
          <cell r="C37">
            <v>913727.2</v>
          </cell>
          <cell r="D37">
            <v>0</v>
          </cell>
          <cell r="E37">
            <v>0</v>
          </cell>
          <cell r="F37">
            <v>304540</v>
          </cell>
          <cell r="G37">
            <v>0</v>
          </cell>
          <cell r="H37">
            <v>0</v>
          </cell>
          <cell r="I37">
            <v>0</v>
          </cell>
          <cell r="J37">
            <v>0</v>
          </cell>
          <cell r="K37">
            <v>0</v>
          </cell>
          <cell r="L37">
            <v>73606.8</v>
          </cell>
          <cell r="M37">
            <v>0</v>
          </cell>
          <cell r="N37">
            <v>0</v>
          </cell>
          <cell r="O37">
            <v>27164.6</v>
          </cell>
          <cell r="P37">
            <v>0</v>
          </cell>
          <cell r="Q37">
            <v>0</v>
          </cell>
          <cell r="R37">
            <v>0</v>
          </cell>
          <cell r="S37">
            <v>0</v>
          </cell>
          <cell r="T37">
            <v>0</v>
          </cell>
          <cell r="U37">
            <v>508415.8</v>
          </cell>
        </row>
        <row r="38">
          <cell r="A38">
            <v>43100</v>
          </cell>
          <cell r="B38">
            <v>0</v>
          </cell>
          <cell r="C38">
            <v>913727.2</v>
          </cell>
          <cell r="D38">
            <v>0</v>
          </cell>
          <cell r="E38">
            <v>0</v>
          </cell>
          <cell r="F38">
            <v>304540</v>
          </cell>
          <cell r="G38">
            <v>0</v>
          </cell>
          <cell r="H38">
            <v>0</v>
          </cell>
          <cell r="I38">
            <v>0</v>
          </cell>
          <cell r="J38">
            <v>0</v>
          </cell>
          <cell r="K38">
            <v>0</v>
          </cell>
          <cell r="L38">
            <v>73606.8</v>
          </cell>
          <cell r="M38">
            <v>0</v>
          </cell>
          <cell r="N38">
            <v>0</v>
          </cell>
          <cell r="O38">
            <v>27164.6</v>
          </cell>
          <cell r="P38">
            <v>0</v>
          </cell>
          <cell r="Q38">
            <v>0</v>
          </cell>
          <cell r="R38">
            <v>0</v>
          </cell>
          <cell r="S38">
            <v>0</v>
          </cell>
          <cell r="T38">
            <v>0</v>
          </cell>
          <cell r="U38">
            <v>508415.8</v>
          </cell>
        </row>
        <row r="39">
          <cell r="A39">
            <v>43465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39447</v>
          </cell>
          <cell r="B47">
            <v>0</v>
          </cell>
          <cell r="C47">
            <v>0</v>
          </cell>
          <cell r="F47">
            <v>0</v>
          </cell>
          <cell r="I47">
            <v>0</v>
          </cell>
          <cell r="L47">
            <v>0</v>
          </cell>
          <cell r="O47">
            <v>0</v>
          </cell>
          <cell r="R47">
            <v>0</v>
          </cell>
          <cell r="U47">
            <v>0</v>
          </cell>
        </row>
        <row r="48">
          <cell r="A48">
            <v>39813</v>
          </cell>
          <cell r="B48">
            <v>0</v>
          </cell>
          <cell r="C48">
            <v>8680408.4000000004</v>
          </cell>
          <cell r="F48">
            <v>2893130</v>
          </cell>
          <cell r="I48">
            <v>0</v>
          </cell>
          <cell r="L48">
            <v>699264.6</v>
          </cell>
          <cell r="O48">
            <v>258063.7</v>
          </cell>
          <cell r="R48">
            <v>0</v>
          </cell>
          <cell r="U48">
            <v>4829950.0999999996</v>
          </cell>
        </row>
        <row r="49">
          <cell r="A49">
            <v>40178</v>
          </cell>
          <cell r="B49">
            <v>0</v>
          </cell>
          <cell r="C49">
            <v>7766681.1999999993</v>
          </cell>
          <cell r="F49">
            <v>2588590</v>
          </cell>
          <cell r="I49">
            <v>0</v>
          </cell>
          <cell r="L49">
            <v>625657.79999999993</v>
          </cell>
          <cell r="O49">
            <v>230899.1</v>
          </cell>
          <cell r="R49">
            <v>0</v>
          </cell>
          <cell r="U49">
            <v>4321534.3</v>
          </cell>
        </row>
        <row r="50">
          <cell r="A50">
            <v>40543</v>
          </cell>
          <cell r="B50">
            <v>0</v>
          </cell>
          <cell r="C50">
            <v>6852954</v>
          </cell>
          <cell r="F50">
            <v>2284050</v>
          </cell>
          <cell r="I50">
            <v>0</v>
          </cell>
          <cell r="L50">
            <v>552050.99999999988</v>
          </cell>
          <cell r="O50">
            <v>203734.5</v>
          </cell>
          <cell r="R50">
            <v>0</v>
          </cell>
          <cell r="U50">
            <v>3813118.5</v>
          </cell>
        </row>
        <row r="51">
          <cell r="A51">
            <v>40908</v>
          </cell>
          <cell r="B51">
            <v>0</v>
          </cell>
          <cell r="C51">
            <v>5939226.7999999998</v>
          </cell>
          <cell r="F51">
            <v>1979510</v>
          </cell>
          <cell r="I51">
            <v>0</v>
          </cell>
          <cell r="L51">
            <v>478444.1999999999</v>
          </cell>
          <cell r="O51">
            <v>176569.9</v>
          </cell>
          <cell r="R51">
            <v>0</v>
          </cell>
          <cell r="U51">
            <v>3304702.7</v>
          </cell>
        </row>
        <row r="52">
          <cell r="A52">
            <v>41274</v>
          </cell>
          <cell r="B52">
            <v>0</v>
          </cell>
          <cell r="C52">
            <v>5025499.5999999996</v>
          </cell>
          <cell r="F52">
            <v>1674970</v>
          </cell>
          <cell r="I52">
            <v>0</v>
          </cell>
          <cell r="L52">
            <v>404837.39999999991</v>
          </cell>
          <cell r="O52">
            <v>149405.29999999999</v>
          </cell>
          <cell r="R52">
            <v>0</v>
          </cell>
          <cell r="U52">
            <v>2796286.9000000004</v>
          </cell>
        </row>
        <row r="53">
          <cell r="A53">
            <v>41639</v>
          </cell>
          <cell r="B53">
            <v>0</v>
          </cell>
          <cell r="C53">
            <v>4111772.4000000004</v>
          </cell>
          <cell r="F53">
            <v>1370430</v>
          </cell>
          <cell r="I53">
            <v>0</v>
          </cell>
          <cell r="L53">
            <v>331230.59999999992</v>
          </cell>
          <cell r="O53">
            <v>122240.69999999998</v>
          </cell>
          <cell r="R53">
            <v>0</v>
          </cell>
          <cell r="U53">
            <v>2287871.1000000006</v>
          </cell>
        </row>
        <row r="54">
          <cell r="A54">
            <v>42004</v>
          </cell>
          <cell r="B54">
            <v>0</v>
          </cell>
          <cell r="C54">
            <v>3198045.2</v>
          </cell>
          <cell r="F54">
            <v>1065890</v>
          </cell>
          <cell r="I54">
            <v>0</v>
          </cell>
          <cell r="L54">
            <v>257623.79999999993</v>
          </cell>
          <cell r="O54">
            <v>95076.099999999977</v>
          </cell>
          <cell r="R54">
            <v>0</v>
          </cell>
          <cell r="U54">
            <v>1779455.3000000005</v>
          </cell>
        </row>
        <row r="55">
          <cell r="A55">
            <v>42369</v>
          </cell>
          <cell r="B55">
            <v>0</v>
          </cell>
          <cell r="C55">
            <v>2284318.0000000005</v>
          </cell>
          <cell r="F55">
            <v>761350</v>
          </cell>
          <cell r="I55">
            <v>0</v>
          </cell>
          <cell r="L55">
            <v>184016.99999999994</v>
          </cell>
          <cell r="O55">
            <v>67911.499999999971</v>
          </cell>
          <cell r="R55">
            <v>0</v>
          </cell>
          <cell r="U55">
            <v>1271039.5000000005</v>
          </cell>
        </row>
        <row r="56">
          <cell r="A56">
            <v>42735</v>
          </cell>
          <cell r="B56">
            <v>0</v>
          </cell>
          <cell r="C56">
            <v>1370590.8000000003</v>
          </cell>
          <cell r="F56">
            <v>456810</v>
          </cell>
          <cell r="I56">
            <v>0</v>
          </cell>
          <cell r="L56">
            <v>110410.19999999994</v>
          </cell>
          <cell r="O56">
            <v>40746.899999999972</v>
          </cell>
          <cell r="R56">
            <v>0</v>
          </cell>
          <cell r="U56">
            <v>762623.70000000042</v>
          </cell>
        </row>
        <row r="57">
          <cell r="A57">
            <v>43100</v>
          </cell>
          <cell r="B57">
            <v>0</v>
          </cell>
          <cell r="C57">
            <v>456863.60000000033</v>
          </cell>
          <cell r="F57">
            <v>152270</v>
          </cell>
          <cell r="I57">
            <v>0</v>
          </cell>
          <cell r="L57">
            <v>36803.399999999936</v>
          </cell>
          <cell r="O57">
            <v>13582.299999999974</v>
          </cell>
          <cell r="R57">
            <v>0</v>
          </cell>
          <cell r="U57">
            <v>254207.90000000043</v>
          </cell>
        </row>
        <row r="58">
          <cell r="A58">
            <v>43465</v>
          </cell>
          <cell r="B58">
            <v>0</v>
          </cell>
          <cell r="C58">
            <v>0</v>
          </cell>
          <cell r="F58">
            <v>0</v>
          </cell>
          <cell r="I58">
            <v>0</v>
          </cell>
          <cell r="L58">
            <v>0</v>
          </cell>
          <cell r="O58">
            <v>0</v>
          </cell>
          <cell r="R58">
            <v>0</v>
          </cell>
          <cell r="U58">
            <v>0</v>
          </cell>
        </row>
      </sheetData>
      <sheetData sheetId="20"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39813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40178</v>
          </cell>
          <cell r="B29">
            <v>0</v>
          </cell>
          <cell r="C29">
            <v>292197</v>
          </cell>
          <cell r="D29">
            <v>0</v>
          </cell>
          <cell r="E29">
            <v>0</v>
          </cell>
          <cell r="F29">
            <v>279959.8</v>
          </cell>
          <cell r="G29">
            <v>0</v>
          </cell>
          <cell r="H29">
            <v>0</v>
          </cell>
          <cell r="I29">
            <v>0</v>
          </cell>
          <cell r="J29">
            <v>0</v>
          </cell>
          <cell r="K29">
            <v>0</v>
          </cell>
          <cell r="L29">
            <v>0</v>
          </cell>
          <cell r="M29">
            <v>0</v>
          </cell>
          <cell r="N29">
            <v>0</v>
          </cell>
          <cell r="O29">
            <v>12237.2</v>
          </cell>
          <cell r="P29">
            <v>0</v>
          </cell>
          <cell r="Q29">
            <v>0</v>
          </cell>
          <cell r="R29">
            <v>0</v>
          </cell>
          <cell r="S29">
            <v>0</v>
          </cell>
          <cell r="T29">
            <v>0</v>
          </cell>
          <cell r="U29">
            <v>0</v>
          </cell>
        </row>
        <row r="30">
          <cell r="A30">
            <v>40543</v>
          </cell>
          <cell r="B30">
            <v>0</v>
          </cell>
          <cell r="C30">
            <v>292197</v>
          </cell>
          <cell r="D30">
            <v>0</v>
          </cell>
          <cell r="E30">
            <v>0</v>
          </cell>
          <cell r="F30">
            <v>279959.8</v>
          </cell>
          <cell r="G30">
            <v>0</v>
          </cell>
          <cell r="H30">
            <v>0</v>
          </cell>
          <cell r="I30">
            <v>0</v>
          </cell>
          <cell r="J30">
            <v>0</v>
          </cell>
          <cell r="K30">
            <v>0</v>
          </cell>
          <cell r="L30">
            <v>0</v>
          </cell>
          <cell r="M30">
            <v>0</v>
          </cell>
          <cell r="N30">
            <v>0</v>
          </cell>
          <cell r="O30">
            <v>12237.2</v>
          </cell>
          <cell r="P30">
            <v>0</v>
          </cell>
          <cell r="Q30">
            <v>0</v>
          </cell>
          <cell r="R30">
            <v>0</v>
          </cell>
          <cell r="S30">
            <v>0</v>
          </cell>
          <cell r="T30">
            <v>0</v>
          </cell>
          <cell r="U30">
            <v>0</v>
          </cell>
        </row>
        <row r="31">
          <cell r="A31">
            <v>40908</v>
          </cell>
          <cell r="B31">
            <v>0</v>
          </cell>
          <cell r="C31">
            <v>292197</v>
          </cell>
          <cell r="D31">
            <v>0</v>
          </cell>
          <cell r="E31">
            <v>0</v>
          </cell>
          <cell r="F31">
            <v>279959.8</v>
          </cell>
          <cell r="G31">
            <v>0</v>
          </cell>
          <cell r="H31">
            <v>0</v>
          </cell>
          <cell r="I31">
            <v>0</v>
          </cell>
          <cell r="J31">
            <v>0</v>
          </cell>
          <cell r="K31">
            <v>0</v>
          </cell>
          <cell r="L31">
            <v>0</v>
          </cell>
          <cell r="M31">
            <v>0</v>
          </cell>
          <cell r="N31">
            <v>0</v>
          </cell>
          <cell r="O31">
            <v>12237.2</v>
          </cell>
          <cell r="P31">
            <v>0</v>
          </cell>
          <cell r="Q31">
            <v>0</v>
          </cell>
          <cell r="R31">
            <v>0</v>
          </cell>
          <cell r="S31">
            <v>0</v>
          </cell>
          <cell r="T31">
            <v>0</v>
          </cell>
          <cell r="U31">
            <v>0</v>
          </cell>
        </row>
        <row r="32">
          <cell r="A32">
            <v>41274</v>
          </cell>
          <cell r="B32">
            <v>0</v>
          </cell>
          <cell r="C32">
            <v>292197</v>
          </cell>
          <cell r="D32">
            <v>0</v>
          </cell>
          <cell r="E32">
            <v>0</v>
          </cell>
          <cell r="F32">
            <v>279959.8</v>
          </cell>
          <cell r="G32">
            <v>0</v>
          </cell>
          <cell r="H32">
            <v>0</v>
          </cell>
          <cell r="I32">
            <v>0</v>
          </cell>
          <cell r="J32">
            <v>0</v>
          </cell>
          <cell r="K32">
            <v>0</v>
          </cell>
          <cell r="L32">
            <v>0</v>
          </cell>
          <cell r="M32">
            <v>0</v>
          </cell>
          <cell r="N32">
            <v>0</v>
          </cell>
          <cell r="O32">
            <v>12237.2</v>
          </cell>
          <cell r="P32">
            <v>0</v>
          </cell>
          <cell r="Q32">
            <v>0</v>
          </cell>
          <cell r="R32">
            <v>0</v>
          </cell>
          <cell r="S32">
            <v>0</v>
          </cell>
          <cell r="T32">
            <v>0</v>
          </cell>
          <cell r="U32">
            <v>0</v>
          </cell>
        </row>
        <row r="33">
          <cell r="A33">
            <v>41639</v>
          </cell>
          <cell r="B33">
            <v>0</v>
          </cell>
          <cell r="C33">
            <v>292197</v>
          </cell>
          <cell r="D33">
            <v>0</v>
          </cell>
          <cell r="E33">
            <v>0</v>
          </cell>
          <cell r="F33">
            <v>279959.8</v>
          </cell>
          <cell r="G33">
            <v>0</v>
          </cell>
          <cell r="H33">
            <v>0</v>
          </cell>
          <cell r="I33">
            <v>0</v>
          </cell>
          <cell r="J33">
            <v>0</v>
          </cell>
          <cell r="K33">
            <v>0</v>
          </cell>
          <cell r="L33">
            <v>0</v>
          </cell>
          <cell r="M33">
            <v>0</v>
          </cell>
          <cell r="N33">
            <v>0</v>
          </cell>
          <cell r="O33">
            <v>12237.2</v>
          </cell>
          <cell r="P33">
            <v>0</v>
          </cell>
          <cell r="Q33">
            <v>0</v>
          </cell>
          <cell r="R33">
            <v>0</v>
          </cell>
          <cell r="S33">
            <v>0</v>
          </cell>
          <cell r="T33">
            <v>0</v>
          </cell>
          <cell r="U33">
            <v>0</v>
          </cell>
        </row>
        <row r="34">
          <cell r="A34">
            <v>42004</v>
          </cell>
          <cell r="B34">
            <v>0</v>
          </cell>
          <cell r="C34">
            <v>292197</v>
          </cell>
          <cell r="D34">
            <v>0</v>
          </cell>
          <cell r="E34">
            <v>0</v>
          </cell>
          <cell r="F34">
            <v>279959.8</v>
          </cell>
          <cell r="G34">
            <v>0</v>
          </cell>
          <cell r="H34">
            <v>0</v>
          </cell>
          <cell r="I34">
            <v>0</v>
          </cell>
          <cell r="J34">
            <v>0</v>
          </cell>
          <cell r="K34">
            <v>0</v>
          </cell>
          <cell r="L34">
            <v>0</v>
          </cell>
          <cell r="M34">
            <v>0</v>
          </cell>
          <cell r="N34">
            <v>0</v>
          </cell>
          <cell r="O34">
            <v>12237.2</v>
          </cell>
          <cell r="P34">
            <v>0</v>
          </cell>
          <cell r="Q34">
            <v>0</v>
          </cell>
          <cell r="R34">
            <v>0</v>
          </cell>
          <cell r="S34">
            <v>0</v>
          </cell>
          <cell r="T34">
            <v>0</v>
          </cell>
          <cell r="U34">
            <v>0</v>
          </cell>
        </row>
        <row r="35">
          <cell r="A35">
            <v>42369</v>
          </cell>
          <cell r="B35">
            <v>0</v>
          </cell>
          <cell r="C35">
            <v>292197</v>
          </cell>
          <cell r="D35">
            <v>0</v>
          </cell>
          <cell r="E35">
            <v>0</v>
          </cell>
          <cell r="F35">
            <v>279959.8</v>
          </cell>
          <cell r="G35">
            <v>0</v>
          </cell>
          <cell r="H35">
            <v>0</v>
          </cell>
          <cell r="I35">
            <v>0</v>
          </cell>
          <cell r="J35">
            <v>0</v>
          </cell>
          <cell r="K35">
            <v>0</v>
          </cell>
          <cell r="L35">
            <v>0</v>
          </cell>
          <cell r="M35">
            <v>0</v>
          </cell>
          <cell r="N35">
            <v>0</v>
          </cell>
          <cell r="O35">
            <v>12237.2</v>
          </cell>
          <cell r="P35">
            <v>0</v>
          </cell>
          <cell r="Q35">
            <v>0</v>
          </cell>
          <cell r="R35">
            <v>0</v>
          </cell>
          <cell r="S35">
            <v>0</v>
          </cell>
          <cell r="T35">
            <v>0</v>
          </cell>
          <cell r="U35">
            <v>0</v>
          </cell>
        </row>
        <row r="36">
          <cell r="A36">
            <v>42735</v>
          </cell>
          <cell r="B36">
            <v>0</v>
          </cell>
          <cell r="C36">
            <v>292197</v>
          </cell>
          <cell r="D36">
            <v>0</v>
          </cell>
          <cell r="E36">
            <v>0</v>
          </cell>
          <cell r="F36">
            <v>279959.8</v>
          </cell>
          <cell r="G36">
            <v>0</v>
          </cell>
          <cell r="H36">
            <v>0</v>
          </cell>
          <cell r="I36">
            <v>0</v>
          </cell>
          <cell r="J36">
            <v>0</v>
          </cell>
          <cell r="K36">
            <v>0</v>
          </cell>
          <cell r="L36">
            <v>0</v>
          </cell>
          <cell r="M36">
            <v>0</v>
          </cell>
          <cell r="N36">
            <v>0</v>
          </cell>
          <cell r="O36">
            <v>12237.2</v>
          </cell>
          <cell r="P36">
            <v>0</v>
          </cell>
          <cell r="Q36">
            <v>0</v>
          </cell>
          <cell r="R36">
            <v>0</v>
          </cell>
          <cell r="S36">
            <v>0</v>
          </cell>
          <cell r="T36">
            <v>0</v>
          </cell>
          <cell r="U36">
            <v>0</v>
          </cell>
        </row>
        <row r="37">
          <cell r="A37">
            <v>43100</v>
          </cell>
          <cell r="B37">
            <v>0</v>
          </cell>
          <cell r="C37">
            <v>292197</v>
          </cell>
          <cell r="D37">
            <v>0</v>
          </cell>
          <cell r="E37">
            <v>0</v>
          </cell>
          <cell r="F37">
            <v>279959.8</v>
          </cell>
          <cell r="G37">
            <v>0</v>
          </cell>
          <cell r="H37">
            <v>0</v>
          </cell>
          <cell r="I37">
            <v>0</v>
          </cell>
          <cell r="J37">
            <v>0</v>
          </cell>
          <cell r="K37">
            <v>0</v>
          </cell>
          <cell r="L37">
            <v>0</v>
          </cell>
          <cell r="M37">
            <v>0</v>
          </cell>
          <cell r="N37">
            <v>0</v>
          </cell>
          <cell r="O37">
            <v>12237.2</v>
          </cell>
          <cell r="P37">
            <v>0</v>
          </cell>
          <cell r="Q37">
            <v>0</v>
          </cell>
          <cell r="R37">
            <v>0</v>
          </cell>
          <cell r="S37">
            <v>0</v>
          </cell>
          <cell r="T37">
            <v>0</v>
          </cell>
          <cell r="U37">
            <v>0</v>
          </cell>
        </row>
        <row r="38">
          <cell r="A38">
            <v>43465</v>
          </cell>
          <cell r="B38">
            <v>0</v>
          </cell>
          <cell r="C38">
            <v>292197</v>
          </cell>
          <cell r="D38">
            <v>0</v>
          </cell>
          <cell r="E38">
            <v>0</v>
          </cell>
          <cell r="F38">
            <v>279959.8</v>
          </cell>
          <cell r="G38">
            <v>0</v>
          </cell>
          <cell r="H38">
            <v>0</v>
          </cell>
          <cell r="I38">
            <v>0</v>
          </cell>
          <cell r="J38">
            <v>0</v>
          </cell>
          <cell r="K38">
            <v>0</v>
          </cell>
          <cell r="L38">
            <v>0</v>
          </cell>
          <cell r="M38">
            <v>0</v>
          </cell>
          <cell r="N38">
            <v>0</v>
          </cell>
          <cell r="O38">
            <v>12237.2</v>
          </cell>
          <cell r="P38">
            <v>0</v>
          </cell>
          <cell r="Q38">
            <v>0</v>
          </cell>
          <cell r="R38">
            <v>0</v>
          </cell>
          <cell r="S38">
            <v>0</v>
          </cell>
          <cell r="T38">
            <v>0</v>
          </cell>
          <cell r="U38">
            <v>0</v>
          </cell>
        </row>
        <row r="39">
          <cell r="A39">
            <v>43830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39813</v>
          </cell>
          <cell r="B47">
            <v>0</v>
          </cell>
          <cell r="C47">
            <v>0</v>
          </cell>
          <cell r="F47">
            <v>0</v>
          </cell>
          <cell r="I47">
            <v>0</v>
          </cell>
          <cell r="L47">
            <v>0</v>
          </cell>
          <cell r="O47">
            <v>0</v>
          </cell>
          <cell r="R47">
            <v>0</v>
          </cell>
          <cell r="U47">
            <v>0</v>
          </cell>
        </row>
        <row r="48">
          <cell r="A48">
            <v>40178</v>
          </cell>
          <cell r="B48">
            <v>0</v>
          </cell>
          <cell r="C48">
            <v>2775871.5</v>
          </cell>
          <cell r="F48">
            <v>2659618.1</v>
          </cell>
          <cell r="I48">
            <v>0</v>
          </cell>
          <cell r="L48">
            <v>0</v>
          </cell>
          <cell r="O48">
            <v>116253.4</v>
          </cell>
          <cell r="R48">
            <v>0</v>
          </cell>
          <cell r="U48">
            <v>0</v>
          </cell>
        </row>
        <row r="49">
          <cell r="A49">
            <v>40543</v>
          </cell>
          <cell r="B49">
            <v>0</v>
          </cell>
          <cell r="C49">
            <v>2483674.5000000005</v>
          </cell>
          <cell r="F49">
            <v>2379658.3000000003</v>
          </cell>
          <cell r="I49">
            <v>0</v>
          </cell>
          <cell r="L49">
            <v>0</v>
          </cell>
          <cell r="O49">
            <v>104016.2</v>
          </cell>
          <cell r="R49">
            <v>0</v>
          </cell>
          <cell r="U49">
            <v>0</v>
          </cell>
        </row>
        <row r="50">
          <cell r="A50">
            <v>40908</v>
          </cell>
          <cell r="B50">
            <v>0</v>
          </cell>
          <cell r="C50">
            <v>2191477.5000000005</v>
          </cell>
          <cell r="F50">
            <v>2099698.5000000005</v>
          </cell>
          <cell r="I50">
            <v>0</v>
          </cell>
          <cell r="L50">
            <v>0</v>
          </cell>
          <cell r="O50">
            <v>91779</v>
          </cell>
          <cell r="R50">
            <v>0</v>
          </cell>
          <cell r="U50">
            <v>0</v>
          </cell>
        </row>
        <row r="51">
          <cell r="A51">
            <v>41274</v>
          </cell>
          <cell r="B51">
            <v>0</v>
          </cell>
          <cell r="C51">
            <v>1899280.5000000005</v>
          </cell>
          <cell r="F51">
            <v>1819738.7000000004</v>
          </cell>
          <cell r="I51">
            <v>0</v>
          </cell>
          <cell r="L51">
            <v>0</v>
          </cell>
          <cell r="O51">
            <v>79541.8</v>
          </cell>
          <cell r="R51">
            <v>0</v>
          </cell>
          <cell r="U51">
            <v>0</v>
          </cell>
        </row>
        <row r="52">
          <cell r="A52">
            <v>41639</v>
          </cell>
          <cell r="B52">
            <v>0</v>
          </cell>
          <cell r="C52">
            <v>1607083.5000000005</v>
          </cell>
          <cell r="F52">
            <v>1539778.9000000004</v>
          </cell>
          <cell r="I52">
            <v>0</v>
          </cell>
          <cell r="L52">
            <v>0</v>
          </cell>
          <cell r="O52">
            <v>67304.600000000006</v>
          </cell>
          <cell r="R52">
            <v>0</v>
          </cell>
          <cell r="U52">
            <v>0</v>
          </cell>
        </row>
        <row r="53">
          <cell r="A53">
            <v>42004</v>
          </cell>
          <cell r="B53">
            <v>0</v>
          </cell>
          <cell r="C53">
            <v>1314886.5000000002</v>
          </cell>
          <cell r="F53">
            <v>1259819.1000000003</v>
          </cell>
          <cell r="I53">
            <v>0</v>
          </cell>
          <cell r="L53">
            <v>0</v>
          </cell>
          <cell r="O53">
            <v>55067.400000000009</v>
          </cell>
          <cell r="R53">
            <v>0</v>
          </cell>
          <cell r="U53">
            <v>0</v>
          </cell>
        </row>
        <row r="54">
          <cell r="A54">
            <v>42369</v>
          </cell>
          <cell r="B54">
            <v>0</v>
          </cell>
          <cell r="C54">
            <v>1022689.5000000002</v>
          </cell>
          <cell r="F54">
            <v>979859.30000000028</v>
          </cell>
          <cell r="I54">
            <v>0</v>
          </cell>
          <cell r="L54">
            <v>0</v>
          </cell>
          <cell r="O54">
            <v>42830.200000000012</v>
          </cell>
          <cell r="R54">
            <v>0</v>
          </cell>
          <cell r="U54">
            <v>0</v>
          </cell>
        </row>
        <row r="55">
          <cell r="A55">
            <v>42735</v>
          </cell>
          <cell r="B55">
            <v>0</v>
          </cell>
          <cell r="C55">
            <v>730492.50000000023</v>
          </cell>
          <cell r="F55">
            <v>699899.50000000023</v>
          </cell>
          <cell r="I55">
            <v>0</v>
          </cell>
          <cell r="L55">
            <v>0</v>
          </cell>
          <cell r="O55">
            <v>30593.000000000011</v>
          </cell>
          <cell r="R55">
            <v>0</v>
          </cell>
          <cell r="U55">
            <v>0</v>
          </cell>
        </row>
        <row r="56">
          <cell r="A56">
            <v>43100</v>
          </cell>
          <cell r="B56">
            <v>0</v>
          </cell>
          <cell r="C56">
            <v>438295.50000000023</v>
          </cell>
          <cell r="F56">
            <v>419939.70000000024</v>
          </cell>
          <cell r="I56">
            <v>0</v>
          </cell>
          <cell r="L56">
            <v>0</v>
          </cell>
          <cell r="O56">
            <v>18355.80000000001</v>
          </cell>
          <cell r="R56">
            <v>0</v>
          </cell>
          <cell r="U56">
            <v>0</v>
          </cell>
        </row>
        <row r="57">
          <cell r="A57">
            <v>43465</v>
          </cell>
          <cell r="B57">
            <v>0</v>
          </cell>
          <cell r="C57">
            <v>146098.50000000026</v>
          </cell>
          <cell r="F57">
            <v>139979.90000000026</v>
          </cell>
          <cell r="I57">
            <v>0</v>
          </cell>
          <cell r="L57">
            <v>0</v>
          </cell>
          <cell r="O57">
            <v>6118.6000000000095</v>
          </cell>
          <cell r="R57">
            <v>0</v>
          </cell>
          <cell r="U57">
            <v>0</v>
          </cell>
        </row>
        <row r="58">
          <cell r="A58">
            <v>43830</v>
          </cell>
          <cell r="B58">
            <v>0</v>
          </cell>
          <cell r="C58">
            <v>0</v>
          </cell>
          <cell r="F58">
            <v>0</v>
          </cell>
          <cell r="I58">
            <v>0</v>
          </cell>
          <cell r="L58">
            <v>0</v>
          </cell>
          <cell r="O58">
            <v>0</v>
          </cell>
          <cell r="R58">
            <v>0</v>
          </cell>
          <cell r="U58">
            <v>0</v>
          </cell>
        </row>
      </sheetData>
      <sheetData sheetId="21"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40178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40543</v>
          </cell>
          <cell r="B29">
            <v>0</v>
          </cell>
          <cell r="C29">
            <v>445116.12565089995</v>
          </cell>
          <cell r="D29">
            <v>0</v>
          </cell>
          <cell r="E29">
            <v>0</v>
          </cell>
          <cell r="F29">
            <v>207095.2069621</v>
          </cell>
          <cell r="G29">
            <v>0</v>
          </cell>
          <cell r="H29">
            <v>0</v>
          </cell>
          <cell r="I29">
            <v>0</v>
          </cell>
          <cell r="J29">
            <v>0</v>
          </cell>
          <cell r="K29">
            <v>0</v>
          </cell>
          <cell r="L29">
            <v>13805.867999999999</v>
          </cell>
          <cell r="M29">
            <v>0</v>
          </cell>
          <cell r="N29">
            <v>0</v>
          </cell>
          <cell r="O29">
            <v>224215.05068879999</v>
          </cell>
          <cell r="P29">
            <v>0</v>
          </cell>
          <cell r="Q29">
            <v>0</v>
          </cell>
          <cell r="R29">
            <v>0</v>
          </cell>
          <cell r="S29">
            <v>0</v>
          </cell>
          <cell r="T29">
            <v>0</v>
          </cell>
          <cell r="U29">
            <v>0</v>
          </cell>
        </row>
        <row r="30">
          <cell r="A30">
            <v>40908</v>
          </cell>
          <cell r="B30">
            <v>0</v>
          </cell>
          <cell r="C30">
            <v>445116.12565089995</v>
          </cell>
          <cell r="D30">
            <v>0</v>
          </cell>
          <cell r="E30">
            <v>0</v>
          </cell>
          <cell r="F30">
            <v>207095.2069621</v>
          </cell>
          <cell r="G30">
            <v>0</v>
          </cell>
          <cell r="H30">
            <v>0</v>
          </cell>
          <cell r="I30">
            <v>0</v>
          </cell>
          <cell r="J30">
            <v>0</v>
          </cell>
          <cell r="K30">
            <v>0</v>
          </cell>
          <cell r="L30">
            <v>13805.867999999999</v>
          </cell>
          <cell r="M30">
            <v>0</v>
          </cell>
          <cell r="N30">
            <v>0</v>
          </cell>
          <cell r="O30">
            <v>224215.05068879999</v>
          </cell>
          <cell r="P30">
            <v>0</v>
          </cell>
          <cell r="Q30">
            <v>0</v>
          </cell>
          <cell r="R30">
            <v>0</v>
          </cell>
          <cell r="S30">
            <v>0</v>
          </cell>
          <cell r="T30">
            <v>0</v>
          </cell>
          <cell r="U30">
            <v>0</v>
          </cell>
        </row>
        <row r="31">
          <cell r="A31">
            <v>41274</v>
          </cell>
          <cell r="B31">
            <v>0</v>
          </cell>
          <cell r="C31">
            <v>445116.12565089995</v>
          </cell>
          <cell r="D31">
            <v>0</v>
          </cell>
          <cell r="E31">
            <v>0</v>
          </cell>
          <cell r="F31">
            <v>207095.2069621</v>
          </cell>
          <cell r="G31">
            <v>0</v>
          </cell>
          <cell r="H31">
            <v>0</v>
          </cell>
          <cell r="I31">
            <v>0</v>
          </cell>
          <cell r="J31">
            <v>0</v>
          </cell>
          <cell r="K31">
            <v>0</v>
          </cell>
          <cell r="L31">
            <v>13805.867999999999</v>
          </cell>
          <cell r="M31">
            <v>0</v>
          </cell>
          <cell r="N31">
            <v>0</v>
          </cell>
          <cell r="O31">
            <v>224215.05068879999</v>
          </cell>
          <cell r="P31">
            <v>0</v>
          </cell>
          <cell r="Q31">
            <v>0</v>
          </cell>
          <cell r="R31">
            <v>0</v>
          </cell>
          <cell r="S31">
            <v>0</v>
          </cell>
          <cell r="T31">
            <v>0</v>
          </cell>
          <cell r="U31">
            <v>0</v>
          </cell>
        </row>
        <row r="32">
          <cell r="A32">
            <v>41639</v>
          </cell>
          <cell r="B32">
            <v>0</v>
          </cell>
          <cell r="C32">
            <v>445116.12565089995</v>
          </cell>
          <cell r="D32">
            <v>0</v>
          </cell>
          <cell r="E32">
            <v>0</v>
          </cell>
          <cell r="F32">
            <v>207095.2069621</v>
          </cell>
          <cell r="G32">
            <v>0</v>
          </cell>
          <cell r="H32">
            <v>0</v>
          </cell>
          <cell r="I32">
            <v>0</v>
          </cell>
          <cell r="J32">
            <v>0</v>
          </cell>
          <cell r="K32">
            <v>0</v>
          </cell>
          <cell r="L32">
            <v>13805.867999999999</v>
          </cell>
          <cell r="M32">
            <v>0</v>
          </cell>
          <cell r="N32">
            <v>0</v>
          </cell>
          <cell r="O32">
            <v>224215.05068879999</v>
          </cell>
          <cell r="P32">
            <v>0</v>
          </cell>
          <cell r="Q32">
            <v>0</v>
          </cell>
          <cell r="R32">
            <v>0</v>
          </cell>
          <cell r="S32">
            <v>0</v>
          </cell>
          <cell r="T32">
            <v>0</v>
          </cell>
          <cell r="U32">
            <v>0</v>
          </cell>
        </row>
        <row r="33">
          <cell r="A33">
            <v>42004</v>
          </cell>
          <cell r="B33">
            <v>0</v>
          </cell>
          <cell r="C33">
            <v>445116.12565089995</v>
          </cell>
          <cell r="D33">
            <v>0</v>
          </cell>
          <cell r="E33">
            <v>0</v>
          </cell>
          <cell r="F33">
            <v>207095.2069621</v>
          </cell>
          <cell r="G33">
            <v>0</v>
          </cell>
          <cell r="H33">
            <v>0</v>
          </cell>
          <cell r="I33">
            <v>0</v>
          </cell>
          <cell r="J33">
            <v>0</v>
          </cell>
          <cell r="K33">
            <v>0</v>
          </cell>
          <cell r="L33">
            <v>13805.867999999999</v>
          </cell>
          <cell r="M33">
            <v>0</v>
          </cell>
          <cell r="N33">
            <v>0</v>
          </cell>
          <cell r="O33">
            <v>224215.05068879999</v>
          </cell>
          <cell r="P33">
            <v>0</v>
          </cell>
          <cell r="Q33">
            <v>0</v>
          </cell>
          <cell r="R33">
            <v>0</v>
          </cell>
          <cell r="S33">
            <v>0</v>
          </cell>
          <cell r="T33">
            <v>0</v>
          </cell>
          <cell r="U33">
            <v>0</v>
          </cell>
        </row>
        <row r="34">
          <cell r="A34">
            <v>42369</v>
          </cell>
          <cell r="B34">
            <v>0</v>
          </cell>
          <cell r="C34">
            <v>445116.12565089995</v>
          </cell>
          <cell r="D34">
            <v>0</v>
          </cell>
          <cell r="E34">
            <v>0</v>
          </cell>
          <cell r="F34">
            <v>207095.2069621</v>
          </cell>
          <cell r="G34">
            <v>0</v>
          </cell>
          <cell r="H34">
            <v>0</v>
          </cell>
          <cell r="I34">
            <v>0</v>
          </cell>
          <cell r="J34">
            <v>0</v>
          </cell>
          <cell r="K34">
            <v>0</v>
          </cell>
          <cell r="L34">
            <v>13805.867999999999</v>
          </cell>
          <cell r="M34">
            <v>0</v>
          </cell>
          <cell r="N34">
            <v>0</v>
          </cell>
          <cell r="O34">
            <v>224215.05068879999</v>
          </cell>
          <cell r="P34">
            <v>0</v>
          </cell>
          <cell r="Q34">
            <v>0</v>
          </cell>
          <cell r="R34">
            <v>0</v>
          </cell>
          <cell r="S34">
            <v>0</v>
          </cell>
          <cell r="T34">
            <v>0</v>
          </cell>
          <cell r="U34">
            <v>0</v>
          </cell>
        </row>
        <row r="35">
          <cell r="A35">
            <v>42735</v>
          </cell>
          <cell r="B35">
            <v>0</v>
          </cell>
          <cell r="C35">
            <v>445116.12565089995</v>
          </cell>
          <cell r="D35">
            <v>0</v>
          </cell>
          <cell r="E35">
            <v>0</v>
          </cell>
          <cell r="F35">
            <v>207095.2069621</v>
          </cell>
          <cell r="G35">
            <v>0</v>
          </cell>
          <cell r="H35">
            <v>0</v>
          </cell>
          <cell r="I35">
            <v>0</v>
          </cell>
          <cell r="J35">
            <v>0</v>
          </cell>
          <cell r="K35">
            <v>0</v>
          </cell>
          <cell r="L35">
            <v>13805.867999999999</v>
          </cell>
          <cell r="M35">
            <v>0</v>
          </cell>
          <cell r="N35">
            <v>0</v>
          </cell>
          <cell r="O35">
            <v>224215.05068879999</v>
          </cell>
          <cell r="P35">
            <v>0</v>
          </cell>
          <cell r="Q35">
            <v>0</v>
          </cell>
          <cell r="R35">
            <v>0</v>
          </cell>
          <cell r="S35">
            <v>0</v>
          </cell>
          <cell r="T35">
            <v>0</v>
          </cell>
          <cell r="U35">
            <v>0</v>
          </cell>
        </row>
        <row r="36">
          <cell r="A36">
            <v>43100</v>
          </cell>
          <cell r="B36">
            <v>0</v>
          </cell>
          <cell r="C36">
            <v>445116.12565089995</v>
          </cell>
          <cell r="D36">
            <v>0</v>
          </cell>
          <cell r="E36">
            <v>0</v>
          </cell>
          <cell r="F36">
            <v>207095.2069621</v>
          </cell>
          <cell r="G36">
            <v>0</v>
          </cell>
          <cell r="H36">
            <v>0</v>
          </cell>
          <cell r="I36">
            <v>0</v>
          </cell>
          <cell r="J36">
            <v>0</v>
          </cell>
          <cell r="K36">
            <v>0</v>
          </cell>
          <cell r="L36">
            <v>13805.867999999999</v>
          </cell>
          <cell r="M36">
            <v>0</v>
          </cell>
          <cell r="N36">
            <v>0</v>
          </cell>
          <cell r="O36">
            <v>224215.05068879999</v>
          </cell>
          <cell r="P36">
            <v>0</v>
          </cell>
          <cell r="Q36">
            <v>0</v>
          </cell>
          <cell r="R36">
            <v>0</v>
          </cell>
          <cell r="S36">
            <v>0</v>
          </cell>
          <cell r="T36">
            <v>0</v>
          </cell>
          <cell r="U36">
            <v>0</v>
          </cell>
        </row>
        <row r="37">
          <cell r="A37">
            <v>43465</v>
          </cell>
          <cell r="B37">
            <v>0</v>
          </cell>
          <cell r="C37">
            <v>445116.12565089995</v>
          </cell>
          <cell r="D37">
            <v>0</v>
          </cell>
          <cell r="E37">
            <v>0</v>
          </cell>
          <cell r="F37">
            <v>207095.2069621</v>
          </cell>
          <cell r="G37">
            <v>0</v>
          </cell>
          <cell r="H37">
            <v>0</v>
          </cell>
          <cell r="I37">
            <v>0</v>
          </cell>
          <cell r="J37">
            <v>0</v>
          </cell>
          <cell r="K37">
            <v>0</v>
          </cell>
          <cell r="L37">
            <v>13805.867999999999</v>
          </cell>
          <cell r="M37">
            <v>0</v>
          </cell>
          <cell r="N37">
            <v>0</v>
          </cell>
          <cell r="O37">
            <v>224215.05068879999</v>
          </cell>
          <cell r="P37">
            <v>0</v>
          </cell>
          <cell r="Q37">
            <v>0</v>
          </cell>
          <cell r="R37">
            <v>0</v>
          </cell>
          <cell r="S37">
            <v>0</v>
          </cell>
          <cell r="T37">
            <v>0</v>
          </cell>
          <cell r="U37">
            <v>0</v>
          </cell>
        </row>
        <row r="38">
          <cell r="A38">
            <v>43830</v>
          </cell>
          <cell r="B38">
            <v>0</v>
          </cell>
          <cell r="C38">
            <v>445116.12565089995</v>
          </cell>
          <cell r="D38">
            <v>0</v>
          </cell>
          <cell r="E38">
            <v>0</v>
          </cell>
          <cell r="F38">
            <v>207095.2069621</v>
          </cell>
          <cell r="G38">
            <v>0</v>
          </cell>
          <cell r="H38">
            <v>0</v>
          </cell>
          <cell r="I38">
            <v>0</v>
          </cell>
          <cell r="J38">
            <v>0</v>
          </cell>
          <cell r="K38">
            <v>0</v>
          </cell>
          <cell r="L38">
            <v>13805.867999999999</v>
          </cell>
          <cell r="M38">
            <v>0</v>
          </cell>
          <cell r="N38">
            <v>0</v>
          </cell>
          <cell r="O38">
            <v>224215.05068879999</v>
          </cell>
          <cell r="P38">
            <v>0</v>
          </cell>
          <cell r="Q38">
            <v>0</v>
          </cell>
          <cell r="R38">
            <v>0</v>
          </cell>
          <cell r="S38">
            <v>0</v>
          </cell>
          <cell r="T38">
            <v>0</v>
          </cell>
          <cell r="U38">
            <v>0</v>
          </cell>
        </row>
        <row r="39">
          <cell r="A39">
            <v>44196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40178</v>
          </cell>
          <cell r="B47">
            <v>0</v>
          </cell>
          <cell r="C47">
            <v>0</v>
          </cell>
          <cell r="F47">
            <v>0</v>
          </cell>
          <cell r="I47">
            <v>0</v>
          </cell>
          <cell r="L47">
            <v>0</v>
          </cell>
          <cell r="O47">
            <v>0</v>
          </cell>
          <cell r="R47">
            <v>0</v>
          </cell>
          <cell r="U47">
            <v>0</v>
          </cell>
        </row>
        <row r="48">
          <cell r="A48">
            <v>40543</v>
          </cell>
          <cell r="B48">
            <v>0</v>
          </cell>
          <cell r="C48">
            <v>4228603.1936835498</v>
          </cell>
          <cell r="F48">
            <v>1967404.4661399499</v>
          </cell>
          <cell r="I48">
            <v>0</v>
          </cell>
          <cell r="L48">
            <v>131155.74599999998</v>
          </cell>
          <cell r="O48">
            <v>2130042.9815435996</v>
          </cell>
          <cell r="R48">
            <v>0</v>
          </cell>
          <cell r="U48">
            <v>0</v>
          </cell>
        </row>
        <row r="49">
          <cell r="A49">
            <v>40908</v>
          </cell>
          <cell r="B49">
            <v>0</v>
          </cell>
          <cell r="C49">
            <v>3783487.0680326493</v>
          </cell>
          <cell r="F49">
            <v>1760309.2591778499</v>
          </cell>
          <cell r="I49">
            <v>0</v>
          </cell>
          <cell r="L49">
            <v>117349.87799999998</v>
          </cell>
          <cell r="O49">
            <v>1905827.9308547997</v>
          </cell>
          <cell r="R49">
            <v>0</v>
          </cell>
          <cell r="U49">
            <v>0</v>
          </cell>
        </row>
        <row r="50">
          <cell r="A50">
            <v>41274</v>
          </cell>
          <cell r="B50">
            <v>0</v>
          </cell>
          <cell r="C50">
            <v>3338370.9423817499</v>
          </cell>
          <cell r="F50">
            <v>1553214.0522157499</v>
          </cell>
          <cell r="I50">
            <v>0</v>
          </cell>
          <cell r="L50">
            <v>103544.00999999998</v>
          </cell>
          <cell r="O50">
            <v>1681612.8801659998</v>
          </cell>
          <cell r="R50">
            <v>0</v>
          </cell>
          <cell r="U50">
            <v>0</v>
          </cell>
        </row>
        <row r="51">
          <cell r="A51">
            <v>41639</v>
          </cell>
          <cell r="B51">
            <v>0</v>
          </cell>
          <cell r="C51">
            <v>2893254.8167308494</v>
          </cell>
          <cell r="F51">
            <v>1346118.8452536499</v>
          </cell>
          <cell r="I51">
            <v>0</v>
          </cell>
          <cell r="L51">
            <v>89738.141999999978</v>
          </cell>
          <cell r="O51">
            <v>1457397.8294771998</v>
          </cell>
          <cell r="R51">
            <v>0</v>
          </cell>
          <cell r="U51">
            <v>0</v>
          </cell>
        </row>
        <row r="52">
          <cell r="A52">
            <v>42004</v>
          </cell>
          <cell r="B52">
            <v>0</v>
          </cell>
          <cell r="C52">
            <v>2448138.69107995</v>
          </cell>
          <cell r="F52">
            <v>1139023.6382915499</v>
          </cell>
          <cell r="I52">
            <v>0</v>
          </cell>
          <cell r="L52">
            <v>75932.273999999976</v>
          </cell>
          <cell r="O52">
            <v>1233182.7787883999</v>
          </cell>
          <cell r="R52">
            <v>0</v>
          </cell>
          <cell r="U52">
            <v>0</v>
          </cell>
        </row>
        <row r="53">
          <cell r="A53">
            <v>42369</v>
          </cell>
          <cell r="B53">
            <v>0</v>
          </cell>
          <cell r="C53">
            <v>2003022.5654290498</v>
          </cell>
          <cell r="F53">
            <v>931928.43132944987</v>
          </cell>
          <cell r="I53">
            <v>0</v>
          </cell>
          <cell r="L53">
            <v>62126.405999999974</v>
          </cell>
          <cell r="O53">
            <v>1008967.7280995999</v>
          </cell>
          <cell r="R53">
            <v>0</v>
          </cell>
          <cell r="U53">
            <v>0</v>
          </cell>
        </row>
        <row r="54">
          <cell r="A54">
            <v>42735</v>
          </cell>
          <cell r="B54">
            <v>0</v>
          </cell>
          <cell r="C54">
            <v>1557906.4397781498</v>
          </cell>
          <cell r="F54">
            <v>724833.22436734987</v>
          </cell>
          <cell r="I54">
            <v>0</v>
          </cell>
          <cell r="L54">
            <v>48320.537999999971</v>
          </cell>
          <cell r="O54">
            <v>784752.67741080001</v>
          </cell>
          <cell r="R54">
            <v>0</v>
          </cell>
          <cell r="U54">
            <v>0</v>
          </cell>
        </row>
        <row r="55">
          <cell r="A55">
            <v>43100</v>
          </cell>
          <cell r="B55">
            <v>0</v>
          </cell>
          <cell r="C55">
            <v>1112790.3141272499</v>
          </cell>
          <cell r="F55">
            <v>517738.01740524988</v>
          </cell>
          <cell r="I55">
            <v>0</v>
          </cell>
          <cell r="L55">
            <v>34514.669999999969</v>
          </cell>
          <cell r="O55">
            <v>560537.62672200007</v>
          </cell>
          <cell r="R55">
            <v>0</v>
          </cell>
          <cell r="U55">
            <v>0</v>
          </cell>
        </row>
        <row r="56">
          <cell r="A56">
            <v>43465</v>
          </cell>
          <cell r="B56">
            <v>0</v>
          </cell>
          <cell r="C56">
            <v>667674.18847634993</v>
          </cell>
          <cell r="F56">
            <v>310642.81044314988</v>
          </cell>
          <cell r="I56">
            <v>0</v>
          </cell>
          <cell r="L56">
            <v>20708.801999999971</v>
          </cell>
          <cell r="O56">
            <v>336322.57603320008</v>
          </cell>
          <cell r="R56">
            <v>0</v>
          </cell>
          <cell r="U56">
            <v>0</v>
          </cell>
        </row>
        <row r="57">
          <cell r="A57">
            <v>43830</v>
          </cell>
          <cell r="B57">
            <v>0</v>
          </cell>
          <cell r="C57">
            <v>222558.06282544995</v>
          </cell>
          <cell r="F57">
            <v>103547.60348104988</v>
          </cell>
          <cell r="I57">
            <v>0</v>
          </cell>
          <cell r="L57">
            <v>6902.933999999972</v>
          </cell>
          <cell r="O57">
            <v>112107.52534440008</v>
          </cell>
          <cell r="R57">
            <v>0</v>
          </cell>
          <cell r="U57">
            <v>0</v>
          </cell>
        </row>
        <row r="58">
          <cell r="A58">
            <v>44196</v>
          </cell>
          <cell r="B58">
            <v>0</v>
          </cell>
          <cell r="C58">
            <v>0</v>
          </cell>
          <cell r="F58">
            <v>0</v>
          </cell>
          <cell r="I58">
            <v>0</v>
          </cell>
          <cell r="L58">
            <v>0</v>
          </cell>
          <cell r="O58">
            <v>0</v>
          </cell>
          <cell r="R58">
            <v>0</v>
          </cell>
          <cell r="U58">
            <v>0</v>
          </cell>
        </row>
      </sheetData>
      <sheetData sheetId="22"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40543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40908</v>
          </cell>
          <cell r="B29">
            <v>0</v>
          </cell>
          <cell r="C29">
            <v>84125.6</v>
          </cell>
          <cell r="D29">
            <v>0</v>
          </cell>
          <cell r="E29">
            <v>0</v>
          </cell>
          <cell r="F29">
            <v>0</v>
          </cell>
          <cell r="G29">
            <v>0</v>
          </cell>
          <cell r="H29">
            <v>0</v>
          </cell>
          <cell r="I29">
            <v>0</v>
          </cell>
          <cell r="J29">
            <v>0</v>
          </cell>
          <cell r="K29">
            <v>0</v>
          </cell>
          <cell r="L29">
            <v>0</v>
          </cell>
          <cell r="M29">
            <v>0</v>
          </cell>
          <cell r="N29">
            <v>0</v>
          </cell>
          <cell r="O29">
            <v>84125.6</v>
          </cell>
          <cell r="P29">
            <v>0</v>
          </cell>
          <cell r="Q29">
            <v>0</v>
          </cell>
          <cell r="R29">
            <v>0</v>
          </cell>
          <cell r="S29">
            <v>0</v>
          </cell>
          <cell r="T29">
            <v>0</v>
          </cell>
          <cell r="U29">
            <v>0</v>
          </cell>
        </row>
        <row r="30">
          <cell r="A30">
            <v>41274</v>
          </cell>
          <cell r="B30">
            <v>0</v>
          </cell>
          <cell r="C30">
            <v>84125.6</v>
          </cell>
          <cell r="D30">
            <v>0</v>
          </cell>
          <cell r="E30">
            <v>0</v>
          </cell>
          <cell r="F30">
            <v>0</v>
          </cell>
          <cell r="G30">
            <v>0</v>
          </cell>
          <cell r="H30">
            <v>0</v>
          </cell>
          <cell r="I30">
            <v>0</v>
          </cell>
          <cell r="J30">
            <v>0</v>
          </cell>
          <cell r="K30">
            <v>0</v>
          </cell>
          <cell r="L30">
            <v>0</v>
          </cell>
          <cell r="M30">
            <v>0</v>
          </cell>
          <cell r="N30">
            <v>0</v>
          </cell>
          <cell r="O30">
            <v>84125.6</v>
          </cell>
          <cell r="P30">
            <v>0</v>
          </cell>
          <cell r="Q30">
            <v>0</v>
          </cell>
          <cell r="R30">
            <v>0</v>
          </cell>
          <cell r="S30">
            <v>0</v>
          </cell>
          <cell r="T30">
            <v>0</v>
          </cell>
          <cell r="U30">
            <v>0</v>
          </cell>
        </row>
        <row r="31">
          <cell r="A31">
            <v>41639</v>
          </cell>
          <cell r="B31">
            <v>0</v>
          </cell>
          <cell r="C31">
            <v>84125.6</v>
          </cell>
          <cell r="D31">
            <v>0</v>
          </cell>
          <cell r="E31">
            <v>0</v>
          </cell>
          <cell r="F31">
            <v>0</v>
          </cell>
          <cell r="G31">
            <v>0</v>
          </cell>
          <cell r="H31">
            <v>0</v>
          </cell>
          <cell r="I31">
            <v>0</v>
          </cell>
          <cell r="J31">
            <v>0</v>
          </cell>
          <cell r="K31">
            <v>0</v>
          </cell>
          <cell r="L31">
            <v>0</v>
          </cell>
          <cell r="M31">
            <v>0</v>
          </cell>
          <cell r="N31">
            <v>0</v>
          </cell>
          <cell r="O31">
            <v>84125.6</v>
          </cell>
          <cell r="P31">
            <v>0</v>
          </cell>
          <cell r="Q31">
            <v>0</v>
          </cell>
          <cell r="R31">
            <v>0</v>
          </cell>
          <cell r="S31">
            <v>0</v>
          </cell>
          <cell r="T31">
            <v>0</v>
          </cell>
          <cell r="U31">
            <v>0</v>
          </cell>
        </row>
        <row r="32">
          <cell r="A32">
            <v>42004</v>
          </cell>
          <cell r="B32">
            <v>0</v>
          </cell>
          <cell r="C32">
            <v>84125.6</v>
          </cell>
          <cell r="D32">
            <v>0</v>
          </cell>
          <cell r="E32">
            <v>0</v>
          </cell>
          <cell r="F32">
            <v>0</v>
          </cell>
          <cell r="G32">
            <v>0</v>
          </cell>
          <cell r="H32">
            <v>0</v>
          </cell>
          <cell r="I32">
            <v>0</v>
          </cell>
          <cell r="J32">
            <v>0</v>
          </cell>
          <cell r="K32">
            <v>0</v>
          </cell>
          <cell r="L32">
            <v>0</v>
          </cell>
          <cell r="M32">
            <v>0</v>
          </cell>
          <cell r="N32">
            <v>0</v>
          </cell>
          <cell r="O32">
            <v>84125.6</v>
          </cell>
          <cell r="P32">
            <v>0</v>
          </cell>
          <cell r="Q32">
            <v>0</v>
          </cell>
          <cell r="R32">
            <v>0</v>
          </cell>
          <cell r="S32">
            <v>0</v>
          </cell>
          <cell r="T32">
            <v>0</v>
          </cell>
          <cell r="U32">
            <v>0</v>
          </cell>
        </row>
        <row r="33">
          <cell r="A33">
            <v>42369</v>
          </cell>
          <cell r="B33">
            <v>0</v>
          </cell>
          <cell r="C33">
            <v>84125.6</v>
          </cell>
          <cell r="D33">
            <v>0</v>
          </cell>
          <cell r="E33">
            <v>0</v>
          </cell>
          <cell r="F33">
            <v>0</v>
          </cell>
          <cell r="G33">
            <v>0</v>
          </cell>
          <cell r="H33">
            <v>0</v>
          </cell>
          <cell r="I33">
            <v>0</v>
          </cell>
          <cell r="J33">
            <v>0</v>
          </cell>
          <cell r="K33">
            <v>0</v>
          </cell>
          <cell r="L33">
            <v>0</v>
          </cell>
          <cell r="M33">
            <v>0</v>
          </cell>
          <cell r="N33">
            <v>0</v>
          </cell>
          <cell r="O33">
            <v>84125.6</v>
          </cell>
          <cell r="P33">
            <v>0</v>
          </cell>
          <cell r="Q33">
            <v>0</v>
          </cell>
          <cell r="R33">
            <v>0</v>
          </cell>
          <cell r="S33">
            <v>0</v>
          </cell>
          <cell r="T33">
            <v>0</v>
          </cell>
          <cell r="U33">
            <v>0</v>
          </cell>
        </row>
        <row r="34">
          <cell r="A34">
            <v>42735</v>
          </cell>
          <cell r="B34">
            <v>0</v>
          </cell>
          <cell r="C34">
            <v>84125.6</v>
          </cell>
          <cell r="D34">
            <v>0</v>
          </cell>
          <cell r="E34">
            <v>0</v>
          </cell>
          <cell r="F34">
            <v>0</v>
          </cell>
          <cell r="G34">
            <v>0</v>
          </cell>
          <cell r="H34">
            <v>0</v>
          </cell>
          <cell r="I34">
            <v>0</v>
          </cell>
          <cell r="J34">
            <v>0</v>
          </cell>
          <cell r="K34">
            <v>0</v>
          </cell>
          <cell r="L34">
            <v>0</v>
          </cell>
          <cell r="M34">
            <v>0</v>
          </cell>
          <cell r="N34">
            <v>0</v>
          </cell>
          <cell r="O34">
            <v>84125.6</v>
          </cell>
          <cell r="P34">
            <v>0</v>
          </cell>
          <cell r="Q34">
            <v>0</v>
          </cell>
          <cell r="R34">
            <v>0</v>
          </cell>
          <cell r="S34">
            <v>0</v>
          </cell>
          <cell r="T34">
            <v>0</v>
          </cell>
          <cell r="U34">
            <v>0</v>
          </cell>
        </row>
        <row r="35">
          <cell r="A35">
            <v>43100</v>
          </cell>
          <cell r="B35">
            <v>0</v>
          </cell>
          <cell r="C35">
            <v>84125.6</v>
          </cell>
          <cell r="D35">
            <v>0</v>
          </cell>
          <cell r="E35">
            <v>0</v>
          </cell>
          <cell r="F35">
            <v>0</v>
          </cell>
          <cell r="G35">
            <v>0</v>
          </cell>
          <cell r="H35">
            <v>0</v>
          </cell>
          <cell r="I35">
            <v>0</v>
          </cell>
          <cell r="J35">
            <v>0</v>
          </cell>
          <cell r="K35">
            <v>0</v>
          </cell>
          <cell r="L35">
            <v>0</v>
          </cell>
          <cell r="M35">
            <v>0</v>
          </cell>
          <cell r="N35">
            <v>0</v>
          </cell>
          <cell r="O35">
            <v>84125.6</v>
          </cell>
          <cell r="P35">
            <v>0</v>
          </cell>
          <cell r="Q35">
            <v>0</v>
          </cell>
          <cell r="R35">
            <v>0</v>
          </cell>
          <cell r="S35">
            <v>0</v>
          </cell>
          <cell r="T35">
            <v>0</v>
          </cell>
          <cell r="U35">
            <v>0</v>
          </cell>
        </row>
        <row r="36">
          <cell r="A36">
            <v>43465</v>
          </cell>
          <cell r="B36">
            <v>0</v>
          </cell>
          <cell r="C36">
            <v>84125.6</v>
          </cell>
          <cell r="D36">
            <v>0</v>
          </cell>
          <cell r="E36">
            <v>0</v>
          </cell>
          <cell r="F36">
            <v>0</v>
          </cell>
          <cell r="G36">
            <v>0</v>
          </cell>
          <cell r="H36">
            <v>0</v>
          </cell>
          <cell r="I36">
            <v>0</v>
          </cell>
          <cell r="J36">
            <v>0</v>
          </cell>
          <cell r="K36">
            <v>0</v>
          </cell>
          <cell r="L36">
            <v>0</v>
          </cell>
          <cell r="M36">
            <v>0</v>
          </cell>
          <cell r="N36">
            <v>0</v>
          </cell>
          <cell r="O36">
            <v>84125.6</v>
          </cell>
          <cell r="P36">
            <v>0</v>
          </cell>
          <cell r="Q36">
            <v>0</v>
          </cell>
          <cell r="R36">
            <v>0</v>
          </cell>
          <cell r="S36">
            <v>0</v>
          </cell>
          <cell r="T36">
            <v>0</v>
          </cell>
          <cell r="U36">
            <v>0</v>
          </cell>
        </row>
        <row r="37">
          <cell r="A37">
            <v>43830</v>
          </cell>
          <cell r="B37">
            <v>0</v>
          </cell>
          <cell r="C37">
            <v>84125.6</v>
          </cell>
          <cell r="D37">
            <v>0</v>
          </cell>
          <cell r="E37">
            <v>0</v>
          </cell>
          <cell r="F37">
            <v>0</v>
          </cell>
          <cell r="G37">
            <v>0</v>
          </cell>
          <cell r="H37">
            <v>0</v>
          </cell>
          <cell r="I37">
            <v>0</v>
          </cell>
          <cell r="J37">
            <v>0</v>
          </cell>
          <cell r="K37">
            <v>0</v>
          </cell>
          <cell r="L37">
            <v>0</v>
          </cell>
          <cell r="M37">
            <v>0</v>
          </cell>
          <cell r="N37">
            <v>0</v>
          </cell>
          <cell r="O37">
            <v>84125.6</v>
          </cell>
          <cell r="P37">
            <v>0</v>
          </cell>
          <cell r="Q37">
            <v>0</v>
          </cell>
          <cell r="R37">
            <v>0</v>
          </cell>
          <cell r="S37">
            <v>0</v>
          </cell>
          <cell r="T37">
            <v>0</v>
          </cell>
          <cell r="U37">
            <v>0</v>
          </cell>
        </row>
        <row r="38">
          <cell r="A38">
            <v>44196</v>
          </cell>
          <cell r="B38">
            <v>0</v>
          </cell>
          <cell r="C38">
            <v>84125.6</v>
          </cell>
          <cell r="D38">
            <v>0</v>
          </cell>
          <cell r="E38">
            <v>0</v>
          </cell>
          <cell r="F38">
            <v>0</v>
          </cell>
          <cell r="G38">
            <v>0</v>
          </cell>
          <cell r="H38">
            <v>0</v>
          </cell>
          <cell r="I38">
            <v>0</v>
          </cell>
          <cell r="J38">
            <v>0</v>
          </cell>
          <cell r="K38">
            <v>0</v>
          </cell>
          <cell r="L38">
            <v>0</v>
          </cell>
          <cell r="M38">
            <v>0</v>
          </cell>
          <cell r="N38">
            <v>0</v>
          </cell>
          <cell r="O38">
            <v>84125.6</v>
          </cell>
          <cell r="P38">
            <v>0</v>
          </cell>
          <cell r="Q38">
            <v>0</v>
          </cell>
          <cell r="R38">
            <v>0</v>
          </cell>
          <cell r="S38">
            <v>0</v>
          </cell>
          <cell r="T38">
            <v>0</v>
          </cell>
          <cell r="U38">
            <v>0</v>
          </cell>
        </row>
        <row r="39">
          <cell r="A39">
            <v>44561</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40543</v>
          </cell>
          <cell r="B47">
            <v>0</v>
          </cell>
          <cell r="C47">
            <v>0</v>
          </cell>
          <cell r="F47">
            <v>0</v>
          </cell>
          <cell r="I47">
            <v>0</v>
          </cell>
          <cell r="L47">
            <v>0</v>
          </cell>
          <cell r="O47">
            <v>0</v>
          </cell>
          <cell r="R47">
            <v>0</v>
          </cell>
          <cell r="U47">
            <v>0</v>
          </cell>
        </row>
        <row r="48">
          <cell r="A48">
            <v>40908</v>
          </cell>
          <cell r="B48">
            <v>0</v>
          </cell>
          <cell r="C48">
            <v>799193.2</v>
          </cell>
          <cell r="F48">
            <v>0</v>
          </cell>
          <cell r="I48">
            <v>0</v>
          </cell>
          <cell r="L48">
            <v>0</v>
          </cell>
          <cell r="O48">
            <v>799193.2</v>
          </cell>
          <cell r="R48">
            <v>0</v>
          </cell>
          <cell r="U48">
            <v>0</v>
          </cell>
        </row>
        <row r="49">
          <cell r="A49">
            <v>41274</v>
          </cell>
          <cell r="B49">
            <v>0</v>
          </cell>
          <cell r="C49">
            <v>715067.6</v>
          </cell>
          <cell r="F49">
            <v>0</v>
          </cell>
          <cell r="I49">
            <v>0</v>
          </cell>
          <cell r="L49">
            <v>0</v>
          </cell>
          <cell r="O49">
            <v>715067.6</v>
          </cell>
          <cell r="R49">
            <v>0</v>
          </cell>
          <cell r="U49">
            <v>0</v>
          </cell>
        </row>
        <row r="50">
          <cell r="A50">
            <v>41639</v>
          </cell>
          <cell r="B50">
            <v>0</v>
          </cell>
          <cell r="C50">
            <v>630942</v>
          </cell>
          <cell r="F50">
            <v>0</v>
          </cell>
          <cell r="I50">
            <v>0</v>
          </cell>
          <cell r="L50">
            <v>0</v>
          </cell>
          <cell r="O50">
            <v>630942</v>
          </cell>
          <cell r="R50">
            <v>0</v>
          </cell>
          <cell r="U50">
            <v>0</v>
          </cell>
        </row>
        <row r="51">
          <cell r="A51">
            <v>42004</v>
          </cell>
          <cell r="B51">
            <v>0</v>
          </cell>
          <cell r="C51">
            <v>546816.4</v>
          </cell>
          <cell r="F51">
            <v>0</v>
          </cell>
          <cell r="I51">
            <v>0</v>
          </cell>
          <cell r="L51">
            <v>0</v>
          </cell>
          <cell r="O51">
            <v>546816.4</v>
          </cell>
          <cell r="R51">
            <v>0</v>
          </cell>
          <cell r="U51">
            <v>0</v>
          </cell>
        </row>
        <row r="52">
          <cell r="A52">
            <v>42369</v>
          </cell>
          <cell r="B52">
            <v>0</v>
          </cell>
          <cell r="C52">
            <v>462690.80000000005</v>
          </cell>
          <cell r="F52">
            <v>0</v>
          </cell>
          <cell r="I52">
            <v>0</v>
          </cell>
          <cell r="L52">
            <v>0</v>
          </cell>
          <cell r="O52">
            <v>462690.80000000005</v>
          </cell>
          <cell r="R52">
            <v>0</v>
          </cell>
          <cell r="U52">
            <v>0</v>
          </cell>
        </row>
        <row r="53">
          <cell r="A53">
            <v>42735</v>
          </cell>
          <cell r="B53">
            <v>0</v>
          </cell>
          <cell r="C53">
            <v>378565.20000000007</v>
          </cell>
          <cell r="F53">
            <v>0</v>
          </cell>
          <cell r="I53">
            <v>0</v>
          </cell>
          <cell r="L53">
            <v>0</v>
          </cell>
          <cell r="O53">
            <v>378565.20000000007</v>
          </cell>
          <cell r="R53">
            <v>0</v>
          </cell>
          <cell r="U53">
            <v>0</v>
          </cell>
        </row>
        <row r="54">
          <cell r="A54">
            <v>43100</v>
          </cell>
          <cell r="B54">
            <v>0</v>
          </cell>
          <cell r="C54">
            <v>294439.60000000009</v>
          </cell>
          <cell r="F54">
            <v>0</v>
          </cell>
          <cell r="I54">
            <v>0</v>
          </cell>
          <cell r="L54">
            <v>0</v>
          </cell>
          <cell r="O54">
            <v>294439.60000000009</v>
          </cell>
          <cell r="R54">
            <v>0</v>
          </cell>
          <cell r="U54">
            <v>0</v>
          </cell>
        </row>
        <row r="55">
          <cell r="A55">
            <v>43465</v>
          </cell>
          <cell r="B55">
            <v>0</v>
          </cell>
          <cell r="C55">
            <v>210314.00000000009</v>
          </cell>
          <cell r="F55">
            <v>0</v>
          </cell>
          <cell r="I55">
            <v>0</v>
          </cell>
          <cell r="L55">
            <v>0</v>
          </cell>
          <cell r="O55">
            <v>210314.00000000009</v>
          </cell>
          <cell r="R55">
            <v>0</v>
          </cell>
          <cell r="U55">
            <v>0</v>
          </cell>
        </row>
        <row r="56">
          <cell r="A56">
            <v>43830</v>
          </cell>
          <cell r="B56">
            <v>0</v>
          </cell>
          <cell r="C56">
            <v>126188.40000000008</v>
          </cell>
          <cell r="F56">
            <v>0</v>
          </cell>
          <cell r="I56">
            <v>0</v>
          </cell>
          <cell r="L56">
            <v>0</v>
          </cell>
          <cell r="O56">
            <v>126188.40000000008</v>
          </cell>
          <cell r="R56">
            <v>0</v>
          </cell>
          <cell r="U56">
            <v>0</v>
          </cell>
        </row>
        <row r="57">
          <cell r="A57">
            <v>44196</v>
          </cell>
          <cell r="B57">
            <v>0</v>
          </cell>
          <cell r="C57">
            <v>42062.800000000076</v>
          </cell>
          <cell r="F57">
            <v>0</v>
          </cell>
          <cell r="I57">
            <v>0</v>
          </cell>
          <cell r="L57">
            <v>0</v>
          </cell>
          <cell r="O57">
            <v>42062.800000000076</v>
          </cell>
          <cell r="R57">
            <v>0</v>
          </cell>
          <cell r="U57">
            <v>0</v>
          </cell>
        </row>
        <row r="58">
          <cell r="A58">
            <v>44561</v>
          </cell>
          <cell r="B58">
            <v>0</v>
          </cell>
          <cell r="C58">
            <v>0</v>
          </cell>
          <cell r="F58">
            <v>0</v>
          </cell>
          <cell r="I58">
            <v>0</v>
          </cell>
          <cell r="L58">
            <v>0</v>
          </cell>
          <cell r="O58">
            <v>0</v>
          </cell>
          <cell r="R58">
            <v>0</v>
          </cell>
          <cell r="U58">
            <v>0</v>
          </cell>
        </row>
      </sheetData>
      <sheetData sheetId="23"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40908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41274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41639</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42004</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42369</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42735</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v>43100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43465</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43830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44196</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44561</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A39">
            <v>44926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s"/>
      <sheetName val="Appendix A"/>
      <sheetName val="Appendix B"/>
      <sheetName val="Summary of Rates"/>
      <sheetName val="ATT 1 - ADIT"/>
      <sheetName val="ATT 1a - ADIT"/>
      <sheetName val="ATT 2 - Other Taxes"/>
      <sheetName val="2010 3 - Revenue Credits"/>
      <sheetName val="ATT 4 - 100 Basis Point ROE"/>
      <sheetName val="2010 5 - Cost Support"/>
      <sheetName val="2010 6 - Est &amp; Reconcile WS"/>
      <sheetName val="2010 7 - Trans Enhance Charge"/>
      <sheetName val="ATT 8 - Depreciation Rates"/>
      <sheetName val="ATT 9a - Load Divisor"/>
      <sheetName val="ATT 9a1 - Load current year"/>
      <sheetName val="ATT 9a2 - Load one year prior"/>
      <sheetName val="ATT 9a3 - Load two years prior"/>
      <sheetName val="ATT 9b - Load Divisor True-up"/>
      <sheetName val="ATT 10 - Acc Amort of PIS"/>
      <sheetName val="ATT 11 - Prepayments"/>
      <sheetName val="ATT 12 - Plant Held Future Use"/>
      <sheetName val="2010 13 - Revenue Credit Detail"/>
      <sheetName val="ATT 14-Cost of Capital Detail"/>
      <sheetName val="ATT 15 - GSU and Assoc'd Equip"/>
      <sheetName val="ATT 16 - Unfunded Reserves"/>
      <sheetName val="ATT 17 - PBOP"/>
      <sheetName val="Inputs"/>
      <sheetName val="PIS projection"/>
      <sheetName val="PIS true-up"/>
      <sheetName val="FERC Form 1 data"/>
    </sheetNames>
    <sheetDataSet>
      <sheetData sheetId="0"/>
      <sheetData sheetId="1">
        <row r="5">
          <cell r="H5">
            <v>2012</v>
          </cell>
          <cell r="P5" t="str">
            <v>Projection</v>
          </cell>
        </row>
        <row r="6">
          <cell r="P6" t="str">
            <v>True-up</v>
          </cell>
        </row>
        <row r="17">
          <cell r="H17">
            <v>7.3398818350960335E-2</v>
          </cell>
        </row>
        <row r="29">
          <cell r="H29">
            <v>0.20421179118054886</v>
          </cell>
        </row>
        <row r="32">
          <cell r="H32">
            <v>0.24176082444075614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5">
          <cell r="D15">
            <v>151699035</v>
          </cell>
          <cell r="E15">
            <v>160882952</v>
          </cell>
          <cell r="F15" t="str">
            <v>114.14c</v>
          </cell>
        </row>
        <row r="16">
          <cell r="D16">
            <v>-1874204</v>
          </cell>
          <cell r="E16">
            <v>-1851300</v>
          </cell>
          <cell r="F16" t="str">
            <v>114.19c</v>
          </cell>
        </row>
        <row r="17">
          <cell r="D17">
            <v>20136120</v>
          </cell>
          <cell r="E17">
            <v>22657380.059999999</v>
          </cell>
          <cell r="F17" t="str">
            <v>214.47d</v>
          </cell>
        </row>
        <row r="19">
          <cell r="D19" t="e">
            <v>#N/A</v>
          </cell>
          <cell r="E19" t="e">
            <v>#N/A</v>
          </cell>
          <cell r="F19" t="str">
            <v>206.58b</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206.75g</v>
          </cell>
        </row>
        <row r="23">
          <cell r="D23">
            <v>847651696</v>
          </cell>
          <cell r="E23">
            <v>853462120</v>
          </cell>
          <cell r="F23" t="str">
            <v>204.5b</v>
          </cell>
        </row>
        <row r="24">
          <cell r="D24">
            <v>853462120</v>
          </cell>
          <cell r="E24">
            <v>854419426</v>
          </cell>
          <cell r="F24" t="str">
            <v>204.5g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204.46g</v>
          </cell>
        </row>
        <row r="29">
          <cell r="D29" t="e">
            <v>#N/A</v>
          </cell>
          <cell r="E29">
            <v>0</v>
          </cell>
          <cell r="F29" t="str">
            <v>206.102g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t="e">
            <v>#N/A</v>
          </cell>
          <cell r="E36">
            <v>2505658617</v>
          </cell>
          <cell r="F36" t="str">
            <v>219.20c</v>
          </cell>
        </row>
        <row r="37">
          <cell r="D37" t="e">
            <v>#N/A</v>
          </cell>
          <cell r="E37">
            <v>0</v>
          </cell>
          <cell r="F37" t="str">
            <v>219.21c</v>
          </cell>
        </row>
        <row r="38">
          <cell r="D38" t="e">
            <v>#N/A</v>
          </cell>
          <cell r="E38">
            <v>264903753</v>
          </cell>
          <cell r="F38" t="str">
            <v>219.22c</v>
          </cell>
        </row>
        <row r="39">
          <cell r="D39" t="e">
            <v>#N/A</v>
          </cell>
          <cell r="E39">
            <v>0</v>
          </cell>
          <cell r="F39" t="str">
            <v>219.23c</v>
          </cell>
        </row>
        <row r="40">
          <cell r="D40" t="e">
            <v>#N/A</v>
          </cell>
          <cell r="E40">
            <v>579208388</v>
          </cell>
          <cell r="F40" t="str">
            <v>219.24c</v>
          </cell>
        </row>
        <row r="41">
          <cell r="D41" t="e">
            <v>#N/A</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e">
            <v>#N/A</v>
          </cell>
          <cell r="E46" t="e">
            <v>#N/A</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D67" t="e">
            <v>#N/A</v>
          </cell>
          <cell r="E67">
            <v>0</v>
          </cell>
          <cell r="F67" t="str">
            <v>350.30d</v>
          </cell>
        </row>
        <row r="68">
          <cell r="D68" t="e">
            <v>#N/A</v>
          </cell>
          <cell r="E68">
            <v>0</v>
          </cell>
          <cell r="F68" t="str">
            <v>350.31d</v>
          </cell>
        </row>
        <row r="69">
          <cell r="D69" t="e">
            <v>#N/A</v>
          </cell>
          <cell r="E69">
            <v>2043517</v>
          </cell>
          <cell r="F69" t="str">
            <v>350.32d</v>
          </cell>
        </row>
        <row r="70">
          <cell r="D70">
            <v>22707903</v>
          </cell>
          <cell r="E70">
            <v>23499915</v>
          </cell>
          <cell r="F70" t="str">
            <v>354.21b</v>
          </cell>
        </row>
        <row r="71">
          <cell r="D71">
            <v>41949915</v>
          </cell>
          <cell r="E71">
            <v>43097996</v>
          </cell>
          <cell r="F71" t="str">
            <v>354.27b</v>
          </cell>
        </row>
        <row r="72">
          <cell r="D72">
            <v>357213635</v>
          </cell>
          <cell r="E72">
            <v>363265480</v>
          </cell>
          <cell r="F72" t="str">
            <v>354.28b</v>
          </cell>
        </row>
      </sheetData>
      <sheetData sheetId="27"/>
      <sheetData sheetId="28"/>
      <sheetData sheetId="29">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204</v>
          </cell>
          <cell r="D13">
            <v>46</v>
          </cell>
          <cell r="E13" t="str">
            <v>g</v>
          </cell>
          <cell r="F13" t="str">
            <v>204.46g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206</v>
          </cell>
          <cell r="D17">
            <v>75</v>
          </cell>
          <cell r="E17" t="str">
            <v>g</v>
          </cell>
          <cell r="F17" t="str">
            <v>206.75g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206</v>
          </cell>
          <cell r="D24">
            <v>102</v>
          </cell>
          <cell r="E24" t="str">
            <v>g</v>
          </cell>
          <cell r="F24" t="str">
            <v>206.102g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22657380.059999999</v>
          </cell>
        </row>
        <row r="27">
          <cell r="C27">
            <v>219</v>
          </cell>
          <cell r="D27">
            <v>20</v>
          </cell>
          <cell r="E27" t="str">
            <v>c</v>
          </cell>
          <cell r="F27" t="str">
            <v>219.20c</v>
          </cell>
          <cell r="G27" t="str">
            <v>electric_plant</v>
          </cell>
          <cell r="K27" t="e">
            <v>#N/A</v>
          </cell>
          <cell r="L27">
            <v>2505658617</v>
          </cell>
        </row>
        <row r="28">
          <cell r="C28">
            <v>219</v>
          </cell>
          <cell r="D28">
            <v>21</v>
          </cell>
          <cell r="E28" t="str">
            <v>c</v>
          </cell>
          <cell r="F28" t="str">
            <v>219.21c</v>
          </cell>
          <cell r="G28" t="str">
            <v>electric_plant</v>
          </cell>
          <cell r="K28" t="e">
            <v>#N/A</v>
          </cell>
          <cell r="L28">
            <v>0</v>
          </cell>
        </row>
        <row r="29">
          <cell r="C29">
            <v>219</v>
          </cell>
          <cell r="D29">
            <v>22</v>
          </cell>
          <cell r="E29" t="str">
            <v>c</v>
          </cell>
          <cell r="F29" t="str">
            <v>219.22c</v>
          </cell>
          <cell r="G29" t="str">
            <v>electric_plant</v>
          </cell>
          <cell r="K29" t="e">
            <v>#N/A</v>
          </cell>
          <cell r="L29">
            <v>264903753</v>
          </cell>
        </row>
        <row r="30">
          <cell r="C30">
            <v>219</v>
          </cell>
          <cell r="D30">
            <v>23</v>
          </cell>
          <cell r="E30" t="str">
            <v>c</v>
          </cell>
          <cell r="F30" t="str">
            <v>219.23c</v>
          </cell>
          <cell r="G30" t="str">
            <v>electric_plant</v>
          </cell>
          <cell r="K30" t="e">
            <v>#N/A</v>
          </cell>
          <cell r="L30">
            <v>0</v>
          </cell>
        </row>
        <row r="31">
          <cell r="C31">
            <v>219</v>
          </cell>
          <cell r="D31">
            <v>24</v>
          </cell>
          <cell r="E31" t="str">
            <v>c</v>
          </cell>
          <cell r="F31" t="str">
            <v>219.24c</v>
          </cell>
          <cell r="G31" t="str">
            <v>electric_plant</v>
          </cell>
          <cell r="K31" t="e">
            <v>#N/A</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cell r="K81" t="e">
            <v>#N/A</v>
          </cell>
          <cell r="L81">
            <v>0</v>
          </cell>
        </row>
        <row r="82">
          <cell r="B82">
            <v>139</v>
          </cell>
          <cell r="C82">
            <v>350</v>
          </cell>
          <cell r="D82">
            <v>31</v>
          </cell>
          <cell r="E82" t="str">
            <v>d</v>
          </cell>
          <cell r="F82" t="str">
            <v>350.31d</v>
          </cell>
          <cell r="G82" t="str">
            <v>tot_expn_to_date</v>
          </cell>
          <cell r="H82">
            <v>183061</v>
          </cell>
          <cell r="I82">
            <v>491725</v>
          </cell>
          <cell r="J82">
            <v>596587</v>
          </cell>
          <cell r="K82" t="e">
            <v>#N/A</v>
          </cell>
          <cell r="L82">
            <v>0</v>
          </cell>
        </row>
        <row r="83">
          <cell r="B83">
            <v>140</v>
          </cell>
          <cell r="C83">
            <v>350</v>
          </cell>
          <cell r="D83">
            <v>32</v>
          </cell>
          <cell r="E83" t="str">
            <v>d</v>
          </cell>
          <cell r="F83" t="str">
            <v>350.32d</v>
          </cell>
          <cell r="G83" t="str">
            <v>tot_expn_to_date</v>
          </cell>
          <cell r="H83">
            <v>0</v>
          </cell>
          <cell r="I83">
            <v>2368722</v>
          </cell>
          <cell r="J83">
            <v>762536</v>
          </cell>
          <cell r="K83" t="e">
            <v>#N/A</v>
          </cell>
          <cell r="L83">
            <v>2043517</v>
          </cell>
        </row>
        <row r="84">
          <cell r="B84">
            <v>141</v>
          </cell>
          <cell r="C84">
            <v>350</v>
          </cell>
          <cell r="D84">
            <v>46</v>
          </cell>
          <cell r="E84" t="str">
            <v>d</v>
          </cell>
          <cell r="F84" t="str">
            <v>350.46d</v>
          </cell>
          <cell r="G84" t="str">
            <v>tot_expn_to_date</v>
          </cell>
          <cell r="H84">
            <v>11630262</v>
          </cell>
          <cell r="I84">
            <v>16464747</v>
          </cell>
          <cell r="J84">
            <v>17926840</v>
          </cell>
          <cell r="K84">
            <v>21857100</v>
          </cell>
          <cell r="L84" t="e">
            <v>#N/A</v>
          </cell>
        </row>
        <row r="85">
          <cell r="B85">
            <v>148</v>
          </cell>
          <cell r="C85">
            <v>354</v>
          </cell>
          <cell r="D85">
            <v>21</v>
          </cell>
          <cell r="E85" t="str">
            <v>b</v>
          </cell>
          <cell r="F85" t="str">
            <v>354.21b</v>
          </cell>
          <cell r="G85" t="str">
            <v>drct_pyrl_dstrbt</v>
          </cell>
          <cell r="H85">
            <v>20976669</v>
          </cell>
          <cell r="I85">
            <v>21701683</v>
          </cell>
          <cell r="J85">
            <v>21424172</v>
          </cell>
          <cell r="K85">
            <v>22707903</v>
          </cell>
          <cell r="L85">
            <v>23499915</v>
          </cell>
        </row>
        <row r="86">
          <cell r="B86">
            <v>151</v>
          </cell>
          <cell r="C86">
            <v>354</v>
          </cell>
          <cell r="D86">
            <v>27</v>
          </cell>
          <cell r="E86" t="str">
            <v>b</v>
          </cell>
          <cell r="F86" t="str">
            <v>354.27b</v>
          </cell>
          <cell r="G86" t="str">
            <v>drct_pyrl_dstrbt</v>
          </cell>
          <cell r="H86">
            <v>39151807</v>
          </cell>
          <cell r="I86">
            <v>6194912</v>
          </cell>
          <cell r="J86">
            <v>39620131</v>
          </cell>
          <cell r="K86">
            <v>41949915</v>
          </cell>
          <cell r="L86">
            <v>43097996</v>
          </cell>
        </row>
        <row r="87">
          <cell r="B87">
            <v>152</v>
          </cell>
          <cell r="C87">
            <v>354</v>
          </cell>
          <cell r="D87">
            <v>28</v>
          </cell>
          <cell r="E87" t="str">
            <v>b</v>
          </cell>
          <cell r="F87" t="str">
            <v>354.28b</v>
          </cell>
          <cell r="G87" t="str">
            <v>drct_pyrl_dstrbt</v>
          </cell>
          <cell r="H87">
            <v>354492178</v>
          </cell>
          <cell r="I87">
            <v>361424755</v>
          </cell>
          <cell r="J87">
            <v>352150935</v>
          </cell>
          <cell r="K87">
            <v>357213635</v>
          </cell>
          <cell r="L87">
            <v>363265480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Status"/>
      <sheetName val="FAS132CY"/>
      <sheetName val="FAS132PY"/>
      <sheetName val="Summary"/>
      <sheetName val="FAS106 CY"/>
      <sheetName val="FAS106 PY"/>
      <sheetName val="FAS106 PY2"/>
    </sheetNames>
    <sheetDataSet>
      <sheetData sheetId="0" refreshError="1">
        <row r="6">
          <cell r="B6" t="str">
            <v>December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6786435.0800000001</v>
          </cell>
          <cell r="G6">
            <v>9849606.0299999993</v>
          </cell>
          <cell r="H6">
            <v>12946939.560000001</v>
          </cell>
          <cell r="I6">
            <v>13686671.890000001</v>
          </cell>
          <cell r="J6">
            <v>14935722.699999999</v>
          </cell>
          <cell r="K6">
            <v>17133180.510000002</v>
          </cell>
          <cell r="L6">
            <v>21400625.370000001</v>
          </cell>
          <cell r="M6">
            <v>24307422.789999999</v>
          </cell>
          <cell r="N6">
            <v>26796130.93</v>
          </cell>
          <cell r="O6">
            <v>32232440.609999999</v>
          </cell>
        </row>
        <row r="7">
          <cell r="A7" t="str">
            <v>RDLPRM34</v>
          </cell>
          <cell r="B7">
            <v>4204751</v>
          </cell>
          <cell r="C7">
            <v>144431.35</v>
          </cell>
          <cell r="D7">
            <v>4576625.2</v>
          </cell>
          <cell r="E7">
            <v>5359012.3600000003</v>
          </cell>
          <cell r="F7">
            <v>6340060.79</v>
          </cell>
          <cell r="G7">
            <v>7971142.0000000009</v>
          </cell>
          <cell r="H7">
            <v>8520432.5</v>
          </cell>
          <cell r="I7">
            <v>9989244.7700000014</v>
          </cell>
          <cell r="J7">
            <v>11129885</v>
          </cell>
          <cell r="K7">
            <v>12064996.32</v>
          </cell>
          <cell r="L7">
            <v>13322483.35</v>
          </cell>
          <cell r="M7">
            <v>13955275.08</v>
          </cell>
          <cell r="N7">
            <v>14515417.440000001</v>
          </cell>
          <cell r="O7">
            <v>15194333.9</v>
          </cell>
        </row>
        <row r="8">
          <cell r="A8" t="str">
            <v>RTSPRD08</v>
          </cell>
          <cell r="B8">
            <v>0</v>
          </cell>
          <cell r="C8">
            <v>0</v>
          </cell>
          <cell r="D8">
            <v>528703.94999999995</v>
          </cell>
          <cell r="E8">
            <v>1226051.1800000002</v>
          </cell>
          <cell r="F8">
            <v>2675130.9300000002</v>
          </cell>
          <cell r="G8">
            <v>1809243.96</v>
          </cell>
          <cell r="H8">
            <v>2564288.67</v>
          </cell>
          <cell r="I8">
            <v>3238857.62</v>
          </cell>
          <cell r="J8">
            <v>3395488.38</v>
          </cell>
          <cell r="K8">
            <v>3972250.79</v>
          </cell>
          <cell r="L8">
            <v>5634854.3299999991</v>
          </cell>
          <cell r="M8">
            <v>5877746.6699999999</v>
          </cell>
          <cell r="N8">
            <v>7008341.5599999996</v>
          </cell>
          <cell r="O8">
            <v>10957367.539999999</v>
          </cell>
        </row>
        <row r="9">
          <cell r="A9" t="str">
            <v>RDLPCM05</v>
          </cell>
          <cell r="B9">
            <v>0</v>
          </cell>
          <cell r="C9">
            <v>0</v>
          </cell>
          <cell r="D9">
            <v>832570.29</v>
          </cell>
          <cell r="E9">
            <v>2021381.2</v>
          </cell>
          <cell r="F9">
            <v>3461959.91</v>
          </cell>
          <cell r="G9">
            <v>4964117.0999999996</v>
          </cell>
          <cell r="H9">
            <v>6302519.79</v>
          </cell>
          <cell r="I9">
            <v>6734386.4500000002</v>
          </cell>
          <cell r="J9">
            <v>6567679.6699999999</v>
          </cell>
          <cell r="K9">
            <v>7731479.6399999997</v>
          </cell>
          <cell r="L9">
            <v>7694842.4400000004</v>
          </cell>
          <cell r="M9">
            <v>8855311.8300000001</v>
          </cell>
          <cell r="N9">
            <v>9619432.4299999997</v>
          </cell>
          <cell r="O9">
            <v>8325115.0700000003</v>
          </cell>
        </row>
        <row r="10">
          <cell r="A10" t="str">
            <v>RDLPLM60</v>
          </cell>
          <cell r="B10">
            <v>2394934</v>
          </cell>
          <cell r="C10">
            <v>81663.789999999994</v>
          </cell>
          <cell r="D10">
            <v>2225187.65</v>
          </cell>
          <cell r="E10">
            <v>2285226.06</v>
          </cell>
          <cell r="F10">
            <v>2810995.4299999997</v>
          </cell>
          <cell r="G10">
            <v>3811878.59</v>
          </cell>
          <cell r="H10">
            <v>5226604.5600000005</v>
          </cell>
          <cell r="I10">
            <v>5516170.25</v>
          </cell>
          <cell r="J10">
            <v>5727242.8399999999</v>
          </cell>
          <cell r="K10">
            <v>5899893.71</v>
          </cell>
          <cell r="L10">
            <v>6371896.7000000002</v>
          </cell>
          <cell r="M10">
            <v>6441233.7300000004</v>
          </cell>
          <cell r="N10">
            <v>6818379.9800000004</v>
          </cell>
          <cell r="O10">
            <v>7013324.2600000007</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5789025.5700000003</v>
          </cell>
          <cell r="L11">
            <v>6130848.9800000004</v>
          </cell>
          <cell r="M11">
            <v>5811008.9100000001</v>
          </cell>
          <cell r="N11">
            <v>6216448.71</v>
          </cell>
          <cell r="O11">
            <v>6775182.9299999997</v>
          </cell>
        </row>
        <row r="12">
          <cell r="A12" t="str">
            <v>RDSPRG84</v>
          </cell>
          <cell r="B12">
            <v>2102586</v>
          </cell>
          <cell r="C12">
            <v>201800.97</v>
          </cell>
          <cell r="D12">
            <v>2121201.75</v>
          </cell>
          <cell r="E12">
            <v>2144695.8800000004</v>
          </cell>
          <cell r="F12">
            <v>2200734.7800000003</v>
          </cell>
          <cell r="G12">
            <v>2214385.17</v>
          </cell>
          <cell r="H12">
            <v>2247070.73</v>
          </cell>
          <cell r="I12">
            <v>2287000.12</v>
          </cell>
          <cell r="J12">
            <v>2368196.71</v>
          </cell>
          <cell r="K12">
            <v>2413320.4900000002</v>
          </cell>
          <cell r="L12">
            <v>2445868.67</v>
          </cell>
          <cell r="M12">
            <v>2541493.1000000006</v>
          </cell>
          <cell r="N12">
            <v>2604214.42</v>
          </cell>
          <cell r="O12">
            <v>2869889.5100000002</v>
          </cell>
        </row>
        <row r="14">
          <cell r="A14" t="str">
            <v>RDSPRD99</v>
          </cell>
          <cell r="B14">
            <v>0</v>
          </cell>
          <cell r="C14">
            <v>0</v>
          </cell>
          <cell r="D14">
            <v>0</v>
          </cell>
          <cell r="E14">
            <v>27451.05</v>
          </cell>
          <cell r="F14">
            <v>1080050.31</v>
          </cell>
          <cell r="G14">
            <v>1164784.5900000001</v>
          </cell>
          <cell r="H14">
            <v>1203124.8899999999</v>
          </cell>
          <cell r="I14">
            <v>1234777.19</v>
          </cell>
          <cell r="J14">
            <v>3252945.95</v>
          </cell>
          <cell r="K14">
            <v>3375460.52</v>
          </cell>
          <cell r="L14">
            <v>3459954.0700000003</v>
          </cell>
          <cell r="M14">
            <v>3678816.36</v>
          </cell>
          <cell r="N14">
            <v>3778441.1</v>
          </cell>
          <cell r="O14">
            <v>3961636.48</v>
          </cell>
        </row>
        <row r="15">
          <cell r="A15" t="str">
            <v>RDSPRD75</v>
          </cell>
          <cell r="B15">
            <v>765117</v>
          </cell>
          <cell r="C15">
            <v>41453.269999999997</v>
          </cell>
          <cell r="D15">
            <v>993549.42</v>
          </cell>
          <cell r="E15">
            <v>1320194.19</v>
          </cell>
          <cell r="F15">
            <v>1707993.94</v>
          </cell>
          <cell r="G15">
            <v>2379428.4700000002</v>
          </cell>
          <cell r="H15">
            <v>2994806.6</v>
          </cell>
          <cell r="I15">
            <v>3130824.5999999996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1591957.1199999999</v>
          </cell>
          <cell r="E16">
            <v>1641883.4200000002</v>
          </cell>
          <cell r="F16">
            <v>1659074.0999999999</v>
          </cell>
          <cell r="G16">
            <v>1735588.4300000002</v>
          </cell>
          <cell r="H16">
            <v>1799632.19</v>
          </cell>
          <cell r="I16">
            <v>1822964.8299999998</v>
          </cell>
          <cell r="J16">
            <v>1837440.85</v>
          </cell>
          <cell r="K16">
            <v>1887028.6600000001</v>
          </cell>
          <cell r="L16">
            <v>2028909.9000000001</v>
          </cell>
          <cell r="M16">
            <v>2171394.17</v>
          </cell>
          <cell r="N16">
            <v>2273463.16</v>
          </cell>
          <cell r="O16">
            <v>2517646.7999999998</v>
          </cell>
        </row>
        <row r="17">
          <cell r="A17" t="str">
            <v>RDLPLM20</v>
          </cell>
          <cell r="B17">
            <v>0</v>
          </cell>
          <cell r="C17">
            <v>0</v>
          </cell>
          <cell r="D17">
            <v>6882.8099999999995</v>
          </cell>
          <cell r="E17">
            <v>30995.51</v>
          </cell>
          <cell r="F17">
            <v>163178.74</v>
          </cell>
          <cell r="G17">
            <v>458010.97</v>
          </cell>
          <cell r="H17">
            <v>759580.76</v>
          </cell>
          <cell r="I17">
            <v>1256596.23</v>
          </cell>
          <cell r="J17">
            <v>1808907.67</v>
          </cell>
          <cell r="K17">
            <v>2506667.87</v>
          </cell>
          <cell r="L17">
            <v>2692322.29</v>
          </cell>
          <cell r="M17">
            <v>2752899.17</v>
          </cell>
          <cell r="N17">
            <v>2791116.8099999996</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2380083.7599999998</v>
          </cell>
          <cell r="N18">
            <v>2383485.2200000002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2580168.5299999998</v>
          </cell>
        </row>
        <row r="20">
          <cell r="A20" t="str">
            <v>RICPRG42</v>
          </cell>
          <cell r="B20">
            <v>520712</v>
          </cell>
          <cell r="C20">
            <v>18326.93</v>
          </cell>
          <cell r="D20">
            <v>532160.34</v>
          </cell>
          <cell r="E20">
            <v>558628.85000000009</v>
          </cell>
          <cell r="F20">
            <v>596700.51</v>
          </cell>
          <cell r="G20">
            <v>646928.98</v>
          </cell>
          <cell r="H20">
            <v>864216.9</v>
          </cell>
          <cell r="I20">
            <v>923397.61</v>
          </cell>
          <cell r="J20">
            <v>955092.41</v>
          </cell>
          <cell r="K20">
            <v>1016181.0899999999</v>
          </cell>
          <cell r="L20">
            <v>1045432.2999999999</v>
          </cell>
          <cell r="M20">
            <v>1093583.77</v>
          </cell>
          <cell r="N20">
            <v>1363246.96</v>
          </cell>
          <cell r="O20">
            <v>1667479.37</v>
          </cell>
        </row>
        <row r="21">
          <cell r="A21" t="str">
            <v>RDLPCS03</v>
          </cell>
          <cell r="B21">
            <v>0</v>
          </cell>
          <cell r="C21">
            <v>0</v>
          </cell>
          <cell r="D21">
            <v>47680.28</v>
          </cell>
          <cell r="E21">
            <v>134387.46</v>
          </cell>
          <cell r="F21">
            <v>300754.46000000002</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290755.65999999997</v>
          </cell>
          <cell r="F22">
            <v>299233.5</v>
          </cell>
          <cell r="G22">
            <v>2088480.22</v>
          </cell>
          <cell r="H22">
            <v>2102797.36</v>
          </cell>
          <cell r="I22">
            <v>2106863.29</v>
          </cell>
          <cell r="J22">
            <v>2126780.15</v>
          </cell>
          <cell r="K22">
            <v>2131373.77</v>
          </cell>
          <cell r="L22">
            <v>2137329.7999999998</v>
          </cell>
          <cell r="M22">
            <v>1949297.2</v>
          </cell>
          <cell r="N22">
            <v>1484252.24</v>
          </cell>
          <cell r="O22">
            <v>1484252.24</v>
          </cell>
        </row>
        <row r="23">
          <cell r="A23" t="str">
            <v>RDSPRD25</v>
          </cell>
          <cell r="B23">
            <v>582091</v>
          </cell>
          <cell r="C23">
            <v>21844.18</v>
          </cell>
          <cell r="D23">
            <v>592601.37000000011</v>
          </cell>
          <cell r="E23">
            <v>609553.55000000005</v>
          </cell>
          <cell r="F23">
            <v>648198.03</v>
          </cell>
          <cell r="G23">
            <v>723153.79999999993</v>
          </cell>
          <cell r="H23">
            <v>733563.3600000001</v>
          </cell>
          <cell r="I23">
            <v>809541.31</v>
          </cell>
          <cell r="J23">
            <v>848543.08</v>
          </cell>
          <cell r="K23">
            <v>897039.9</v>
          </cell>
          <cell r="L23">
            <v>898424.42999999993</v>
          </cell>
          <cell r="M23">
            <v>926972.7</v>
          </cell>
          <cell r="N23">
            <v>937177.66000000015</v>
          </cell>
          <cell r="O23">
            <v>1188638.6099999999</v>
          </cell>
        </row>
        <row r="24">
          <cell r="A24" t="str">
            <v>RDLPCM04</v>
          </cell>
          <cell r="B24">
            <v>0</v>
          </cell>
          <cell r="C24">
            <v>0</v>
          </cell>
          <cell r="D24">
            <v>32366.77</v>
          </cell>
          <cell r="E24">
            <v>49613.440000000002</v>
          </cell>
          <cell r="F24">
            <v>58699.96</v>
          </cell>
          <cell r="G24">
            <v>113925.08</v>
          </cell>
          <cell r="H24">
            <v>593793.35</v>
          </cell>
          <cell r="I24">
            <v>615967.93999999994</v>
          </cell>
          <cell r="J24">
            <v>582109.17000000004</v>
          </cell>
          <cell r="K24">
            <v>776829.33</v>
          </cell>
          <cell r="L24">
            <v>898463.98</v>
          </cell>
          <cell r="M24">
            <v>1035570.13</v>
          </cell>
          <cell r="N24">
            <v>1234560.75</v>
          </cell>
          <cell r="O24">
            <v>1303731.01</v>
          </cell>
        </row>
        <row r="25">
          <cell r="A25" t="str">
            <v>ROCPOG69</v>
          </cell>
          <cell r="B25">
            <v>0</v>
          </cell>
          <cell r="C25">
            <v>0</v>
          </cell>
          <cell r="D25">
            <v>15536.45</v>
          </cell>
          <cell r="E25">
            <v>99007.010000000009</v>
          </cell>
          <cell r="F25">
            <v>130823.4</v>
          </cell>
          <cell r="G25">
            <v>161180.19</v>
          </cell>
          <cell r="H25">
            <v>337802.52</v>
          </cell>
          <cell r="I25">
            <v>408764.44</v>
          </cell>
          <cell r="J25">
            <v>431890.08</v>
          </cell>
          <cell r="K25">
            <v>455818.30000000005</v>
          </cell>
          <cell r="L25">
            <v>489480.84</v>
          </cell>
          <cell r="M25">
            <v>916132.84</v>
          </cell>
          <cell r="N25">
            <v>1058322.44</v>
          </cell>
          <cell r="O25">
            <v>1228624.0499999998</v>
          </cell>
        </row>
        <row r="26">
          <cell r="A26" t="str">
            <v>RDLPPM07</v>
          </cell>
          <cell r="B26">
            <v>0</v>
          </cell>
          <cell r="C26">
            <v>0</v>
          </cell>
          <cell r="D26">
            <v>66766.149999999994</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266525.21000000002</v>
          </cell>
          <cell r="E27">
            <v>304777.62</v>
          </cell>
          <cell r="F27">
            <v>449031.12</v>
          </cell>
          <cell r="G27">
            <v>539964.75</v>
          </cell>
          <cell r="H27">
            <v>597180.93999999994</v>
          </cell>
          <cell r="I27">
            <v>613207.57999999996</v>
          </cell>
          <cell r="J27">
            <v>654961.16999999993</v>
          </cell>
          <cell r="K27">
            <v>707896.07</v>
          </cell>
          <cell r="L27">
            <v>793710.23</v>
          </cell>
          <cell r="M27">
            <v>861943.96</v>
          </cell>
          <cell r="N27">
            <v>862935.40999999992</v>
          </cell>
          <cell r="O27">
            <v>862935.40999999992</v>
          </cell>
        </row>
        <row r="28">
          <cell r="A28" t="str">
            <v>RICPPG51</v>
          </cell>
          <cell r="B28">
            <v>499190</v>
          </cell>
          <cell r="C28">
            <v>23019.33</v>
          </cell>
          <cell r="D28">
            <v>519189.42</v>
          </cell>
          <cell r="E28">
            <v>541576.30999999994</v>
          </cell>
          <cell r="F28">
            <v>567571.1</v>
          </cell>
          <cell r="G28">
            <v>608885.28</v>
          </cell>
          <cell r="H28">
            <v>637789.18999999994</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36673.360000000001</v>
          </cell>
          <cell r="K30">
            <v>36673.360000000001</v>
          </cell>
          <cell r="L30">
            <v>36673.360000000001</v>
          </cell>
          <cell r="M30">
            <v>37810.9</v>
          </cell>
          <cell r="N30">
            <v>76214.19</v>
          </cell>
          <cell r="O30">
            <v>697077.02</v>
          </cell>
        </row>
        <row r="31">
          <cell r="A31" t="str">
            <v>RICPOG30</v>
          </cell>
          <cell r="B31">
            <v>0</v>
          </cell>
          <cell r="C31">
            <v>0</v>
          </cell>
          <cell r="D31">
            <v>65836.639999999999</v>
          </cell>
          <cell r="E31">
            <v>254537.69</v>
          </cell>
          <cell r="F31">
            <v>344445.14</v>
          </cell>
          <cell r="G31">
            <v>415273.35000000003</v>
          </cell>
          <cell r="H31">
            <v>476315.35000000003</v>
          </cell>
          <cell r="I31">
            <v>498619.99</v>
          </cell>
          <cell r="J31">
            <v>524880.82999999996</v>
          </cell>
          <cell r="K31">
            <v>535529.37</v>
          </cell>
          <cell r="L31">
            <v>546794.64</v>
          </cell>
          <cell r="M31">
            <v>562792.63</v>
          </cell>
          <cell r="N31">
            <v>570426.44999999995</v>
          </cell>
          <cell r="O31">
            <v>570426.44999999995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381050.97000000003</v>
          </cell>
          <cell r="O32">
            <v>440042.87</v>
          </cell>
        </row>
        <row r="33">
          <cell r="A33" t="str">
            <v>RDSPLD62</v>
          </cell>
          <cell r="B33">
            <v>0</v>
          </cell>
          <cell r="C33">
            <v>0</v>
          </cell>
          <cell r="D33">
            <v>4858.8700000000008</v>
          </cell>
          <cell r="E33">
            <v>22186.080000000002</v>
          </cell>
          <cell r="F33">
            <v>38409.58</v>
          </cell>
          <cell r="G33">
            <v>61332.840000000004</v>
          </cell>
          <cell r="H33">
            <v>92273.5</v>
          </cell>
          <cell r="I33">
            <v>138717.56999999998</v>
          </cell>
          <cell r="J33">
            <v>138926.35</v>
          </cell>
          <cell r="K33">
            <v>165849.07</v>
          </cell>
          <cell r="L33">
            <v>201280.75</v>
          </cell>
          <cell r="M33">
            <v>238941.9</v>
          </cell>
          <cell r="N33">
            <v>307418.44</v>
          </cell>
          <cell r="O33">
            <v>456798.75999999995</v>
          </cell>
        </row>
        <row r="34">
          <cell r="A34" t="str">
            <v>RDLPLM34</v>
          </cell>
          <cell r="B34">
            <v>0</v>
          </cell>
          <cell r="C34">
            <v>0</v>
          </cell>
          <cell r="D34">
            <v>1979.03</v>
          </cell>
          <cell r="E34">
            <v>4028.18</v>
          </cell>
          <cell r="F34">
            <v>6164.48</v>
          </cell>
          <cell r="G34">
            <v>111200.73999999999</v>
          </cell>
          <cell r="H34">
            <v>111348.52</v>
          </cell>
          <cell r="I34">
            <v>111555.26</v>
          </cell>
          <cell r="J34">
            <v>117476.15000000001</v>
          </cell>
          <cell r="K34">
            <v>241593.12</v>
          </cell>
          <cell r="L34">
            <v>250653.38</v>
          </cell>
          <cell r="M34">
            <v>260786.12999999998</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136809.91999999998</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273698.09000000003</v>
          </cell>
          <cell r="O36">
            <v>273698.09000000003</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40594.210000000006</v>
          </cell>
          <cell r="J39">
            <v>45389.65</v>
          </cell>
          <cell r="K39">
            <v>66289.649999999994</v>
          </cell>
          <cell r="L39">
            <v>90944.2</v>
          </cell>
          <cell r="M39">
            <v>91270.080000000002</v>
          </cell>
          <cell r="N39">
            <v>91270.080000000002</v>
          </cell>
          <cell r="O39">
            <v>237286.34</v>
          </cell>
        </row>
        <row r="40">
          <cell r="A40" t="str">
            <v>RDLPCS94</v>
          </cell>
          <cell r="B40">
            <v>0</v>
          </cell>
          <cell r="C40">
            <v>0</v>
          </cell>
          <cell r="D40">
            <v>0</v>
          </cell>
          <cell r="E40">
            <v>0</v>
          </cell>
          <cell r="F40">
            <v>0</v>
          </cell>
          <cell r="G40">
            <v>22810.34</v>
          </cell>
          <cell r="H40">
            <v>38398.629999999997</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151579.05000000002</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23542413.050000004</v>
          </cell>
          <cell r="E50">
            <v>35780172.300000019</v>
          </cell>
          <cell r="F50">
            <v>53204335.840000004</v>
          </cell>
          <cell r="G50">
            <v>67836828.519999996</v>
          </cell>
          <cell r="H50">
            <v>81125317.419999987</v>
          </cell>
          <cell r="I50">
            <v>90615791.179999977</v>
          </cell>
          <cell r="J50">
            <v>101372918.61000001</v>
          </cell>
          <cell r="K50">
            <v>111757497.58999999</v>
          </cell>
          <cell r="L50">
            <v>125141802.36000004</v>
          </cell>
          <cell r="M50">
            <v>135711507.58999997</v>
          </cell>
          <cell r="N50">
            <v>142921055.79000002</v>
          </cell>
          <cell r="O50">
            <v>159965173.63000005</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23542413.050000004</v>
          </cell>
          <cell r="E68">
            <v>35780172.300000019</v>
          </cell>
          <cell r="F68">
            <v>53204335.840000004</v>
          </cell>
          <cell r="G68">
            <v>67836828.519999996</v>
          </cell>
          <cell r="H68">
            <v>81125317.419999987</v>
          </cell>
          <cell r="I68">
            <v>90615791.179999977</v>
          </cell>
          <cell r="J68">
            <v>101372918.61000001</v>
          </cell>
          <cell r="K68">
            <v>111757497.58999999</v>
          </cell>
          <cell r="L68">
            <v>125141802.36000004</v>
          </cell>
          <cell r="M68">
            <v>135711507.58999997</v>
          </cell>
          <cell r="N68">
            <v>142921055.79000002</v>
          </cell>
          <cell r="O68">
            <v>159965173.63000005</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23542413.050000004</v>
          </cell>
          <cell r="E70">
            <v>35780172.300000019</v>
          </cell>
          <cell r="F70">
            <v>53204335.840000004</v>
          </cell>
          <cell r="G70">
            <v>67836828.519999996</v>
          </cell>
          <cell r="H70">
            <v>81125317.419999987</v>
          </cell>
          <cell r="I70">
            <v>90615791.179999977</v>
          </cell>
          <cell r="J70">
            <v>101372918.61000001</v>
          </cell>
          <cell r="K70">
            <v>111757497.58999999</v>
          </cell>
          <cell r="L70">
            <v>125141802.36000004</v>
          </cell>
          <cell r="M70">
            <v>135711507.58999997</v>
          </cell>
          <cell r="N70">
            <v>142921055.79000002</v>
          </cell>
          <cell r="O70">
            <v>159965173.63000005</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33674437.829999998</v>
          </cell>
          <cell r="E72">
            <v>33977425.409999996</v>
          </cell>
          <cell r="F72">
            <v>34141550.009999998</v>
          </cell>
          <cell r="G72">
            <v>34479321.130000003</v>
          </cell>
          <cell r="H72">
            <v>34915484.689999998</v>
          </cell>
          <cell r="I72">
            <v>38529114.980000004</v>
          </cell>
          <cell r="J72">
            <v>38228438.320000008</v>
          </cell>
          <cell r="K72">
            <v>38300554.079999998</v>
          </cell>
          <cell r="L72">
            <v>38364587.719999999</v>
          </cell>
          <cell r="M72">
            <v>38459506.850000001</v>
          </cell>
          <cell r="N72">
            <v>38513563.780000001</v>
          </cell>
          <cell r="O72">
            <v>38712655</v>
          </cell>
        </row>
        <row r="73">
          <cell r="A73" t="str">
            <v>JOB BALANCE LESS AFUDC</v>
          </cell>
          <cell r="D73">
            <v>57216850.880000003</v>
          </cell>
          <cell r="E73">
            <v>69757597.710000008</v>
          </cell>
          <cell r="F73">
            <v>87345885.849999994</v>
          </cell>
          <cell r="G73">
            <v>102316149.65000001</v>
          </cell>
          <cell r="H73">
            <v>116040802.10999998</v>
          </cell>
          <cell r="I73">
            <v>129144906.15999998</v>
          </cell>
          <cell r="J73">
            <v>139601356.93000001</v>
          </cell>
          <cell r="K73">
            <v>150058051.66999999</v>
          </cell>
          <cell r="L73">
            <v>163506390.08000004</v>
          </cell>
          <cell r="M73">
            <v>174171014.43999997</v>
          </cell>
          <cell r="N73">
            <v>181435328.57000002</v>
          </cell>
          <cell r="O73">
            <v>198677828.63000005</v>
          </cell>
        </row>
        <row r="75">
          <cell r="B75">
            <v>13541507.07</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 val="Gross_Rec:QRE's"/>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v>0</v>
          </cell>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sheetData sheetId="9"/>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v>0</v>
          </cell>
          <cell r="B7" t="str">
            <v>&lt;&lt;California Phase II QRE Findings&gt;&gt;</v>
          </cell>
          <cell r="C7" t="str">
            <v>'[california Agouron Supermodel@10%.xls]PHASE II'!$B$2</v>
          </cell>
        </row>
        <row r="8">
          <cell r="A8">
            <v>0</v>
          </cell>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v>0</v>
          </cell>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v>0</v>
          </cell>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I104" t="str">
            <v xml:space="preserve"> </v>
          </cell>
          <cell r="J104" t="str">
            <v xml:space="preserve"> </v>
          </cell>
          <cell r="K104" t="str">
            <v xml:space="preserve"> </v>
          </cell>
          <cell r="L104" t="str">
            <v xml:space="preserve"> </v>
          </cell>
          <cell r="M104" t="str">
            <v xml:space="preserve"> </v>
          </cell>
          <cell r="N104" t="str">
            <v xml:space="preserve"> </v>
          </cell>
        </row>
        <row r="108">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29">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row>
        <row r="230">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row>
        <row r="231">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row>
        <row r="232">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row>
        <row r="233">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row>
        <row r="234">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row>
        <row r="235">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row>
        <row r="236">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row>
        <row r="237">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row>
        <row r="238">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row>
        <row r="239">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row>
        <row r="240">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row>
        <row r="241">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row>
        <row r="242">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row>
        <row r="243">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row>
        <row r="244">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row>
        <row r="245">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row>
        <row r="252">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row>
        <row r="253">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row>
        <row r="254">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row>
        <row r="255">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row>
        <row r="256">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row>
        <row r="257">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row>
        <row r="258">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row>
        <row r="259">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row>
        <row r="260">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row>
        <row r="261">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row>
        <row r="262">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row>
        <row r="263">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row>
        <row r="264">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row>
        <row r="265">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row>
        <row r="266">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row>
        <row r="267">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row>
        <row r="268">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row>
        <row r="269">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row>
        <row r="270">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row>
        <row r="271">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row>
        <row r="278">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row>
        <row r="279">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row>
        <row r="280">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row>
        <row r="281">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row>
        <row r="284">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row>
        <row r="285">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row>
        <row r="286">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row>
        <row r="287">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row>
        <row r="288">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row>
        <row r="289">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row>
        <row r="290">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row>
        <row r="291">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row>
        <row r="292">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row>
        <row r="293">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row>
        <row r="294">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row>
        <row r="295">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row>
        <row r="296">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row>
        <row r="297">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v>0</v>
          </cell>
        </row>
        <row r="9">
          <cell r="B9">
            <v>0</v>
          </cell>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v>0</v>
          </cell>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v>0</v>
          </cell>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v>0</v>
          </cell>
          <cell r="W12">
            <v>0</v>
          </cell>
          <cell r="X12">
            <v>0</v>
          </cell>
          <cell r="Y12">
            <v>0</v>
          </cell>
          <cell r="Z12">
            <v>0</v>
          </cell>
          <cell r="AA12">
            <v>0</v>
          </cell>
          <cell r="BP12">
            <v>0</v>
          </cell>
          <cell r="BQ12">
            <v>0</v>
          </cell>
          <cell r="BR12">
            <v>0</v>
          </cell>
          <cell r="BS12">
            <v>0</v>
          </cell>
          <cell r="BT12">
            <v>0</v>
          </cell>
        </row>
        <row r="13">
          <cell r="B13">
            <v>0</v>
          </cell>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v>0</v>
          </cell>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row>
        <row r="126">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row>
        <row r="132">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row>
        <row r="134">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row>
        <row r="138">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row>
        <row r="139">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row>
        <row r="141">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204"/>
      <sheetName val="222"/>
      <sheetName val="876"/>
    </sheetNames>
    <sheetDataSet>
      <sheetData sheetId="0"/>
      <sheetData sheetId="1"/>
      <sheetData sheetId="2"/>
      <sheetData sheetId="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2152904.7999999998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1110779.8799999999</v>
          </cell>
          <cell r="G78">
            <v>2518668.5499999998</v>
          </cell>
          <cell r="H78">
            <v>230659.34</v>
          </cell>
          <cell r="I78">
            <v>0</v>
          </cell>
          <cell r="J78">
            <v>0</v>
          </cell>
          <cell r="K78">
            <v>0</v>
          </cell>
          <cell r="L78">
            <v>0</v>
          </cell>
          <cell r="M78">
            <v>0</v>
          </cell>
          <cell r="N78">
            <v>3860107.7699999996</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2665285.9500000002</v>
          </cell>
          <cell r="G84">
            <v>0</v>
          </cell>
          <cell r="H84">
            <v>0</v>
          </cell>
          <cell r="I84">
            <v>0</v>
          </cell>
          <cell r="J84">
            <v>0</v>
          </cell>
          <cell r="K84">
            <v>0</v>
          </cell>
          <cell r="L84">
            <v>0</v>
          </cell>
          <cell r="M84">
            <v>0</v>
          </cell>
          <cell r="N84">
            <v>2665285.9500000002</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293373.84999999998</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2081.6799999999998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143445.23000000001</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279355.21999999997</v>
          </cell>
          <cell r="D100">
            <v>0</v>
          </cell>
          <cell r="E100">
            <v>0</v>
          </cell>
          <cell r="F100">
            <v>0</v>
          </cell>
          <cell r="G100">
            <v>0</v>
          </cell>
          <cell r="H100">
            <v>0</v>
          </cell>
          <cell r="I100">
            <v>0</v>
          </cell>
          <cell r="J100">
            <v>0</v>
          </cell>
          <cell r="K100">
            <v>0</v>
          </cell>
          <cell r="L100">
            <v>0</v>
          </cell>
          <cell r="M100">
            <v>0</v>
          </cell>
          <cell r="N100">
            <v>279355.21999999997</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357883.83999999997</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337636.80999999994</v>
          </cell>
          <cell r="D130">
            <v>2405336.98</v>
          </cell>
          <cell r="E130">
            <v>15511.14</v>
          </cell>
          <cell r="F130">
            <v>13893104.400000002</v>
          </cell>
          <cell r="G130">
            <v>2556446.8399999994</v>
          </cell>
          <cell r="H130">
            <v>713300.63</v>
          </cell>
          <cell r="I130">
            <v>0</v>
          </cell>
          <cell r="J130">
            <v>6760750.1799999997</v>
          </cell>
          <cell r="K130">
            <v>574045.39</v>
          </cell>
          <cell r="L130">
            <v>1469817.94</v>
          </cell>
          <cell r="M130">
            <v>613614.74</v>
          </cell>
          <cell r="N130">
            <v>30221494.669999994</v>
          </cell>
        </row>
        <row r="131">
          <cell r="N131">
            <v>30221494.670000002</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LG-APRIL2001-TRANSCHECKOUT"/>
      <sheetName val="O (2)"/>
      <sheetName val="CHECKOUTXXX"/>
      <sheetName val="TAGS"/>
      <sheetName val=" DPLG-TOTAL-ENERGY"/>
      <sheetName val="TRADER"/>
      <sheetName val="OFF-PEAK-HOURS"/>
    </sheetNames>
    <sheetDataSet>
      <sheetData sheetId="0">
        <row r="1">
          <cell r="A1" t="str">
            <v>this is a dummy file</v>
          </cell>
        </row>
      </sheetData>
      <sheetData sheetId="1"/>
      <sheetData sheetId="2"/>
      <sheetData sheetId="3"/>
      <sheetData sheetId="4"/>
      <sheetData sheetId="5"/>
      <sheetData sheetId="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A.1"/>
      <sheetName val="A.1.1"/>
      <sheetName val="TST"/>
      <sheetName val="B.1"/>
      <sheetName val="B.1.1"/>
      <sheetName val="B.3.1 "/>
      <sheetName val="B.3.2  "/>
      <sheetName val="NITS "/>
      <sheetName val="Input"/>
      <sheetName val="Cost of Capital"/>
      <sheetName val="Compare"/>
      <sheetName val="Macro1"/>
      <sheetName val="PrintModule"/>
    </sheetNames>
    <sheetDataSet>
      <sheetData sheetId="0"/>
      <sheetData sheetId="1"/>
      <sheetData sheetId="2"/>
      <sheetData sheetId="3"/>
      <sheetData sheetId="4"/>
      <sheetData sheetId="5"/>
      <sheetData sheetId="6"/>
      <sheetData sheetId="7"/>
      <sheetData sheetId="8"/>
      <sheetData sheetId="9">
        <row r="33">
          <cell r="F33">
            <v>7.9500000000000001E-2</v>
          </cell>
        </row>
      </sheetData>
      <sheetData sheetId="10"/>
      <sheetData sheetId="11"/>
      <sheetData sheetId="12"/>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 for end-of-year 2003"/>
      <sheetName val="pre-97_post-96 2002"/>
      <sheetName val="Pivot_final_substation 2002"/>
      <sheetName val="Assumed additions 2003"/>
      <sheetName val="T&amp;D Split Substation Summary"/>
    </sheetNames>
    <sheetDataSet>
      <sheetData sheetId="0" refreshError="1"/>
      <sheetData sheetId="1" refreshError="1"/>
      <sheetData sheetId="2" refreshError="1"/>
      <sheetData sheetId="3" refreshError="1"/>
      <sheetData sheetId="4" refreshError="1">
        <row r="39">
          <cell r="B39">
            <v>45</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 val="AltAcctTable"/>
      <sheetName val="Cons TB"/>
      <sheetName val="Depreciation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Voting Share"/>
      <sheetName val="Worksheet 1"/>
      <sheetName val="Worksheet 2a"/>
      <sheetName val="Worksheet 3a"/>
      <sheetName val="Worksheet 4a"/>
      <sheetName val="Worksheet 2b"/>
      <sheetName val="Worksheet 3b"/>
      <sheetName val="Worksheet 4b"/>
      <sheetName val="Worksheet 2c"/>
      <sheetName val="Worksheet 3c"/>
      <sheetName val="Worksheet 4c"/>
      <sheetName val="Worksheet 2d"/>
      <sheetName val="Worksheet 3d"/>
      <sheetName val="Worksheet 4d"/>
      <sheetName val="Worksheet 5"/>
      <sheetName val="Worksheet 6"/>
      <sheetName val="Worksheet 7"/>
      <sheetName val="Worksheet 8"/>
      <sheetName val="AFUDC Equity"/>
      <sheetName val="1998 PTF Info"/>
      <sheetName val="St.Macros"/>
      <sheetName val="Temp"/>
    </sheetNames>
    <sheetDataSet>
      <sheetData sheetId="0" refreshError="1">
        <row r="1">
          <cell r="A1" t="str">
            <v>file:  K:\conadm\test\nutrans\tariffs\FIRM1.xls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sheetData>
      <sheetData sheetId="1"/>
      <sheetData sheetId="2" refreshError="1"/>
      <sheetData sheetId="3" refreshError="1"/>
      <sheetData sheetId="4" refreshError="1"/>
      <sheetData sheetId="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tachment O"/>
      <sheetName val="Nonlevelized-IOU"/>
      <sheetName val="Opco Data"/>
    </sheetNames>
    <sheetDataSet>
      <sheetData sheetId="0">
        <row r="19">
          <cell r="I19">
            <v>0</v>
          </cell>
        </row>
        <row r="24">
          <cell r="I24">
            <v>5986141</v>
          </cell>
        </row>
        <row r="82">
          <cell r="D82">
            <v>3542234396</v>
          </cell>
        </row>
        <row r="83">
          <cell r="D83">
            <v>1257390851</v>
          </cell>
        </row>
        <row r="84">
          <cell r="D84">
            <v>2496368743</v>
          </cell>
        </row>
        <row r="85">
          <cell r="D85">
            <v>523791201</v>
          </cell>
        </row>
        <row r="90">
          <cell r="D90">
            <v>2049032467.4730768</v>
          </cell>
        </row>
        <row r="91">
          <cell r="D91">
            <v>423353722.911538</v>
          </cell>
        </row>
        <row r="92">
          <cell r="D92">
            <v>910926053.31692314</v>
          </cell>
        </row>
        <row r="93">
          <cell r="D93">
            <v>343716216.37538451</v>
          </cell>
        </row>
        <row r="106">
          <cell r="D106">
            <v>0</v>
          </cell>
        </row>
        <row r="107">
          <cell r="D107">
            <v>-1312115276.4549999</v>
          </cell>
        </row>
        <row r="108">
          <cell r="D108">
            <v>-920695444.44499993</v>
          </cell>
        </row>
        <row r="109">
          <cell r="D109">
            <v>357815973.53500003</v>
          </cell>
        </row>
        <row r="116">
          <cell r="D116">
            <v>283961</v>
          </cell>
        </row>
        <row r="120">
          <cell r="D120">
            <v>36190544</v>
          </cell>
        </row>
        <row r="121">
          <cell r="D121">
            <v>6500333</v>
          </cell>
        </row>
        <row r="139">
          <cell r="D139">
            <v>33026835</v>
          </cell>
        </row>
        <row r="140">
          <cell r="D140">
            <v>472243</v>
          </cell>
        </row>
        <row r="141">
          <cell r="D141">
            <v>162043289</v>
          </cell>
        </row>
        <row r="143">
          <cell r="D143">
            <v>219769</v>
          </cell>
        </row>
        <row r="150">
          <cell r="D150">
            <v>24535167</v>
          </cell>
        </row>
        <row r="151">
          <cell r="D151">
            <v>37948565</v>
          </cell>
        </row>
        <row r="159">
          <cell r="D159">
            <v>12392143</v>
          </cell>
        </row>
        <row r="162">
          <cell r="D162">
            <v>28132670</v>
          </cell>
        </row>
        <row r="174">
          <cell r="D174">
            <v>-30145</v>
          </cell>
        </row>
        <row r="188">
          <cell r="I188">
            <v>21520139</v>
          </cell>
        </row>
        <row r="192">
          <cell r="I192">
            <v>3862922</v>
          </cell>
        </row>
        <row r="207">
          <cell r="I207">
            <v>2607891.64</v>
          </cell>
        </row>
        <row r="208">
          <cell r="I208">
            <v>25275812</v>
          </cell>
        </row>
        <row r="214">
          <cell r="D214">
            <v>10932793</v>
          </cell>
        </row>
        <row r="215">
          <cell r="D215">
            <v>6195466</v>
          </cell>
        </row>
        <row r="216">
          <cell r="D216">
            <v>18788693</v>
          </cell>
        </row>
        <row r="217">
          <cell r="D217">
            <v>11294180</v>
          </cell>
        </row>
        <row r="221">
          <cell r="D221">
            <v>7830558761</v>
          </cell>
        </row>
        <row r="222">
          <cell r="D222">
            <v>0</v>
          </cell>
        </row>
        <row r="223">
          <cell r="D223">
            <v>0</v>
          </cell>
        </row>
        <row r="227">
          <cell r="I227">
            <v>77199891</v>
          </cell>
        </row>
        <row r="229">
          <cell r="I229">
            <v>6873220</v>
          </cell>
        </row>
        <row r="232">
          <cell r="I232">
            <v>1540365055.5</v>
          </cell>
        </row>
        <row r="238">
          <cell r="D238">
            <v>1606738802</v>
          </cell>
        </row>
        <row r="239">
          <cell r="D239">
            <v>116350000</v>
          </cell>
        </row>
        <row r="243">
          <cell r="I243">
            <v>7469801</v>
          </cell>
        </row>
        <row r="246">
          <cell r="I246">
            <v>31588965.315012161</v>
          </cell>
        </row>
        <row r="247">
          <cell r="I247">
            <v>0</v>
          </cell>
        </row>
        <row r="248">
          <cell r="I248">
            <v>0</v>
          </cell>
        </row>
        <row r="249">
          <cell r="I249">
            <v>0</v>
          </cell>
        </row>
        <row r="280">
          <cell r="D280">
            <v>0.35</v>
          </cell>
        </row>
        <row r="281">
          <cell r="D281">
            <v>6.5000000000000002E-2</v>
          </cell>
        </row>
        <row r="282">
          <cell r="D282">
            <v>0</v>
          </cell>
        </row>
      </sheetData>
      <sheetData sheetId="1">
        <row r="7">
          <cell r="K7" t="str">
            <v>For the 12 months ended 12/31/11</v>
          </cell>
        </row>
        <row r="10">
          <cell r="D10" t="str">
            <v>Entergy Texas, Inc.</v>
          </cell>
        </row>
        <row r="26">
          <cell r="I26">
            <v>3521595.8333333335</v>
          </cell>
        </row>
        <row r="89">
          <cell r="D89">
            <v>898951627.17692256</v>
          </cell>
        </row>
        <row r="90">
          <cell r="D90">
            <v>852370423.91461504</v>
          </cell>
        </row>
        <row r="91">
          <cell r="D91">
            <v>1258228537.0323081</v>
          </cell>
        </row>
        <row r="92">
          <cell r="D92">
            <v>243683842.00384599</v>
          </cell>
        </row>
        <row r="97">
          <cell r="D97">
            <v>581864765.9799999</v>
          </cell>
        </row>
        <row r="98">
          <cell r="D98">
            <v>253404466.33000001</v>
          </cell>
        </row>
        <row r="99">
          <cell r="D99">
            <v>276874742.80999994</v>
          </cell>
        </row>
        <row r="100">
          <cell r="D100">
            <v>127362573.13</v>
          </cell>
        </row>
        <row r="113">
          <cell r="D113">
            <v>-12048.04</v>
          </cell>
        </row>
        <row r="114">
          <cell r="D114">
            <v>-613908920.53499997</v>
          </cell>
        </row>
        <row r="115">
          <cell r="D115">
            <v>-469513464.80500001</v>
          </cell>
        </row>
        <row r="116">
          <cell r="D116">
            <v>237510767.49000001</v>
          </cell>
        </row>
        <row r="124">
          <cell r="D124">
            <v>6143480</v>
          </cell>
        </row>
        <row r="125">
          <cell r="D125">
            <v>8487803</v>
          </cell>
        </row>
        <row r="162">
          <cell r="D162">
            <v>26546580</v>
          </cell>
        </row>
        <row r="164">
          <cell r="D164">
            <v>8929644</v>
          </cell>
        </row>
        <row r="165">
          <cell r="D165">
            <v>74796014</v>
          </cell>
        </row>
        <row r="167">
          <cell r="D167">
            <v>86451</v>
          </cell>
        </row>
        <row r="174">
          <cell r="D174">
            <v>13949104</v>
          </cell>
        </row>
        <row r="175">
          <cell r="D175">
            <v>14584432</v>
          </cell>
        </row>
        <row r="181">
          <cell r="D181">
            <v>3920746</v>
          </cell>
        </row>
        <row r="184">
          <cell r="D184">
            <v>13395.297853599999</v>
          </cell>
        </row>
        <row r="233">
          <cell r="I233">
            <v>1858303.8907692311</v>
          </cell>
        </row>
        <row r="234">
          <cell r="I234">
            <v>13036121.748461541</v>
          </cell>
        </row>
        <row r="250">
          <cell r="D250">
            <v>12559256</v>
          </cell>
        </row>
        <row r="251">
          <cell r="D251">
            <v>2229546</v>
          </cell>
        </row>
        <row r="252">
          <cell r="D252">
            <v>10697124</v>
          </cell>
        </row>
        <row r="253">
          <cell r="D253">
            <v>8068168</v>
          </cell>
        </row>
        <row r="257">
          <cell r="D257">
            <v>3254184720</v>
          </cell>
        </row>
        <row r="258">
          <cell r="D258">
            <v>0</v>
          </cell>
        </row>
        <row r="259">
          <cell r="D259">
            <v>0</v>
          </cell>
        </row>
        <row r="263">
          <cell r="I263">
            <v>59077540</v>
          </cell>
        </row>
        <row r="265">
          <cell r="I265">
            <v>0</v>
          </cell>
        </row>
        <row r="268">
          <cell r="I268">
            <v>861823074</v>
          </cell>
        </row>
        <row r="274">
          <cell r="D274">
            <v>892830756</v>
          </cell>
        </row>
        <row r="275">
          <cell r="D275">
            <v>0</v>
          </cell>
        </row>
        <row r="289">
          <cell r="I289">
            <v>24331244.917123936</v>
          </cell>
        </row>
        <row r="325">
          <cell r="D325">
            <v>0.35</v>
          </cell>
        </row>
        <row r="326">
          <cell r="D326">
            <v>0</v>
          </cell>
        </row>
        <row r="327">
          <cell r="D327">
            <v>0</v>
          </cell>
        </row>
      </sheetData>
      <sheetData sheetId="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8.1723282774619987E-2</v>
          </cell>
          <cell r="C39">
            <v>8.1640793532299583E-2</v>
          </cell>
        </row>
      </sheetData>
      <sheetData sheetId="5"/>
      <sheetData sheetId="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y_Account"/>
      <sheetName val="pre-97_post-96"/>
      <sheetName val=" pivot_minus_Skiff&amp;Western"/>
      <sheetName val="Table_Minus_Skiff&amp;Western"/>
      <sheetName val="Pivot_final_substation "/>
      <sheetName val="Table_Allclassified "/>
      <sheetName val="Adds_Retires_Adj_Trans_2002"/>
      <sheetName val="316 items added and retired"/>
      <sheetName val="Acct 316 detail for 2002"/>
      <sheetName val="316 Additions removed"/>
      <sheetName val="Last year's minus S&amp;W"/>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row r="1">
          <cell r="A1">
            <v>0.82265223799684317</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2nd qtr 2000"/>
      <sheetName val="adjustments"/>
      <sheetName val="Fair Value"/>
      <sheetName val="merger related costs"/>
      <sheetName val="JE's"/>
      <sheetName val="Sheet1"/>
      <sheetName val="Nuc FV Dec"/>
      <sheetName val="Goodwill amort"/>
      <sheetName val="PECO Securit Adj"/>
      <sheetName val="chg in acctg prin"/>
      <sheetName val="don't use past here."/>
      <sheetName val="Goodwill"/>
      <sheetName val="PECO stock price"/>
      <sheetName val="UCM Share Repurchase"/>
      <sheetName val="Reg Asset Amort"/>
      <sheetName val="FERC 8K Recon"/>
      <sheetName val="Goodwill (2)"/>
      <sheetName val="MERGER2"/>
      <sheetName val="CONSOLIDATING W ADJUSTMENTS"/>
      <sheetName val="Oct-00"/>
      <sheetName val="mktprice"/>
      <sheetName val="Assumptions"/>
      <sheetName val="State ETR Calc"/>
      <sheetName val="LineItem Data"/>
      <sheetName val="SETUP-Review"/>
    </sheetNames>
    <sheetDataSet>
      <sheetData sheetId="0" refreshError="1"/>
      <sheetData sheetId="1" refreshError="1">
        <row r="6">
          <cell r="A6" t="str">
            <v>UNAUDITED PROFORMA CONDENSED STATEMENT OF INCOME</v>
          </cell>
          <cell r="K6" t="str">
            <v>UNAUDITED PROFORMA CONDENSED STATEMENT OF INCOME</v>
          </cell>
          <cell r="V6" t="str">
            <v>UNAUDITED PRO FORMA COMBINED CONDENSED STATEMENT OF INCOME</v>
          </cell>
        </row>
        <row r="7">
          <cell r="A7" t="str">
            <v>(Millions Except Per Share Data)</v>
          </cell>
          <cell r="K7" t="str">
            <v>(Millions Except Per Share Data)</v>
          </cell>
          <cell r="V7" t="str">
            <v>(Millions Except Per Share Data)</v>
          </cell>
        </row>
        <row r="8">
          <cell r="A8" t="str">
            <v>FOR THE first six months ended June 30, 2000</v>
          </cell>
          <cell r="K8" t="str">
            <v>FOR THE first six months ended June 30, 2000</v>
          </cell>
          <cell r="V8" t="str">
            <v>FOR THE first six months ended June 30, 2000</v>
          </cell>
        </row>
        <row r="11">
          <cell r="I11" t="str">
            <v>PECO</v>
          </cell>
          <cell r="Y11" t="str">
            <v>PECO</v>
          </cell>
        </row>
        <row r="12">
          <cell r="D12" t="str">
            <v>PECO</v>
          </cell>
          <cell r="G12" t="str">
            <v>PECO Energy</v>
          </cell>
          <cell r="I12" t="str">
            <v>Energy</v>
          </cell>
          <cell r="P12" t="str">
            <v>UNICOM</v>
          </cell>
          <cell r="R12" t="str">
            <v>UNICOM</v>
          </cell>
          <cell r="T12" t="str">
            <v>UNICOM</v>
          </cell>
          <cell r="Y12" t="str">
            <v>Energy</v>
          </cell>
        </row>
        <row r="13">
          <cell r="D13" t="str">
            <v>Energy</v>
          </cell>
          <cell r="F13" t="str">
            <v xml:space="preserve">Chg in </v>
          </cell>
          <cell r="G13" t="str">
            <v>Transition Bond</v>
          </cell>
          <cell r="I13" t="str">
            <v>Prior to</v>
          </cell>
          <cell r="N13" t="str">
            <v>UNICOM</v>
          </cell>
          <cell r="P13" t="str">
            <v>Fossil Sale</v>
          </cell>
          <cell r="R13" t="str">
            <v>Share Buyback</v>
          </cell>
          <cell r="T13" t="str">
            <v>Prior to</v>
          </cell>
          <cell r="Y13" t="str">
            <v>Prior to</v>
          </cell>
          <cell r="AA13" t="str">
            <v>UNICOM</v>
          </cell>
          <cell r="AD13" t="str">
            <v>Merger</v>
          </cell>
          <cell r="AF13" t="str">
            <v>Merger</v>
          </cell>
        </row>
        <row r="14">
          <cell r="D14" t="str">
            <v>As</v>
          </cell>
          <cell r="F14" t="str">
            <v>Acct</v>
          </cell>
          <cell r="G14" t="str">
            <v>ProForma</v>
          </cell>
          <cell r="I14" t="str">
            <v>Merger</v>
          </cell>
          <cell r="N14" t="str">
            <v>As</v>
          </cell>
          <cell r="P14" t="str">
            <v>ProForma</v>
          </cell>
          <cell r="R14" t="str">
            <v>ProForma</v>
          </cell>
          <cell r="T14" t="str">
            <v>Merger</v>
          </cell>
          <cell r="Y14" t="str">
            <v>Merger</v>
          </cell>
          <cell r="AA14" t="str">
            <v>as</v>
          </cell>
          <cell r="AB14" t="str">
            <v>ComEd</v>
          </cell>
          <cell r="AD14" t="str">
            <v>Related</v>
          </cell>
          <cell r="AF14" t="str">
            <v>ProForma</v>
          </cell>
          <cell r="AH14" t="str">
            <v>Exelon</v>
          </cell>
        </row>
        <row r="15">
          <cell r="D15" t="str">
            <v>Filed</v>
          </cell>
          <cell r="E15" t="str">
            <v>Reclasses</v>
          </cell>
          <cell r="F15" t="str">
            <v>Princ</v>
          </cell>
          <cell r="G15" t="str">
            <v>Adjustments(1)</v>
          </cell>
          <cell r="I15" t="str">
            <v>ProForma</v>
          </cell>
          <cell r="N15" t="str">
            <v>Filed</v>
          </cell>
          <cell r="P15" t="str">
            <v>Adjustments(3)</v>
          </cell>
          <cell r="R15" t="str">
            <v>Adjustments(4)</v>
          </cell>
          <cell r="T15" t="str">
            <v>ProForma</v>
          </cell>
          <cell r="Y15" t="str">
            <v>ProForma</v>
          </cell>
          <cell r="AA15" t="str">
            <v>filed</v>
          </cell>
          <cell r="AB15" t="str">
            <v>Reclasses</v>
          </cell>
          <cell r="AD15" t="str">
            <v>Costs</v>
          </cell>
          <cell r="AF15" t="str">
            <v>Adjustments</v>
          </cell>
          <cell r="AH15" t="str">
            <v>ProForma</v>
          </cell>
        </row>
        <row r="16">
          <cell r="AD16" t="str">
            <v>UCM 25</v>
          </cell>
        </row>
        <row r="17">
          <cell r="A17" t="str">
            <v>Operating Revenues</v>
          </cell>
          <cell r="K17" t="str">
            <v>Operating Revenues</v>
          </cell>
          <cell r="V17" t="str">
            <v>Operating Revenues</v>
          </cell>
          <cell r="AD17" t="str">
            <v>PECO 20</v>
          </cell>
        </row>
        <row r="18">
          <cell r="B18" t="str">
            <v>Electric</v>
          </cell>
          <cell r="E18">
            <v>4</v>
          </cell>
          <cell r="F18">
            <v>0</v>
          </cell>
          <cell r="G18">
            <v>0</v>
          </cell>
          <cell r="I18">
            <v>4</v>
          </cell>
          <cell r="L18" t="str">
            <v>Electric</v>
          </cell>
          <cell r="N18">
            <v>3465</v>
          </cell>
          <cell r="P18">
            <v>0</v>
          </cell>
          <cell r="R18">
            <v>0</v>
          </cell>
          <cell r="T18">
            <v>3465</v>
          </cell>
          <cell r="W18" t="str">
            <v>Electric</v>
          </cell>
          <cell r="Y18">
            <v>4</v>
          </cell>
          <cell r="AA18">
            <v>3465</v>
          </cell>
          <cell r="AB18">
            <v>3</v>
          </cell>
          <cell r="AF18">
            <v>-14.047000000000001</v>
          </cell>
          <cell r="AH18">
            <v>3457.953</v>
          </cell>
        </row>
        <row r="19">
          <cell r="B19" t="str">
            <v>Gas</v>
          </cell>
          <cell r="D19">
            <v>2716</v>
          </cell>
          <cell r="E19">
            <v>6</v>
          </cell>
          <cell r="G19">
            <v>0</v>
          </cell>
          <cell r="I19">
            <v>2722</v>
          </cell>
          <cell r="L19" t="str">
            <v>Gas</v>
          </cell>
          <cell r="N19">
            <v>0</v>
          </cell>
          <cell r="P19">
            <v>0</v>
          </cell>
          <cell r="R19">
            <v>0</v>
          </cell>
          <cell r="T19">
            <v>0</v>
          </cell>
          <cell r="W19" t="str">
            <v>Gas</v>
          </cell>
          <cell r="Y19">
            <v>2722</v>
          </cell>
          <cell r="AA19">
            <v>0</v>
          </cell>
          <cell r="AB19">
            <v>0</v>
          </cell>
          <cell r="AD19">
            <v>0</v>
          </cell>
          <cell r="AF19">
            <v>0</v>
          </cell>
          <cell r="AH19">
            <v>2722</v>
          </cell>
        </row>
        <row r="20">
          <cell r="B20" t="str">
            <v xml:space="preserve">   Total Operating Revenues</v>
          </cell>
          <cell r="D20">
            <v>2716</v>
          </cell>
          <cell r="E20">
            <v>10</v>
          </cell>
          <cell r="F20">
            <v>0</v>
          </cell>
          <cell r="G20">
            <v>0</v>
          </cell>
          <cell r="I20">
            <v>2726</v>
          </cell>
          <cell r="L20" t="str">
            <v xml:space="preserve">   Total Operating Revenues</v>
          </cell>
          <cell r="N20">
            <v>3465</v>
          </cell>
          <cell r="P20">
            <v>0</v>
          </cell>
          <cell r="R20">
            <v>0</v>
          </cell>
          <cell r="T20">
            <v>3465</v>
          </cell>
          <cell r="W20" t="str">
            <v xml:space="preserve">   Total Operating Revenues</v>
          </cell>
          <cell r="Y20">
            <v>2726</v>
          </cell>
          <cell r="AA20">
            <v>3465</v>
          </cell>
          <cell r="AB20">
            <v>3</v>
          </cell>
          <cell r="AD20">
            <v>0</v>
          </cell>
          <cell r="AF20">
            <v>-14.047000000000001</v>
          </cell>
          <cell r="AH20">
            <v>6179.9529999999995</v>
          </cell>
        </row>
        <row r="22">
          <cell r="A22" t="str">
            <v>Operating Expenses</v>
          </cell>
          <cell r="K22" t="str">
            <v>Operating Expenses</v>
          </cell>
          <cell r="V22" t="str">
            <v>Operating Expenses</v>
          </cell>
        </row>
        <row r="23">
          <cell r="B23" t="str">
            <v>Fuel and Energy Interchange</v>
          </cell>
          <cell r="D23">
            <v>926</v>
          </cell>
          <cell r="E23">
            <v>6</v>
          </cell>
          <cell r="G23">
            <v>0</v>
          </cell>
          <cell r="I23">
            <v>932</v>
          </cell>
          <cell r="L23" t="str">
            <v>Fuel and Energy Interchange</v>
          </cell>
          <cell r="N23">
            <v>872</v>
          </cell>
          <cell r="P23">
            <v>0</v>
          </cell>
          <cell r="R23">
            <v>0</v>
          </cell>
          <cell r="T23">
            <v>872</v>
          </cell>
          <cell r="W23" t="str">
            <v>Fuel and Energy Interchange</v>
          </cell>
          <cell r="Y23">
            <v>932</v>
          </cell>
          <cell r="AA23">
            <v>872</v>
          </cell>
          <cell r="AF23">
            <v>-14.047000000000001</v>
          </cell>
          <cell r="AH23">
            <v>1789.953</v>
          </cell>
        </row>
        <row r="24">
          <cell r="B24" t="str">
            <v>Operation and Maintenance</v>
          </cell>
          <cell r="D24">
            <v>835</v>
          </cell>
          <cell r="E24">
            <v>10</v>
          </cell>
          <cell r="F24">
            <v>-5</v>
          </cell>
          <cell r="G24">
            <v>0</v>
          </cell>
          <cell r="I24">
            <v>840</v>
          </cell>
          <cell r="L24" t="str">
            <v>Operation and Maintenance</v>
          </cell>
          <cell r="N24">
            <v>1094</v>
          </cell>
          <cell r="P24">
            <v>0</v>
          </cell>
          <cell r="R24">
            <v>0</v>
          </cell>
          <cell r="T24">
            <v>1094</v>
          </cell>
          <cell r="W24" t="str">
            <v>Operation and Maintenance</v>
          </cell>
          <cell r="Y24">
            <v>840</v>
          </cell>
          <cell r="AA24">
            <v>1094</v>
          </cell>
          <cell r="AD24">
            <v>-45</v>
          </cell>
          <cell r="AF24">
            <v>22.9</v>
          </cell>
          <cell r="AH24">
            <v>1911.9</v>
          </cell>
        </row>
        <row r="25">
          <cell r="B25" t="str">
            <v>Depreciation and Amortization</v>
          </cell>
          <cell r="D25">
            <v>160</v>
          </cell>
          <cell r="E25">
            <v>0</v>
          </cell>
          <cell r="F25">
            <v>0</v>
          </cell>
          <cell r="G25">
            <v>0</v>
          </cell>
          <cell r="I25">
            <v>160</v>
          </cell>
          <cell r="L25" t="str">
            <v>Depreciation and Amortization</v>
          </cell>
          <cell r="N25">
            <v>601</v>
          </cell>
          <cell r="P25">
            <v>0</v>
          </cell>
          <cell r="R25">
            <v>0</v>
          </cell>
          <cell r="T25">
            <v>601</v>
          </cell>
          <cell r="W25" t="str">
            <v>Depreciation and Amortization</v>
          </cell>
          <cell r="Y25">
            <v>160</v>
          </cell>
          <cell r="AA25">
            <v>601</v>
          </cell>
          <cell r="AF25">
            <v>-110</v>
          </cell>
          <cell r="AH25">
            <v>651</v>
          </cell>
        </row>
        <row r="26">
          <cell r="B26" t="str">
            <v>Goodwill Amortization</v>
          </cell>
          <cell r="D26">
            <v>1</v>
          </cell>
          <cell r="E26">
            <v>0</v>
          </cell>
          <cell r="F26">
            <v>0</v>
          </cell>
          <cell r="G26">
            <v>0</v>
          </cell>
          <cell r="I26">
            <v>1</v>
          </cell>
          <cell r="L26" t="str">
            <v>Goodwill Amortization</v>
          </cell>
          <cell r="N26">
            <v>1</v>
          </cell>
          <cell r="P26">
            <v>0</v>
          </cell>
          <cell r="R26">
            <v>0</v>
          </cell>
          <cell r="T26">
            <v>1</v>
          </cell>
          <cell r="W26" t="str">
            <v>Goodwill Amortization</v>
          </cell>
          <cell r="Y26">
            <v>1</v>
          </cell>
          <cell r="AA26">
            <v>1</v>
          </cell>
          <cell r="AF26">
            <v>59.862498736856949</v>
          </cell>
          <cell r="AH26">
            <v>61.862498736856949</v>
          </cell>
        </row>
        <row r="27">
          <cell r="B27" t="str">
            <v>Taxes Other Than Income Taxes</v>
          </cell>
          <cell r="D27">
            <v>130</v>
          </cell>
          <cell r="E27">
            <v>0</v>
          </cell>
          <cell r="F27">
            <v>0</v>
          </cell>
          <cell r="G27">
            <v>0</v>
          </cell>
          <cell r="I27">
            <v>130</v>
          </cell>
          <cell r="L27" t="str">
            <v>Taxes Other Than Income Taxes</v>
          </cell>
          <cell r="N27">
            <v>268</v>
          </cell>
          <cell r="P27">
            <v>0</v>
          </cell>
          <cell r="R27">
            <v>0</v>
          </cell>
          <cell r="T27">
            <v>268</v>
          </cell>
          <cell r="W27" t="str">
            <v>Taxes Other Than Income Taxes</v>
          </cell>
          <cell r="Y27">
            <v>130</v>
          </cell>
          <cell r="AA27">
            <v>268</v>
          </cell>
          <cell r="AF27">
            <v>0</v>
          </cell>
          <cell r="AH27">
            <v>398</v>
          </cell>
        </row>
        <row r="28">
          <cell r="B28" t="str">
            <v xml:space="preserve">   Total Operating Expenses</v>
          </cell>
          <cell r="D28">
            <v>2052</v>
          </cell>
          <cell r="E28">
            <v>16</v>
          </cell>
          <cell r="F28">
            <v>-5</v>
          </cell>
          <cell r="G28">
            <v>0</v>
          </cell>
          <cell r="I28">
            <v>2063</v>
          </cell>
          <cell r="L28" t="str">
            <v xml:space="preserve">   Total Operating Expenses</v>
          </cell>
          <cell r="N28">
            <v>2836</v>
          </cell>
          <cell r="P28">
            <v>0</v>
          </cell>
          <cell r="R28">
            <v>0</v>
          </cell>
          <cell r="T28">
            <v>2836</v>
          </cell>
          <cell r="W28" t="str">
            <v xml:space="preserve">   Total Operating Expenses</v>
          </cell>
          <cell r="Y28">
            <v>2063</v>
          </cell>
          <cell r="AA28">
            <v>2836</v>
          </cell>
          <cell r="AB28">
            <v>0</v>
          </cell>
          <cell r="AD28">
            <v>-45</v>
          </cell>
          <cell r="AF28">
            <v>-41.284501263143056</v>
          </cell>
          <cell r="AH28">
            <v>4812.7154987368567</v>
          </cell>
        </row>
        <row r="29">
          <cell r="A29" t="str">
            <v xml:space="preserve">Operating Income </v>
          </cell>
          <cell r="D29">
            <v>664</v>
          </cell>
          <cell r="E29">
            <v>-6</v>
          </cell>
          <cell r="F29">
            <v>5</v>
          </cell>
          <cell r="G29">
            <v>0</v>
          </cell>
          <cell r="I29">
            <v>663</v>
          </cell>
          <cell r="K29" t="str">
            <v xml:space="preserve">Operating Income </v>
          </cell>
          <cell r="N29">
            <v>629</v>
          </cell>
          <cell r="P29">
            <v>0</v>
          </cell>
          <cell r="R29">
            <v>0</v>
          </cell>
          <cell r="T29">
            <v>629</v>
          </cell>
          <cell r="V29" t="str">
            <v xml:space="preserve">Operating Income </v>
          </cell>
          <cell r="Y29">
            <v>663</v>
          </cell>
          <cell r="AA29">
            <v>629</v>
          </cell>
          <cell r="AB29">
            <v>3</v>
          </cell>
          <cell r="AD29">
            <v>45</v>
          </cell>
          <cell r="AF29">
            <v>27.237501263143056</v>
          </cell>
          <cell r="AH29">
            <v>1367.2375012631428</v>
          </cell>
        </row>
        <row r="30">
          <cell r="A30" t="str">
            <v>Other Income and Deductions</v>
          </cell>
          <cell r="K30" t="str">
            <v>Other Income and Deductions</v>
          </cell>
          <cell r="V30" t="str">
            <v>Other Income and Deductions</v>
          </cell>
        </row>
        <row r="31">
          <cell r="B31" t="str">
            <v>Interest Expense</v>
          </cell>
          <cell r="D31">
            <v>-220</v>
          </cell>
          <cell r="G31">
            <v>-11.761926795666664</v>
          </cell>
          <cell r="I31">
            <v>-231.76192679566665</v>
          </cell>
          <cell r="L31" t="str">
            <v>Interest Expense</v>
          </cell>
          <cell r="N31">
            <v>-270</v>
          </cell>
          <cell r="P31">
            <v>0</v>
          </cell>
          <cell r="R31">
            <v>0</v>
          </cell>
          <cell r="T31">
            <v>-270</v>
          </cell>
          <cell r="W31" t="str">
            <v>Interest Expense</v>
          </cell>
          <cell r="Y31">
            <v>-231.76192679566665</v>
          </cell>
          <cell r="AA31">
            <v>-270</v>
          </cell>
          <cell r="AF31">
            <v>-11</v>
          </cell>
          <cell r="AH31">
            <v>-512.76192679566668</v>
          </cell>
        </row>
        <row r="32">
          <cell r="B32" t="str">
            <v>Pref Div</v>
          </cell>
          <cell r="D32">
            <v>-5</v>
          </cell>
          <cell r="E32">
            <v>0</v>
          </cell>
          <cell r="F32">
            <v>0</v>
          </cell>
          <cell r="G32">
            <v>0</v>
          </cell>
          <cell r="I32">
            <v>-5</v>
          </cell>
          <cell r="L32" t="str">
            <v>Pref Div</v>
          </cell>
          <cell r="N32">
            <v>-17</v>
          </cell>
          <cell r="P32">
            <v>0</v>
          </cell>
          <cell r="R32">
            <v>0</v>
          </cell>
          <cell r="T32">
            <v>-17</v>
          </cell>
          <cell r="W32" t="str">
            <v>Pref Div</v>
          </cell>
          <cell r="Y32">
            <v>-5</v>
          </cell>
          <cell r="AA32">
            <v>-17</v>
          </cell>
          <cell r="AF32">
            <v>-5</v>
          </cell>
          <cell r="AH32">
            <v>-27</v>
          </cell>
        </row>
        <row r="33">
          <cell r="B33" t="str">
            <v>Other, net</v>
          </cell>
          <cell r="D33">
            <v>24</v>
          </cell>
          <cell r="E33">
            <v>6</v>
          </cell>
          <cell r="I33">
            <v>30</v>
          </cell>
          <cell r="L33" t="str">
            <v>Other, net</v>
          </cell>
          <cell r="N33">
            <v>103</v>
          </cell>
          <cell r="P33">
            <v>0</v>
          </cell>
          <cell r="R33">
            <v>0</v>
          </cell>
          <cell r="T33">
            <v>103</v>
          </cell>
          <cell r="W33" t="str">
            <v>Other, net</v>
          </cell>
          <cell r="Y33">
            <v>30</v>
          </cell>
          <cell r="AA33">
            <v>103</v>
          </cell>
          <cell r="AB33">
            <v>-3</v>
          </cell>
          <cell r="AF33">
            <v>0</v>
          </cell>
          <cell r="AH33">
            <v>130</v>
          </cell>
        </row>
        <row r="34">
          <cell r="B34" t="str">
            <v xml:space="preserve">   Total Other Income and Deductions</v>
          </cell>
          <cell r="D34">
            <v>-201</v>
          </cell>
          <cell r="E34">
            <v>6</v>
          </cell>
          <cell r="F34">
            <v>0</v>
          </cell>
          <cell r="G34">
            <v>-11.761926795666664</v>
          </cell>
          <cell r="I34">
            <v>-206.76192679566665</v>
          </cell>
          <cell r="L34" t="str">
            <v xml:space="preserve">   Total Other Income and Deductions</v>
          </cell>
          <cell r="N34">
            <v>-184</v>
          </cell>
          <cell r="P34">
            <v>0</v>
          </cell>
          <cell r="R34">
            <v>0</v>
          </cell>
          <cell r="T34">
            <v>-184</v>
          </cell>
          <cell r="W34" t="str">
            <v xml:space="preserve">   Total Other Income and Deductions</v>
          </cell>
          <cell r="Y34">
            <v>-206.76192679566665</v>
          </cell>
          <cell r="AA34">
            <v>-184</v>
          </cell>
          <cell r="AB34">
            <v>-3</v>
          </cell>
          <cell r="AD34">
            <v>0</v>
          </cell>
          <cell r="AF34">
            <v>-16</v>
          </cell>
          <cell r="AH34">
            <v>-409.76192679566668</v>
          </cell>
        </row>
        <row r="36">
          <cell r="A36" t="str">
            <v>Income Before Income Taxes</v>
          </cell>
          <cell r="K36" t="str">
            <v>Income Before Income Taxes</v>
          </cell>
          <cell r="V36" t="str">
            <v>Income Before Income Taxes</v>
          </cell>
        </row>
        <row r="37">
          <cell r="A37" t="str">
            <v>and Extraordinary Item</v>
          </cell>
          <cell r="D37">
            <v>463</v>
          </cell>
          <cell r="E37">
            <v>0</v>
          </cell>
          <cell r="F37">
            <v>5</v>
          </cell>
          <cell r="G37">
            <v>-11.761926795666664</v>
          </cell>
          <cell r="I37">
            <v>456.23807320433332</v>
          </cell>
          <cell r="K37" t="str">
            <v>and Extraordinary Item</v>
          </cell>
          <cell r="N37">
            <v>445</v>
          </cell>
          <cell r="P37">
            <v>0</v>
          </cell>
          <cell r="R37">
            <v>0</v>
          </cell>
          <cell r="T37">
            <v>445</v>
          </cell>
          <cell r="V37" t="str">
            <v>and Extraordinary Item</v>
          </cell>
          <cell r="Y37">
            <v>456.23807320433332</v>
          </cell>
          <cell r="AA37">
            <v>445</v>
          </cell>
          <cell r="AB37">
            <v>0</v>
          </cell>
          <cell r="AD37">
            <v>45</v>
          </cell>
          <cell r="AF37">
            <v>11.237501263143056</v>
          </cell>
          <cell r="AH37">
            <v>957.47557446747612</v>
          </cell>
        </row>
        <row r="38">
          <cell r="A38" t="str">
            <v xml:space="preserve"> </v>
          </cell>
          <cell r="K38" t="str">
            <v xml:space="preserve"> </v>
          </cell>
          <cell r="V38" t="str">
            <v xml:space="preserve"> </v>
          </cell>
        </row>
        <row r="39">
          <cell r="A39" t="str">
            <v xml:space="preserve">Income Tax Expense </v>
          </cell>
          <cell r="D39">
            <v>174</v>
          </cell>
          <cell r="F39">
            <v>2</v>
          </cell>
          <cell r="G39">
            <v>-4.7047707182666656</v>
          </cell>
          <cell r="I39">
            <v>171.29522928173333</v>
          </cell>
          <cell r="K39" t="str">
            <v xml:space="preserve">Income Tax Expense </v>
          </cell>
          <cell r="N39">
            <v>102</v>
          </cell>
          <cell r="P39">
            <v>0</v>
          </cell>
          <cell r="R39">
            <v>0</v>
          </cell>
          <cell r="T39">
            <v>102</v>
          </cell>
          <cell r="V39" t="str">
            <v xml:space="preserve">Income Tax Expense </v>
          </cell>
          <cell r="Y39">
            <v>171.29522928173333</v>
          </cell>
          <cell r="AA39">
            <v>102</v>
          </cell>
          <cell r="AB39">
            <v>0</v>
          </cell>
          <cell r="AD39">
            <v>18</v>
          </cell>
          <cell r="AF39">
            <v>38.095820000000003</v>
          </cell>
          <cell r="AH39">
            <v>329.39104928173333</v>
          </cell>
        </row>
        <row r="40">
          <cell r="A40" t="str">
            <v>Income Before Extraordinary Item</v>
          </cell>
          <cell r="D40">
            <v>289</v>
          </cell>
          <cell r="E40">
            <v>0</v>
          </cell>
          <cell r="F40">
            <v>3</v>
          </cell>
          <cell r="G40">
            <v>-7.0571560773999984</v>
          </cell>
          <cell r="I40">
            <v>284.94284392259999</v>
          </cell>
          <cell r="K40" t="str">
            <v>Income Before Extraordinary Item</v>
          </cell>
          <cell r="N40">
            <v>343</v>
          </cell>
          <cell r="P40">
            <v>0</v>
          </cell>
          <cell r="R40">
            <v>0</v>
          </cell>
          <cell r="T40">
            <v>343</v>
          </cell>
          <cell r="V40" t="str">
            <v>Income Before Extraordinary Item</v>
          </cell>
          <cell r="Y40">
            <v>284.94284392259999</v>
          </cell>
          <cell r="AA40">
            <v>343</v>
          </cell>
          <cell r="AB40">
            <v>0</v>
          </cell>
          <cell r="AD40">
            <v>27</v>
          </cell>
          <cell r="AF40">
            <v>-26.858318736856948</v>
          </cell>
          <cell r="AH40">
            <v>628.08452518574279</v>
          </cell>
        </row>
        <row r="41">
          <cell r="B41" t="str">
            <v>Extraordinary</v>
          </cell>
          <cell r="D41">
            <v>-3</v>
          </cell>
          <cell r="I41">
            <v>-3</v>
          </cell>
          <cell r="W41" t="str">
            <v>PECO Extraordinary</v>
          </cell>
          <cell r="Y41">
            <v>-3</v>
          </cell>
          <cell r="AH41">
            <v>-3</v>
          </cell>
        </row>
        <row r="42">
          <cell r="W42" t="str">
            <v>PECO chg in acct prin ($22 million pre tax)( not needed for proforma purposes)</v>
          </cell>
        </row>
        <row r="43">
          <cell r="L43" t="str">
            <v>Extraordinary</v>
          </cell>
          <cell r="N43">
            <v>-4</v>
          </cell>
          <cell r="W43" t="str">
            <v>ComEd Extraordinary</v>
          </cell>
          <cell r="AA43">
            <v>-4</v>
          </cell>
          <cell r="AH43">
            <v>-4</v>
          </cell>
        </row>
        <row r="44">
          <cell r="W44" t="str">
            <v>Net Income</v>
          </cell>
          <cell r="Y44">
            <v>281.94284392259999</v>
          </cell>
          <cell r="AA44">
            <v>339</v>
          </cell>
          <cell r="AB44">
            <v>0</v>
          </cell>
          <cell r="AD44">
            <v>27</v>
          </cell>
          <cell r="AF44">
            <v>-26.858318736856948</v>
          </cell>
          <cell r="AH44">
            <v>621.08452518574279</v>
          </cell>
        </row>
        <row r="45">
          <cell r="A45" t="str">
            <v>Preferred Stock Dividend</v>
          </cell>
          <cell r="D45">
            <v>5</v>
          </cell>
          <cell r="I45">
            <v>5</v>
          </cell>
          <cell r="V45" t="str">
            <v>Pref Dividend</v>
          </cell>
          <cell r="Y45">
            <v>5</v>
          </cell>
          <cell r="AF45">
            <v>-5</v>
          </cell>
          <cell r="AH45">
            <v>0</v>
          </cell>
        </row>
        <row r="46">
          <cell r="B46" t="str">
            <v>Net Income on Common</v>
          </cell>
          <cell r="D46">
            <v>281</v>
          </cell>
          <cell r="W46" t="str">
            <v>Net Income on Common</v>
          </cell>
          <cell r="Y46">
            <v>276.94284392259999</v>
          </cell>
          <cell r="AA46">
            <v>339</v>
          </cell>
          <cell r="AB46">
            <v>0</v>
          </cell>
          <cell r="AD46">
            <v>27</v>
          </cell>
          <cell r="AF46">
            <v>-21.858318736856948</v>
          </cell>
          <cell r="AH46">
            <v>621.08452518574279</v>
          </cell>
        </row>
        <row r="48">
          <cell r="V48" t="str">
            <v>Income Before Extraordinary</v>
          </cell>
        </row>
        <row r="49">
          <cell r="A49" t="str">
            <v>Income Before Extraordinary</v>
          </cell>
          <cell r="K49" t="str">
            <v>Income Before Extraordinary</v>
          </cell>
          <cell r="T49" t="str">
            <v>info only</v>
          </cell>
          <cell r="V49" t="str">
            <v xml:space="preserve">   Item per Share</v>
          </cell>
          <cell r="AH49">
            <v>1.9469734331841466</v>
          </cell>
        </row>
        <row r="50">
          <cell r="A50" t="str">
            <v xml:space="preserve">   Item per Share</v>
          </cell>
          <cell r="D50" t="e">
            <v>#DIV/0!</v>
          </cell>
          <cell r="K50" t="str">
            <v xml:space="preserve">   Item per Share</v>
          </cell>
          <cell r="N50">
            <v>1.578462954440865</v>
          </cell>
          <cell r="T50">
            <v>1.7929952953476214</v>
          </cell>
        </row>
        <row r="51">
          <cell r="V51" t="str">
            <v>Income Before Extraordinary</v>
          </cell>
        </row>
        <row r="52">
          <cell r="A52" t="str">
            <v>Income Before Extraordinary</v>
          </cell>
          <cell r="K52" t="str">
            <v>Income Before Extraordinary</v>
          </cell>
          <cell r="V52" t="str">
            <v xml:space="preserve">   Item per Share - Diluted</v>
          </cell>
          <cell r="AH52">
            <v>1.9348427575879839</v>
          </cell>
        </row>
        <row r="53">
          <cell r="A53" t="str">
            <v xml:space="preserve">   Item per Share - Diluted</v>
          </cell>
          <cell r="D53" t="e">
            <v>#DIV/0!</v>
          </cell>
          <cell r="K53" t="str">
            <v xml:space="preserve">   Item per Share - Diluted</v>
          </cell>
          <cell r="N53">
            <v>1.5729615702100339</v>
          </cell>
        </row>
        <row r="54">
          <cell r="V54" t="str">
            <v>Average Basic Shares Outstanding</v>
          </cell>
          <cell r="AH54">
            <v>319</v>
          </cell>
        </row>
        <row r="55">
          <cell r="A55" t="str">
            <v>Average Basic Shares Outstanding</v>
          </cell>
          <cell r="K55" t="str">
            <v>Average Basic Shares Outstanding</v>
          </cell>
          <cell r="N55">
            <v>217.3</v>
          </cell>
          <cell r="T55">
            <v>191.3</v>
          </cell>
        </row>
        <row r="56">
          <cell r="V56" t="str">
            <v>Average Diluted Shares Outstanding</v>
          </cell>
          <cell r="AH56">
            <v>321</v>
          </cell>
        </row>
        <row r="57">
          <cell r="A57" t="str">
            <v>Average Diluted Shares Outstanding</v>
          </cell>
          <cell r="K57" t="str">
            <v>Average Diluted Shares Outstanding</v>
          </cell>
          <cell r="N57">
            <v>218.06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36599.437053703703</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row>
        <row r="252">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row>
        <row r="253">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row>
        <row r="254">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row>
        <row r="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row>
        <row r="279">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ow r="8">
          <cell r="B8">
            <v>0</v>
          </cell>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FI use"/>
      <sheetName val="FERC Stmts"/>
      <sheetName val="UCM Share Repurchase"/>
      <sheetName val="Goodwill"/>
      <sheetName val="available fossil proceeds"/>
      <sheetName val="Div Declared"/>
      <sheetName val="Sheet1"/>
      <sheetName val="SETUP - Review"/>
      <sheetName val="Table of Contents"/>
      <sheetName val="1-IncStmt-MTH"/>
      <sheetName val="1a-IncStmt-MTD Adj"/>
      <sheetName val="2-IncStmt-QTR"/>
      <sheetName val="2b-IncStmt-QTD Adj"/>
      <sheetName val="3-IncStmt-YTD"/>
      <sheetName val="3a-IncStmt-YTD Adj"/>
      <sheetName val="4-Capital Structure"/>
      <sheetName val="5-Balance Sheet"/>
      <sheetName val="5b - Detail of BS Close Entries"/>
      <sheetName val="6-5% Test"/>
      <sheetName val="6a-5% Test Detail"/>
      <sheetName val="7 - Cash Flows Consolidated"/>
      <sheetName val="7a - Cash Flow Summary"/>
      <sheetName val="7b - Cash Flows - ComEd"/>
      <sheetName val="7c - Cash Flows - PECO"/>
      <sheetName val="7d - Cash Flows - Genco"/>
      <sheetName val="7e - Cash Flows - Enterprises"/>
      <sheetName val="7f - Corp BSC"/>
      <sheetName val="8 - PPE"/>
      <sheetName val="9 - Investments"/>
      <sheetName val="10-LTD"/>
      <sheetName val="11-GW Amort and Other Assets"/>
      <sheetName val="12-Equity Rollforward"/>
      <sheetName val="12a- OCI Qtr"/>
      <sheetName val="12b - OCI ytd"/>
      <sheetName val="13 - Footnote disclosures "/>
      <sheetName val="14-Schedule II - Valuations"/>
      <sheetName val="15-Statistics -QTR"/>
      <sheetName val="16-Statistics - YTD"/>
      <sheetName val="17-Add'l Info"/>
      <sheetName val="21-Revised 12.04 BS"/>
      <sheetName val="22 - Revised PY BS"/>
      <sheetName val="23-QTD 2005 DO Summary"/>
      <sheetName val="23a-QTD 2005 DO Detail"/>
      <sheetName val="24-YTD 2005 DO Summary"/>
      <sheetName val="24a-YTD 2005 DO Detail"/>
      <sheetName val="25-QTD 2004 DO Summary"/>
      <sheetName val="25a-QTD 2004 DO Detail"/>
      <sheetName val="26-YTD 2004 DO Summary"/>
      <sheetName val="26a-YTD 2004 DO Detail"/>
      <sheetName val="PETT 1999 A-2 3-1-03"/>
      <sheetName val="PETT 2000 C-1 3-1-10"/>
      <sheetName val="PETT 1999 A-3 3-1-04 Libor"/>
      <sheetName val="PETT 1999 A-4 3-1-05"/>
      <sheetName val="PETT 1999 A-5 9-1-07 Libor"/>
      <sheetName val="PETT 1999 A-6 3-1-07"/>
      <sheetName val="PETT 1999 A-7  9-1-08"/>
      <sheetName val="PETT 2000 B-2 9-1-02"/>
      <sheetName val="PETT 2000 B-3 3-1-09"/>
      <sheetName val="PETT 2000 B-4 9-1-09"/>
      <sheetName val="Wolf Hollow"/>
      <sheetName val="Major Maintenance_without Hud 2"/>
    </sheetNames>
    <sheetDataSet>
      <sheetData sheetId="0" refreshError="1">
        <row r="1">
          <cell r="I1" t="str">
            <v>Inc/(dec)</v>
          </cell>
          <cell r="J1" t="str">
            <v>Inc/(dec)</v>
          </cell>
          <cell r="L1" t="str">
            <v>Premium/</v>
          </cell>
        </row>
        <row r="2">
          <cell r="C2" t="str">
            <v>Shares</v>
          </cell>
          <cell r="D2" t="str">
            <v>Principal</v>
          </cell>
          <cell r="I2" t="str">
            <v>in Interest</v>
          </cell>
          <cell r="J2" t="str">
            <v>in Div's</v>
          </cell>
          <cell r="L2" t="str">
            <v>Fees</v>
          </cell>
          <cell r="N2" t="str">
            <v>Cash</v>
          </cell>
          <cell r="O2" t="str">
            <v>Interest</v>
          </cell>
        </row>
        <row r="3">
          <cell r="B3" t="str">
            <v>Issue</v>
          </cell>
          <cell r="C3" t="str">
            <v>in millions</v>
          </cell>
          <cell r="D3" t="str">
            <v>in millions</v>
          </cell>
          <cell r="I3" t="str">
            <v>in millions</v>
          </cell>
          <cell r="J3" t="str">
            <v>in millions</v>
          </cell>
          <cell r="L3" t="str">
            <v>in millions</v>
          </cell>
          <cell r="N3" t="str">
            <v>Balance</v>
          </cell>
          <cell r="O3" t="str">
            <v>Income</v>
          </cell>
        </row>
        <row r="4">
          <cell r="B4" t="str">
            <v>Initial Proceeds</v>
          </cell>
          <cell r="D4">
            <v>3400</v>
          </cell>
          <cell r="F4">
            <v>5.5800000000000002E-2</v>
          </cell>
          <cell r="I4">
            <v>189.72</v>
          </cell>
          <cell r="L4">
            <v>-40</v>
          </cell>
          <cell r="N4">
            <v>3360</v>
          </cell>
        </row>
        <row r="5">
          <cell r="I5">
            <v>0</v>
          </cell>
        </row>
        <row r="6">
          <cell r="B6" t="str">
            <v>CP</v>
          </cell>
          <cell r="D6">
            <v>-272</v>
          </cell>
          <cell r="F6">
            <v>5.1999999999999998E-2</v>
          </cell>
          <cell r="I6">
            <v>-14.144</v>
          </cell>
          <cell r="K6" t="str">
            <v>$43 was originally used in the 8-K</v>
          </cell>
          <cell r="N6">
            <v>3088</v>
          </cell>
        </row>
        <row r="7">
          <cell r="A7" t="str">
            <v>6M shares</v>
          </cell>
          <cell r="B7" t="str">
            <v>Common(1)</v>
          </cell>
          <cell r="D7">
            <v>-230</v>
          </cell>
          <cell r="I7">
            <v>0</v>
          </cell>
          <cell r="K7" t="str">
            <v xml:space="preserve">the amount calc's to $66.5.  What </v>
          </cell>
          <cell r="N7">
            <v>2858</v>
          </cell>
        </row>
        <row r="8">
          <cell r="B8" t="str">
            <v>CP</v>
          </cell>
          <cell r="D8">
            <v>-106.4</v>
          </cell>
          <cell r="F8">
            <v>5.6500000000000002E-2</v>
          </cell>
          <cell r="I8">
            <v>-6.0116000000000005</v>
          </cell>
          <cell r="K8" t="str">
            <v>is the difference?</v>
          </cell>
          <cell r="N8">
            <v>2751.6</v>
          </cell>
        </row>
        <row r="9">
          <cell r="B9" t="str">
            <v>CP</v>
          </cell>
          <cell r="D9">
            <v>-47.3</v>
          </cell>
          <cell r="F9">
            <v>6.2199999999999998E-2</v>
          </cell>
          <cell r="I9">
            <v>-2.9420599999999997</v>
          </cell>
          <cell r="N9">
            <v>2704.2999999999997</v>
          </cell>
        </row>
        <row r="10">
          <cell r="B10" t="str">
            <v>Pref</v>
          </cell>
          <cell r="C10">
            <v>11.519894000000001</v>
          </cell>
          <cell r="D10">
            <v>-534.20000000000005</v>
          </cell>
          <cell r="G10">
            <v>5.78</v>
          </cell>
          <cell r="I10">
            <v>0</v>
          </cell>
          <cell r="J10">
            <v>-43</v>
          </cell>
          <cell r="L10">
            <v>-5.9</v>
          </cell>
          <cell r="N10">
            <v>2164.1999999999994</v>
          </cell>
        </row>
        <row r="11">
          <cell r="B11" t="str">
            <v>LTD</v>
          </cell>
          <cell r="D11">
            <v>-730</v>
          </cell>
          <cell r="F11">
            <v>8.2199999999999995E-2</v>
          </cell>
          <cell r="I11">
            <v>-60.005999999999993</v>
          </cell>
          <cell r="L11">
            <v>-18.5</v>
          </cell>
          <cell r="N11">
            <v>1415.6999999999994</v>
          </cell>
        </row>
        <row r="12">
          <cell r="B12" t="str">
            <v>LTD</v>
          </cell>
          <cell r="D12">
            <v>-30.3</v>
          </cell>
          <cell r="F12">
            <v>9.3799999999999994E-2</v>
          </cell>
          <cell r="I12">
            <v>-2.8421400000000001</v>
          </cell>
          <cell r="L12">
            <v>-1.4</v>
          </cell>
          <cell r="N12">
            <v>1383.9999999999993</v>
          </cell>
        </row>
        <row r="13">
          <cell r="A13">
            <v>36187</v>
          </cell>
          <cell r="B13" t="str">
            <v>Common</v>
          </cell>
          <cell r="D13">
            <v>-6.8</v>
          </cell>
          <cell r="I13">
            <v>0</v>
          </cell>
          <cell r="N13">
            <v>1377.1999999999994</v>
          </cell>
        </row>
        <row r="14">
          <cell r="A14" t="str">
            <v>Forward</v>
          </cell>
          <cell r="B14" t="str">
            <v>Common</v>
          </cell>
          <cell r="D14">
            <v>-495</v>
          </cell>
          <cell r="I14">
            <v>0</v>
          </cell>
          <cell r="N14">
            <v>882.19999999999936</v>
          </cell>
        </row>
        <row r="15">
          <cell r="B15" t="str">
            <v>LTD</v>
          </cell>
          <cell r="D15">
            <v>-198.9</v>
          </cell>
          <cell r="F15">
            <v>9.6500000000000002E-2</v>
          </cell>
          <cell r="I15">
            <v>-19.193850000000001</v>
          </cell>
          <cell r="L15">
            <v>-15</v>
          </cell>
          <cell r="N15">
            <v>668.29999999999939</v>
          </cell>
        </row>
        <row r="16">
          <cell r="B16" t="str">
            <v>CP</v>
          </cell>
          <cell r="D16">
            <v>-65</v>
          </cell>
          <cell r="F16">
            <v>6.2E-2</v>
          </cell>
          <cell r="I16">
            <v>-4.03</v>
          </cell>
          <cell r="N16">
            <v>603.29999999999939</v>
          </cell>
        </row>
        <row r="17">
          <cell r="B17" t="str">
            <v>LTD</v>
          </cell>
          <cell r="D17">
            <v>-58</v>
          </cell>
          <cell r="F17">
            <v>7.6300000000000007E-2</v>
          </cell>
          <cell r="I17">
            <v>-4.4254000000000007</v>
          </cell>
          <cell r="L17">
            <v>-0.06</v>
          </cell>
          <cell r="N17">
            <v>545.23999999999944</v>
          </cell>
        </row>
        <row r="18">
          <cell r="B18" t="str">
            <v>CP</v>
          </cell>
          <cell r="D18">
            <v>-9.3000000000000007</v>
          </cell>
          <cell r="F18">
            <v>6.13E-2</v>
          </cell>
          <cell r="I18">
            <v>-0.5700900000000001</v>
          </cell>
          <cell r="N18">
            <v>535.93999999999949</v>
          </cell>
        </row>
        <row r="19">
          <cell r="A19" t="str">
            <v>March</v>
          </cell>
          <cell r="B19" t="str">
            <v>Common</v>
          </cell>
          <cell r="D19">
            <v>-186.90000000000003</v>
          </cell>
          <cell r="I19">
            <v>0</v>
          </cell>
          <cell r="N19">
            <v>349.03999999999945</v>
          </cell>
        </row>
        <row r="20">
          <cell r="B20" t="str">
            <v>LTD</v>
          </cell>
          <cell r="D20">
            <v>-0.1</v>
          </cell>
          <cell r="F20">
            <v>9.4100000000000003E-2</v>
          </cell>
          <cell r="I20">
            <v>-9.4100000000000017E-3</v>
          </cell>
          <cell r="L20">
            <v>-4.0999999999999996</v>
          </cell>
          <cell r="N20">
            <v>344.83999999999941</v>
          </cell>
        </row>
        <row r="21">
          <cell r="B21" t="str">
            <v>Pref</v>
          </cell>
          <cell r="C21">
            <v>3</v>
          </cell>
          <cell r="D21">
            <v>-75</v>
          </cell>
          <cell r="G21">
            <v>2.4300000000000002</v>
          </cell>
          <cell r="I21">
            <v>0</v>
          </cell>
          <cell r="J21">
            <v>-7.2900000000000009</v>
          </cell>
          <cell r="L21">
            <v>-2.2999999999999998</v>
          </cell>
          <cell r="N21">
            <v>267.5399999999994</v>
          </cell>
        </row>
        <row r="22">
          <cell r="N22">
            <v>267.5399999999994</v>
          </cell>
        </row>
        <row r="23">
          <cell r="B23" t="str">
            <v>Seaway Loan</v>
          </cell>
          <cell r="D23">
            <v>-3.6</v>
          </cell>
          <cell r="F23">
            <v>-0.08</v>
          </cell>
          <cell r="I23">
            <v>0.28800000000000003</v>
          </cell>
          <cell r="N23">
            <v>263.93999999999937</v>
          </cell>
        </row>
        <row r="24">
          <cell r="B24" t="str">
            <v>MTN</v>
          </cell>
          <cell r="D24">
            <v>-140</v>
          </cell>
          <cell r="F24">
            <v>9.0423214285714273E-2</v>
          </cell>
          <cell r="I24">
            <v>-12.659249999999998</v>
          </cell>
          <cell r="L24">
            <v>0</v>
          </cell>
          <cell r="N24">
            <v>123.93999999999937</v>
          </cell>
        </row>
        <row r="25">
          <cell r="O25">
            <v>4.4999999999999998E-2</v>
          </cell>
        </row>
        <row r="26">
          <cell r="B26" t="str">
            <v>Balance</v>
          </cell>
          <cell r="D26">
            <v>211.19999999999953</v>
          </cell>
          <cell r="I26">
            <v>63.174200000000013</v>
          </cell>
          <cell r="J26">
            <v>-50.29</v>
          </cell>
          <cell r="L26">
            <v>-87.26</v>
          </cell>
          <cell r="O26">
            <v>5.5772999999999717</v>
          </cell>
        </row>
        <row r="28">
          <cell r="B28" t="str">
            <v>Fees</v>
          </cell>
          <cell r="D28">
            <v>-87.26</v>
          </cell>
        </row>
        <row r="29">
          <cell r="D29">
            <v>123.93999999999953</v>
          </cell>
        </row>
        <row r="31">
          <cell r="B31" t="str">
            <v>Addback items which</v>
          </cell>
        </row>
        <row r="32">
          <cell r="B32" t="str">
            <v xml:space="preserve">have not happen through </v>
          </cell>
        </row>
        <row r="33">
          <cell r="B33" t="str">
            <v>September 30, 1999</v>
          </cell>
        </row>
        <row r="34">
          <cell r="B34" t="str">
            <v>Common(1)</v>
          </cell>
          <cell r="D34">
            <v>230</v>
          </cell>
        </row>
        <row r="35">
          <cell r="B35" t="str">
            <v>MTN</v>
          </cell>
          <cell r="D35">
            <v>140</v>
          </cell>
        </row>
        <row r="36">
          <cell r="D36">
            <v>493.93999999999954</v>
          </cell>
          <cell r="E36" t="str">
            <v>Ana, I believe this should be the $496M we discussed on the phone.</v>
          </cell>
        </row>
        <row r="37">
          <cell r="E37" t="str">
            <v>Do you know what the difference is?</v>
          </cell>
        </row>
        <row r="39">
          <cell r="A39" t="str">
            <v>"(1)  represents estimate of additional shares to be repurchases due to merger other than the $750M.</v>
          </cell>
        </row>
        <row r="43">
          <cell r="A43" t="str">
            <v>PER INFORMATION ABOVE</v>
          </cell>
        </row>
        <row r="44">
          <cell r="A44" t="str">
            <v>Income Statement Impact</v>
          </cell>
          <cell r="D44" t="str">
            <v>Int Exp/Inc</v>
          </cell>
          <cell r="F44" t="str">
            <v>Fees</v>
          </cell>
          <cell r="H44" t="str">
            <v>Total</v>
          </cell>
        </row>
        <row r="45">
          <cell r="A45" t="str">
            <v>Fees and Premiums</v>
          </cell>
          <cell r="F45">
            <v>39.06</v>
          </cell>
          <cell r="H45">
            <v>39.06</v>
          </cell>
        </row>
        <row r="46">
          <cell r="A46" t="str">
            <v>Increased Interest Expense</v>
          </cell>
          <cell r="D46">
            <v>63.174200000000013</v>
          </cell>
          <cell r="H46">
            <v>63.174200000000013</v>
          </cell>
        </row>
        <row r="47">
          <cell r="A47" t="str">
            <v>Increase Interest Income</v>
          </cell>
          <cell r="D47">
            <v>5.5772999999999717</v>
          </cell>
          <cell r="H47">
            <v>5.5772999999999717</v>
          </cell>
        </row>
        <row r="48">
          <cell r="A48" t="str">
            <v>Change to Taxable Income</v>
          </cell>
          <cell r="D48">
            <v>-57.596900000000041</v>
          </cell>
          <cell r="F48">
            <v>-39.06</v>
          </cell>
          <cell r="H48">
            <v>-96.656900000000036</v>
          </cell>
        </row>
        <row r="49">
          <cell r="A49" t="str">
            <v>Change to income taxes(fed)</v>
          </cell>
          <cell r="D49">
            <v>18.742031260000015</v>
          </cell>
          <cell r="E49">
            <v>0.32540000000000002</v>
          </cell>
          <cell r="F49">
            <v>12.710124000000002</v>
          </cell>
          <cell r="H49">
            <v>31.452155260000019</v>
          </cell>
        </row>
        <row r="50">
          <cell r="A50" t="str">
            <v>Change to income taxes(State)</v>
          </cell>
          <cell r="D50">
            <v>4.0433023800000027</v>
          </cell>
          <cell r="E50">
            <v>7.0199999999999999E-2</v>
          </cell>
          <cell r="F50">
            <v>2.7420119999999999</v>
          </cell>
          <cell r="H50">
            <v>6.7853143800000026</v>
          </cell>
        </row>
        <row r="51">
          <cell r="A51" t="str">
            <v>Incr/(decr) to income</v>
          </cell>
          <cell r="D51">
            <v>-34.811566360000029</v>
          </cell>
          <cell r="F51">
            <v>-23.607864000000003</v>
          </cell>
          <cell r="H51">
            <v>-58.419430360000035</v>
          </cell>
        </row>
        <row r="52">
          <cell r="A52" t="str">
            <v>Decrease Pref Div</v>
          </cell>
          <cell r="D52">
            <v>50.29</v>
          </cell>
          <cell r="F52">
            <v>-8.1999999999999993</v>
          </cell>
          <cell r="H52">
            <v>42.09</v>
          </cell>
        </row>
        <row r="53">
          <cell r="A53" t="str">
            <v xml:space="preserve">Incr/(decr) to inc to common </v>
          </cell>
          <cell r="D53">
            <v>15.47843363999997</v>
          </cell>
          <cell r="H53">
            <v>-16.329430360000032</v>
          </cell>
        </row>
        <row r="55">
          <cell r="A55" t="str">
            <v xml:space="preserve">USE FOR PRESENTATION PURPOSES </v>
          </cell>
        </row>
        <row r="56">
          <cell r="A56" t="str">
            <v>Income Statement Impact</v>
          </cell>
          <cell r="D56" t="str">
            <v>Int Exp/Inc</v>
          </cell>
          <cell r="F56" t="str">
            <v>Fees</v>
          </cell>
          <cell r="H56" t="str">
            <v>Total</v>
          </cell>
        </row>
        <row r="57">
          <cell r="A57" t="str">
            <v>Fees and Premiums</v>
          </cell>
          <cell r="F57">
            <v>45.6</v>
          </cell>
          <cell r="G57" t="str">
            <v>(1)</v>
          </cell>
          <cell r="H57">
            <v>45.6</v>
          </cell>
          <cell r="J57" t="str">
            <v>(1)  use per trial balance extraordinary item, for FERc reporting use account 426</v>
          </cell>
        </row>
        <row r="58">
          <cell r="A58" t="str">
            <v>Increased Interest Expense</v>
          </cell>
          <cell r="D58">
            <v>63.174200000000013</v>
          </cell>
          <cell r="H58">
            <v>63.174200000000013</v>
          </cell>
        </row>
        <row r="59">
          <cell r="A59" t="str">
            <v>Increase Interest Income</v>
          </cell>
          <cell r="D59">
            <v>5.5772999999999717</v>
          </cell>
          <cell r="H59">
            <v>5.5772999999999717</v>
          </cell>
          <cell r="J59" t="str">
            <v>Note: the format for FERC Form 1 reporting does not include provision</v>
          </cell>
        </row>
        <row r="60">
          <cell r="A60" t="str">
            <v>Change to Taxable Income</v>
          </cell>
          <cell r="D60">
            <v>-57.596900000000041</v>
          </cell>
          <cell r="F60">
            <v>-45.6</v>
          </cell>
          <cell r="H60">
            <v>-103.19690000000004</v>
          </cell>
          <cell r="J60" t="str">
            <v>for pref dividends.  Any item affecting the provision is not reflected</v>
          </cell>
        </row>
        <row r="61">
          <cell r="A61" t="str">
            <v>Change to income taxes(fed)</v>
          </cell>
          <cell r="D61">
            <v>18.742031260000015</v>
          </cell>
          <cell r="E61">
            <v>0.32540000000000002</v>
          </cell>
          <cell r="F61">
            <v>14.838240000000001</v>
          </cell>
          <cell r="H61">
            <v>33.580271260000018</v>
          </cell>
          <cell r="J61" t="str">
            <v>in the incomestatement for this filing.</v>
          </cell>
        </row>
        <row r="62">
          <cell r="A62" t="str">
            <v>Change to income taxes(State)</v>
          </cell>
          <cell r="D62">
            <v>4.0433023800000027</v>
          </cell>
          <cell r="E62">
            <v>7.0199999999999999E-2</v>
          </cell>
          <cell r="F62">
            <v>3.20112</v>
          </cell>
          <cell r="H62">
            <v>7.2444223800000032</v>
          </cell>
        </row>
        <row r="63">
          <cell r="A63" t="str">
            <v>Incr/(decr) to income</v>
          </cell>
          <cell r="D63">
            <v>-34.811566360000029</v>
          </cell>
          <cell r="F63">
            <v>-27.560640000000003</v>
          </cell>
          <cell r="H63">
            <v>-62.372206360000035</v>
          </cell>
        </row>
        <row r="64">
          <cell r="A64" t="str">
            <v>Decrease Pref Div</v>
          </cell>
          <cell r="D64">
            <v>50.29</v>
          </cell>
          <cell r="F64">
            <v>-12.3</v>
          </cell>
          <cell r="G64" t="str">
            <v>(2)</v>
          </cell>
          <cell r="H64">
            <v>37.989999999999995</v>
          </cell>
          <cell r="J64" t="str">
            <v>(2)  per Trial balance account 216051</v>
          </cell>
        </row>
        <row r="65">
          <cell r="A65" t="str">
            <v xml:space="preserve">Incr/(decr) to inc to common </v>
          </cell>
          <cell r="D65">
            <v>15.47843363999997</v>
          </cell>
          <cell r="H65">
            <v>-24.38220636000004</v>
          </cell>
        </row>
        <row r="68">
          <cell r="D68" t="str">
            <v>Total from above</v>
          </cell>
          <cell r="H68" t="str">
            <v>Actually Used in 1998</v>
          </cell>
          <cell r="L68" t="str">
            <v>Proceeds used after 1998</v>
          </cell>
          <cell r="O68" t="str">
            <v>Use these #'s for presentation purposes</v>
          </cell>
        </row>
        <row r="69">
          <cell r="C69" t="str">
            <v>Principal</v>
          </cell>
          <cell r="D69" t="str">
            <v>Fees</v>
          </cell>
          <cell r="E69" t="str">
            <v>Total</v>
          </cell>
          <cell r="G69" t="str">
            <v>Principal</v>
          </cell>
          <cell r="H69" t="str">
            <v>Fees</v>
          </cell>
          <cell r="I69" t="str">
            <v>Total</v>
          </cell>
          <cell r="K69" t="str">
            <v>Principal</v>
          </cell>
          <cell r="L69" t="str">
            <v>Fees</v>
          </cell>
          <cell r="M69" t="str">
            <v>Total</v>
          </cell>
          <cell r="O69" t="str">
            <v>Principal</v>
          </cell>
          <cell r="Q69" t="str">
            <v>Fees</v>
          </cell>
          <cell r="R69" t="str">
            <v>Total</v>
          </cell>
        </row>
        <row r="70">
          <cell r="A70" t="str">
            <v>CP</v>
          </cell>
          <cell r="C70">
            <v>-500</v>
          </cell>
          <cell r="D70">
            <v>0</v>
          </cell>
          <cell r="E70">
            <v>-500</v>
          </cell>
          <cell r="G70">
            <v>-332</v>
          </cell>
          <cell r="I70">
            <v>-332</v>
          </cell>
          <cell r="K70">
            <v>-168</v>
          </cell>
          <cell r="L70">
            <v>0</v>
          </cell>
          <cell r="M70">
            <v>-168</v>
          </cell>
          <cell r="O70">
            <v>-168</v>
          </cell>
          <cell r="Q70">
            <v>0</v>
          </cell>
          <cell r="R70">
            <v>-168</v>
          </cell>
        </row>
        <row r="71">
          <cell r="A71" t="str">
            <v>Common</v>
          </cell>
          <cell r="C71">
            <v>-918.7</v>
          </cell>
          <cell r="D71">
            <v>0</v>
          </cell>
          <cell r="E71">
            <v>-918.7</v>
          </cell>
          <cell r="G71">
            <v>0</v>
          </cell>
          <cell r="H71">
            <v>0</v>
          </cell>
          <cell r="I71">
            <v>0</v>
          </cell>
          <cell r="K71">
            <v>-918.7</v>
          </cell>
          <cell r="L71">
            <v>0</v>
          </cell>
          <cell r="M71">
            <v>-918.7</v>
          </cell>
          <cell r="O71">
            <v>-1020.973024</v>
          </cell>
          <cell r="P71" t="str">
            <v xml:space="preserve">(3)  </v>
          </cell>
          <cell r="Q71">
            <v>0</v>
          </cell>
          <cell r="R71">
            <v>-1021</v>
          </cell>
        </row>
        <row r="72">
          <cell r="A72" t="str">
            <v>LTD</v>
          </cell>
          <cell r="C72">
            <v>-1160.9000000000001</v>
          </cell>
          <cell r="D72">
            <v>-39.06</v>
          </cell>
          <cell r="E72">
            <v>-1199.96</v>
          </cell>
          <cell r="G72">
            <v>0</v>
          </cell>
          <cell r="I72">
            <v>0</v>
          </cell>
          <cell r="K72">
            <v>-1160.9000000000001</v>
          </cell>
          <cell r="L72">
            <v>-39.06</v>
          </cell>
          <cell r="M72">
            <v>-1199.96</v>
          </cell>
          <cell r="O72">
            <v>-1160.9000000000001</v>
          </cell>
          <cell r="Q72">
            <v>-45.6</v>
          </cell>
          <cell r="R72">
            <v>-1206.5</v>
          </cell>
        </row>
        <row r="73">
          <cell r="A73" t="str">
            <v>Pref</v>
          </cell>
          <cell r="C73">
            <v>-609.20000000000005</v>
          </cell>
          <cell r="D73">
            <v>-8.1999999999999993</v>
          </cell>
          <cell r="E73">
            <v>-617.40000000000009</v>
          </cell>
          <cell r="G73">
            <v>0</v>
          </cell>
          <cell r="H73">
            <v>0</v>
          </cell>
          <cell r="I73">
            <v>0</v>
          </cell>
          <cell r="K73">
            <v>-609.20000000000005</v>
          </cell>
          <cell r="L73">
            <v>-8.1999999999999993</v>
          </cell>
          <cell r="M73">
            <v>-617.40000000000009</v>
          </cell>
          <cell r="O73">
            <v>-609.20000000000005</v>
          </cell>
          <cell r="Q73">
            <v>12.3</v>
          </cell>
          <cell r="R73">
            <v>-596.9</v>
          </cell>
        </row>
        <row r="74">
          <cell r="C74">
            <v>-3188.8</v>
          </cell>
          <cell r="D74">
            <v>-47.260000000000005</v>
          </cell>
          <cell r="E74">
            <v>-3236.06</v>
          </cell>
          <cell r="G74">
            <v>-332</v>
          </cell>
          <cell r="H74">
            <v>0</v>
          </cell>
          <cell r="I74">
            <v>-332</v>
          </cell>
          <cell r="K74">
            <v>-2856.8</v>
          </cell>
          <cell r="L74">
            <v>-47.260000000000005</v>
          </cell>
          <cell r="M74">
            <v>-2904.06</v>
          </cell>
          <cell r="O74">
            <v>-2959.0730240000003</v>
          </cell>
          <cell r="Q74">
            <v>-33.299999999999997</v>
          </cell>
          <cell r="R74">
            <v>-2992.4</v>
          </cell>
        </row>
        <row r="75">
          <cell r="A75" t="str">
            <v>Other uses</v>
          </cell>
        </row>
        <row r="76">
          <cell r="A76" t="str">
            <v>Initail Fees</v>
          </cell>
          <cell r="E76">
            <v>-40</v>
          </cell>
          <cell r="I76">
            <v>-40</v>
          </cell>
          <cell r="M76">
            <v>0</v>
          </cell>
          <cell r="O76">
            <v>0</v>
          </cell>
          <cell r="R76">
            <v>0</v>
          </cell>
        </row>
        <row r="77">
          <cell r="E77">
            <v>-3276.06</v>
          </cell>
          <cell r="I77">
            <v>-372</v>
          </cell>
          <cell r="M77">
            <v>-2904.06</v>
          </cell>
          <cell r="O77">
            <v>-2959.0730240000003</v>
          </cell>
          <cell r="R77">
            <v>-2992.4</v>
          </cell>
        </row>
        <row r="78">
          <cell r="A78" t="str">
            <v>Initail Proceeds</v>
          </cell>
          <cell r="E78">
            <v>3400</v>
          </cell>
        </row>
        <row r="79">
          <cell r="A79" t="str">
            <v>Remaining proceeds</v>
          </cell>
          <cell r="E79">
            <v>123.94000000000005</v>
          </cell>
        </row>
        <row r="81">
          <cell r="O81" t="str">
            <v>(3)    See UCM Share Repurchase tab.    This is</v>
          </cell>
        </row>
        <row r="82">
          <cell r="A82" t="str">
            <v>F:\STAFF\jdm\KMH\Merge\FERC Filing\[FERC stmts2.XLS]TFI use</v>
          </cell>
          <cell r="O82" t="str">
            <v xml:space="preserve">         the same amount that was use in the 8-K </v>
          </cell>
        </row>
        <row r="83">
          <cell r="O83" t="str">
            <v xml:space="preserve">          filing for the merger.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Final Summary Sheet"/>
      <sheetName val="2012 data (2013 projection)"/>
    </sheetNames>
    <sheetDataSet>
      <sheetData sheetId="0" refreshError="1"/>
      <sheetData sheetId="1">
        <row r="132">
          <cell r="AB132">
            <v>0</v>
          </cell>
          <cell r="AC132">
            <v>0</v>
          </cell>
          <cell r="AD132">
            <v>0</v>
          </cell>
          <cell r="AE132">
            <v>0</v>
          </cell>
          <cell r="AF132">
            <v>0</v>
          </cell>
          <cell r="AG132">
            <v>0</v>
          </cell>
          <cell r="AH132">
            <v>0</v>
          </cell>
          <cell r="AI132">
            <v>0</v>
          </cell>
          <cell r="AJ132">
            <v>0</v>
          </cell>
          <cell r="AK132">
            <v>0</v>
          </cell>
          <cell r="AL132">
            <v>0</v>
          </cell>
          <cell r="AM132">
            <v>0</v>
          </cell>
        </row>
        <row r="133">
          <cell r="AB133">
            <v>-20999.920000000002</v>
          </cell>
          <cell r="AC133">
            <v>66350.159999999989</v>
          </cell>
          <cell r="AD133">
            <v>827519.35000000009</v>
          </cell>
          <cell r="AE133">
            <v>10000</v>
          </cell>
          <cell r="AF133">
            <v>10000</v>
          </cell>
          <cell r="AG133">
            <v>10000</v>
          </cell>
          <cell r="AH133">
            <v>30000</v>
          </cell>
          <cell r="AI133">
            <v>10000</v>
          </cell>
          <cell r="AJ133">
            <v>10000</v>
          </cell>
          <cell r="AK133">
            <v>10000</v>
          </cell>
          <cell r="AL133">
            <v>10000</v>
          </cell>
          <cell r="AM133">
            <v>10000</v>
          </cell>
        </row>
        <row r="134">
          <cell r="AB134">
            <v>-390.07000000000016</v>
          </cell>
          <cell r="AC134">
            <v>0</v>
          </cell>
          <cell r="AD134">
            <v>0</v>
          </cell>
          <cell r="AE134">
            <v>0</v>
          </cell>
          <cell r="AF134">
            <v>345596138.16000003</v>
          </cell>
          <cell r="AG134">
            <v>11111733</v>
          </cell>
          <cell r="AH134">
            <v>2150747</v>
          </cell>
          <cell r="AI134">
            <v>1463558</v>
          </cell>
          <cell r="AJ134">
            <v>1149487</v>
          </cell>
          <cell r="AK134">
            <v>921751</v>
          </cell>
          <cell r="AL134">
            <v>473400</v>
          </cell>
          <cell r="AM134">
            <v>105336</v>
          </cell>
        </row>
        <row r="135">
          <cell r="AB135">
            <v>0</v>
          </cell>
          <cell r="AC135">
            <v>0</v>
          </cell>
          <cell r="AD135">
            <v>0</v>
          </cell>
          <cell r="AE135">
            <v>0</v>
          </cell>
          <cell r="AF135">
            <v>0</v>
          </cell>
          <cell r="AG135">
            <v>0</v>
          </cell>
          <cell r="AH135">
            <v>0</v>
          </cell>
          <cell r="AI135">
            <v>0</v>
          </cell>
          <cell r="AJ135">
            <v>0</v>
          </cell>
          <cell r="AK135">
            <v>0</v>
          </cell>
          <cell r="AL135">
            <v>0</v>
          </cell>
          <cell r="AM135">
            <v>0</v>
          </cell>
        </row>
        <row r="136">
          <cell r="AB136">
            <v>0</v>
          </cell>
          <cell r="AC136">
            <v>0</v>
          </cell>
          <cell r="AD136">
            <v>0</v>
          </cell>
          <cell r="AE136">
            <v>0</v>
          </cell>
          <cell r="AF136">
            <v>0</v>
          </cell>
          <cell r="AG136">
            <v>0</v>
          </cell>
          <cell r="AH136">
            <v>0</v>
          </cell>
          <cell r="AI136">
            <v>0</v>
          </cell>
          <cell r="AJ136">
            <v>0</v>
          </cell>
          <cell r="AK136">
            <v>0</v>
          </cell>
          <cell r="AL136">
            <v>0</v>
          </cell>
          <cell r="AM136">
            <v>0</v>
          </cell>
        </row>
        <row r="137">
          <cell r="AB137">
            <v>-37897.029999998893</v>
          </cell>
          <cell r="AC137">
            <v>119152.57000000028</v>
          </cell>
          <cell r="AD137">
            <v>1511930.7099999997</v>
          </cell>
          <cell r="AE137">
            <v>0</v>
          </cell>
          <cell r="AF137">
            <v>5349832.6900000004</v>
          </cell>
          <cell r="AG137">
            <v>145213</v>
          </cell>
          <cell r="AH137">
            <v>0</v>
          </cell>
          <cell r="AI137">
            <v>0</v>
          </cell>
          <cell r="AJ137">
            <v>0</v>
          </cell>
          <cell r="AK137">
            <v>0</v>
          </cell>
          <cell r="AL137">
            <v>0</v>
          </cell>
          <cell r="AM137">
            <v>0</v>
          </cell>
        </row>
        <row r="138">
          <cell r="AB138">
            <v>0</v>
          </cell>
          <cell r="AC138">
            <v>0</v>
          </cell>
          <cell r="AD138">
            <v>0</v>
          </cell>
          <cell r="AE138">
            <v>0</v>
          </cell>
          <cell r="AF138">
            <v>2000000</v>
          </cell>
          <cell r="AG138">
            <v>0</v>
          </cell>
          <cell r="AH138">
            <v>0</v>
          </cell>
          <cell r="AI138">
            <v>0</v>
          </cell>
          <cell r="AJ138">
            <v>0</v>
          </cell>
          <cell r="AK138">
            <v>0</v>
          </cell>
          <cell r="AL138">
            <v>0</v>
          </cell>
          <cell r="AM138">
            <v>0</v>
          </cell>
        </row>
        <row r="139">
          <cell r="AB139">
            <v>0</v>
          </cell>
          <cell r="AC139">
            <v>0</v>
          </cell>
          <cell r="AD139">
            <v>190296.69</v>
          </cell>
          <cell r="AE139">
            <v>-190296.69</v>
          </cell>
          <cell r="AF139">
            <v>0</v>
          </cell>
          <cell r="AG139">
            <v>0</v>
          </cell>
          <cell r="AH139">
            <v>0</v>
          </cell>
          <cell r="AI139">
            <v>0</v>
          </cell>
          <cell r="AJ139">
            <v>0</v>
          </cell>
          <cell r="AK139">
            <v>0</v>
          </cell>
          <cell r="AL139">
            <v>0</v>
          </cell>
          <cell r="AM139">
            <v>0</v>
          </cell>
        </row>
        <row r="140">
          <cell r="AB140">
            <v>3992288.5300000007</v>
          </cell>
          <cell r="AC140">
            <v>7625573.330000001</v>
          </cell>
          <cell r="AD140">
            <v>5693982.3799999999</v>
          </cell>
          <cell r="AE140">
            <v>10184079.280000003</v>
          </cell>
          <cell r="AF140">
            <v>16641004.163303988</v>
          </cell>
          <cell r="AG140">
            <v>37416529.201457046</v>
          </cell>
          <cell r="AH140">
            <v>7905111.2525474746</v>
          </cell>
          <cell r="AI140">
            <v>8893021.5248183459</v>
          </cell>
          <cell r="AJ140">
            <v>13926173.173849482</v>
          </cell>
          <cell r="AK140">
            <v>22098349.088597469</v>
          </cell>
          <cell r="AL140">
            <v>14469713.982168067</v>
          </cell>
          <cell r="AM140">
            <v>9599588.802168062</v>
          </cell>
        </row>
        <row r="141">
          <cell r="AB141">
            <v>3933001.5100000016</v>
          </cell>
          <cell r="AC141">
            <v>7811076.0600000015</v>
          </cell>
          <cell r="AD141">
            <v>8223729.129999999</v>
          </cell>
          <cell r="AE141">
            <v>10003782.590000004</v>
          </cell>
          <cell r="AF141">
            <v>369596975.013304</v>
          </cell>
          <cell r="AG141">
            <v>48683475.201457046</v>
          </cell>
          <cell r="AH141">
            <v>10085858.252547475</v>
          </cell>
          <cell r="AI141">
            <v>10366579.524818346</v>
          </cell>
          <cell r="AJ141">
            <v>15085660.173849482</v>
          </cell>
          <cell r="AK141">
            <v>23030100.088597469</v>
          </cell>
          <cell r="AL141">
            <v>14953113.982168067</v>
          </cell>
          <cell r="AM141">
            <v>9714924.802168062</v>
          </cell>
        </row>
      </sheetData>
      <sheetData sheetId="2">
        <row r="5">
          <cell r="C5">
            <v>3933001.5100000016</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xml:space="preserve"> GIANT FOOD #</v>
          </cell>
          <cell r="Q6" t="str">
            <v>100    SI8</v>
          </cell>
          <cell r="R6" t="str">
            <v xml:space="preserve">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 xml:space="preserve"> GIANT FOOD #</v>
          </cell>
          <cell r="Q7" t="str">
            <v>120    SI8</v>
          </cell>
          <cell r="R7" t="str">
            <v xml:space="preserve">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xml:space="preserve"> GIANT FOOD #</v>
          </cell>
          <cell r="Q8" t="str">
            <v>120    SI8</v>
          </cell>
          <cell r="R8" t="str">
            <v xml:space="preserve">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xml:space="preserve"> GIANT FOOD #</v>
          </cell>
          <cell r="Q9" t="str">
            <v>120    SI8</v>
          </cell>
          <cell r="R9" t="str">
            <v xml:space="preserve">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xml:space="preserve"> L'KOSTE VILL</v>
          </cell>
          <cell r="Q10" t="str">
            <v>A</v>
          </cell>
          <cell r="R10" t="str">
            <v xml:space="preserve">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xml:space="preserve"> PALUMBO PIZZ</v>
          </cell>
          <cell r="Q11" t="str">
            <v>A &amp; RES</v>
          </cell>
          <cell r="R11" t="str">
            <v xml:space="preserve">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xml:space="preserve"> KEARES RESTA</v>
          </cell>
          <cell r="Q12" t="str">
            <v>URANT GROU</v>
          </cell>
          <cell r="R12" t="str">
            <v xml:space="preserve">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xml:space="preserve"> TAVERN ON TH</v>
          </cell>
          <cell r="Q13" t="str">
            <v>E HILL</v>
          </cell>
          <cell r="R13" t="str">
            <v xml:space="preserve">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xml:space="preserve"> HOSS'S STEAK</v>
          </cell>
          <cell r="Q14" t="str">
            <v xml:space="preserve"> &amp; SEA H</v>
          </cell>
          <cell r="R14" t="str">
            <v xml:space="preserve">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xml:space="preserve"> DOE &amp; JERRY</v>
          </cell>
          <cell r="Q15" t="str">
            <v>S BARBECUE</v>
          </cell>
          <cell r="R15" t="str">
            <v xml:space="preserve">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xml:space="preserve"> L'KOSTE VILL</v>
          </cell>
          <cell r="Q16" t="str">
            <v>A</v>
          </cell>
          <cell r="R16" t="str">
            <v xml:space="preserve">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xml:space="preserve"> L'KOSTE VILL</v>
          </cell>
          <cell r="Q17" t="str">
            <v>A</v>
          </cell>
          <cell r="R17" t="str">
            <v xml:space="preserve">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xml:space="preserve"> PIZZA HUT 73</v>
          </cell>
          <cell r="Q18" t="str">
            <v>9104</v>
          </cell>
          <cell r="R18" t="str">
            <v xml:space="preserve">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xml:space="preserve"> L'KOSTE VILL</v>
          </cell>
          <cell r="Q19" t="str">
            <v>A</v>
          </cell>
          <cell r="R19" t="str">
            <v xml:space="preserve">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xml:space="preserve"> PIZZA HUT 73</v>
          </cell>
          <cell r="Q20" t="str">
            <v>9104</v>
          </cell>
          <cell r="R20" t="str">
            <v xml:space="preserve">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xml:space="preserve"> HARDING S</v>
          </cell>
          <cell r="R21" t="str">
            <v xml:space="preserve">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xml:space="preserve"> HARDING S</v>
          </cell>
          <cell r="R22" t="str">
            <v xml:space="preserve">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xml:space="preserve"> L'KOSTE VILL</v>
          </cell>
          <cell r="Q23" t="str">
            <v>A</v>
          </cell>
          <cell r="R23" t="str">
            <v xml:space="preserve">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xml:space="preserve"> L'KOSTE VILL</v>
          </cell>
          <cell r="Q24" t="str">
            <v>A</v>
          </cell>
          <cell r="R24" t="str">
            <v xml:space="preserve">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xml:space="preserve"> L'KOSTE VILL</v>
          </cell>
          <cell r="Q25" t="str">
            <v>A</v>
          </cell>
          <cell r="R25" t="str">
            <v xml:space="preserve">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xml:space="preserve"> L'KOSTE VILL</v>
          </cell>
          <cell r="Q26" t="str">
            <v>A</v>
          </cell>
          <cell r="R26" t="str">
            <v xml:space="preserve">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xml:space="preserve"> HARDING S</v>
          </cell>
          <cell r="R27" t="str">
            <v xml:space="preserve">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xml:space="preserve"> HARDING S</v>
          </cell>
          <cell r="R28" t="str">
            <v xml:space="preserve">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xml:space="preserve"> HARDING S</v>
          </cell>
          <cell r="R29" t="str">
            <v xml:space="preserve">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xml:space="preserve"> CHEF WONG</v>
          </cell>
          <cell r="R30" t="str">
            <v xml:space="preserve">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xml:space="preserve"> L'KOSTE VILL</v>
          </cell>
          <cell r="Q31" t="str">
            <v>A</v>
          </cell>
          <cell r="R31" t="str">
            <v xml:space="preserve">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xml:space="preserve"> L'KOSTE VILL</v>
          </cell>
          <cell r="Q32" t="str">
            <v>A</v>
          </cell>
          <cell r="R32" t="str">
            <v xml:space="preserve">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xml:space="preserve"> HARDING S</v>
          </cell>
          <cell r="R33" t="str">
            <v xml:space="preserve">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xml:space="preserve"> L'KOSTE VILL</v>
          </cell>
          <cell r="Q34" t="str">
            <v>A</v>
          </cell>
          <cell r="R34" t="str">
            <v xml:space="preserve">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xml:space="preserve"> HARDING S</v>
          </cell>
          <cell r="R35" t="str">
            <v xml:space="preserve">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xml:space="preserve"> DOE &amp; JERRY</v>
          </cell>
          <cell r="Q36" t="str">
            <v>S BARBECUE</v>
          </cell>
          <cell r="R36" t="str">
            <v xml:space="preserve">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xml:space="preserve"> DOE &amp; JERRY</v>
          </cell>
          <cell r="Q37" t="str">
            <v>S BARBECUE</v>
          </cell>
          <cell r="R37" t="str">
            <v xml:space="preserve">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xml:space="preserve"> HARDING S</v>
          </cell>
          <cell r="R38" t="str">
            <v xml:space="preserve">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 xml:space="preserve"> HARDING S</v>
          </cell>
          <cell r="R39" t="str">
            <v xml:space="preserve">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xml:space="preserve"> DOE &amp; JERRY</v>
          </cell>
          <cell r="Q40" t="str">
            <v>S BARBECUE</v>
          </cell>
          <cell r="R40" t="str">
            <v xml:space="preserve">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 xml:space="preserve"> RUBINICS CAT</v>
          </cell>
          <cell r="Q41" t="str">
            <v>ERING SERV</v>
          </cell>
          <cell r="R41" t="str">
            <v xml:space="preserve">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xml:space="preserve"> HARDING S</v>
          </cell>
          <cell r="R42" t="str">
            <v xml:space="preserve">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xml:space="preserve"> DOE &amp; JERRY</v>
          </cell>
          <cell r="Q43" t="str">
            <v>S BARBECUE</v>
          </cell>
          <cell r="R43" t="str">
            <v xml:space="preserve">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xml:space="preserve"> DOE &amp; JERRY</v>
          </cell>
          <cell r="Q44" t="str">
            <v>S BARBECUE</v>
          </cell>
          <cell r="R44" t="str">
            <v xml:space="preserve">    200102090014</v>
          </cell>
          <cell r="S44" t="str">
            <v>20010209000AC0</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data"/>
      <sheetName val="PECO Capital Pivot DO NOT TOUCH"/>
      <sheetName val="PECO O&amp;M Pivot - DO NOT Touch"/>
      <sheetName val="Sheet1"/>
      <sheetName val="2014 IS Actual"/>
      <sheetName val="ChileanGaap"/>
      <sheetName val="Gastos"/>
      <sheetName val="Inversiones en Activo"/>
      <sheetName val="Inversiones en Empresas"/>
      <sheetName val="Otros_Prestamos"/>
      <sheetName val="Gastos_Personal"/>
      <sheetName val="Ingresos_Servicios"/>
      <sheetName val="USGaap_$"/>
      <sheetName val="USGaap_US$"/>
      <sheetName val="Venta"/>
      <sheetName val="Instructions"/>
      <sheetName val="Data Flow"/>
      <sheetName val="PECO Weather Normalization"/>
      <sheetName val="Annual"/>
      <sheetName val="Graph"/>
      <sheetName val="DROPDOWN Lists"/>
      <sheetName val="Input - Dropdown Lists"/>
      <sheetName val="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acts for Info"/>
      <sheetName val="Allocations"/>
      <sheetName val="Questions"/>
      <sheetName val="Changes &amp; Notes"/>
      <sheetName val="EPRI-REG-ADVT"/>
      <sheetName val="Data Entry and Forecaster"/>
      <sheetName val="IOU Cost of Service"/>
      <sheetName val="MISO notes"/>
    </sheetNames>
    <sheetDataSet>
      <sheetData sheetId="0"/>
      <sheetData sheetId="1"/>
      <sheetData sheetId="2"/>
      <sheetData sheetId="3"/>
      <sheetData sheetId="4"/>
      <sheetData sheetId="5"/>
      <sheetData sheetId="6"/>
      <sheetData sheetId="7"/>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2"/>
  <dimension ref="A1:R311"/>
  <sheetViews>
    <sheetView tabSelected="1" view="pageBreakPreview" zoomScale="75" zoomScaleNormal="75" zoomScaleSheetLayoutView="75" workbookViewId="0">
      <selection activeCell="F7" sqref="F7"/>
    </sheetView>
  </sheetViews>
  <sheetFormatPr defaultColWidth="8.81640625" defaultRowHeight="15.6"/>
  <cols>
    <col min="1" max="1" width="5.7265625" style="420" bestFit="1" customWidth="1"/>
    <col min="2" max="2" width="38.7265625" style="420" customWidth="1"/>
    <col min="3" max="3" width="44.26953125" style="420" customWidth="1"/>
    <col min="4" max="4" width="18.453125" style="420" customWidth="1"/>
    <col min="5" max="5" width="10.26953125" style="420" customWidth="1"/>
    <col min="6" max="6" width="11.54296875" style="420" customWidth="1"/>
    <col min="7" max="7" width="13" style="420" bestFit="1" customWidth="1"/>
    <col min="8" max="8" width="4.08984375" style="420" customWidth="1"/>
    <col min="9" max="9" width="18.26953125" style="420" customWidth="1"/>
    <col min="10" max="10" width="15.7265625" style="420" customWidth="1"/>
    <col min="11" max="11" width="17.08984375" style="420" customWidth="1"/>
    <col min="12" max="12" width="15.54296875" style="526" customWidth="1"/>
    <col min="13" max="13" width="10.7265625" style="420" customWidth="1"/>
    <col min="14" max="14" width="10.453125" style="420" customWidth="1"/>
    <col min="15" max="15" width="10.54296875" style="420" customWidth="1"/>
    <col min="16" max="16384" width="8.81640625" style="420"/>
  </cols>
  <sheetData>
    <row r="1" spans="1:14" ht="16.5" customHeight="1">
      <c r="A1" s="1"/>
      <c r="B1" s="421"/>
      <c r="C1" s="421"/>
      <c r="D1" s="422"/>
      <c r="E1" s="421"/>
      <c r="F1" s="421"/>
      <c r="G1" s="421"/>
      <c r="H1" s="421"/>
      <c r="I1" s="421"/>
      <c r="K1" s="423" t="s">
        <v>448</v>
      </c>
      <c r="L1" s="421"/>
      <c r="M1" s="421"/>
      <c r="N1" s="421"/>
    </row>
    <row r="2" spans="1:14" ht="16.5" customHeight="1">
      <c r="B2" s="421"/>
      <c r="C2" s="421"/>
      <c r="D2" s="422"/>
      <c r="E2" s="421"/>
      <c r="F2" s="421"/>
      <c r="G2" s="421"/>
      <c r="H2" s="421"/>
      <c r="I2" s="421"/>
      <c r="J2" s="421"/>
      <c r="K2" s="423" t="s">
        <v>0</v>
      </c>
      <c r="L2" s="421"/>
      <c r="M2" s="421"/>
      <c r="N2" s="421"/>
    </row>
    <row r="3" spans="1:14" ht="16.5" customHeight="1">
      <c r="B3" s="421"/>
      <c r="C3" s="421"/>
      <c r="D3" s="422"/>
      <c r="E3" s="421"/>
      <c r="F3" s="421"/>
      <c r="G3" s="421"/>
      <c r="H3" s="421"/>
      <c r="I3" s="421"/>
      <c r="J3" s="421"/>
      <c r="K3" s="421"/>
      <c r="L3" s="421"/>
      <c r="M3" s="421"/>
      <c r="N3" s="421"/>
    </row>
    <row r="4" spans="1:14">
      <c r="B4" s="421" t="s">
        <v>1</v>
      </c>
      <c r="C4" s="421"/>
      <c r="D4" s="422" t="s">
        <v>2</v>
      </c>
      <c r="E4" s="421"/>
      <c r="F4" s="421"/>
      <c r="G4" s="421"/>
      <c r="H4" s="424"/>
      <c r="I4" s="425"/>
      <c r="J4" s="424"/>
      <c r="K4" s="32" t="s">
        <v>1158</v>
      </c>
      <c r="L4" s="421"/>
      <c r="M4" s="421"/>
      <c r="N4" s="421"/>
    </row>
    <row r="5" spans="1:14">
      <c r="B5" s="421"/>
      <c r="C5" s="426"/>
      <c r="D5" s="426" t="s">
        <v>4</v>
      </c>
      <c r="E5" s="426"/>
      <c r="F5" s="426"/>
      <c r="G5" s="426"/>
      <c r="H5" s="421"/>
      <c r="I5" s="421"/>
      <c r="J5" s="421"/>
      <c r="K5" s="421"/>
      <c r="L5" s="421"/>
      <c r="M5" s="421"/>
      <c r="N5" s="421"/>
    </row>
    <row r="6" spans="1:14">
      <c r="B6" s="421"/>
      <c r="C6" s="421"/>
      <c r="D6" s="421"/>
      <c r="E6" s="421"/>
      <c r="F6" s="421"/>
      <c r="G6" s="421"/>
      <c r="H6" s="421"/>
      <c r="I6" s="421"/>
      <c r="J6" s="421"/>
      <c r="K6" s="421"/>
      <c r="L6" s="421"/>
      <c r="M6" s="421"/>
      <c r="N6" s="421"/>
    </row>
    <row r="7" spans="1:14">
      <c r="A7" s="427"/>
      <c r="B7" s="421"/>
      <c r="C7" s="421"/>
      <c r="D7" s="428" t="s">
        <v>264</v>
      </c>
      <c r="E7" s="421"/>
      <c r="F7" s="421"/>
      <c r="G7" s="421"/>
      <c r="H7" s="421"/>
      <c r="I7" s="421"/>
      <c r="J7" s="421"/>
      <c r="K7" s="421"/>
      <c r="L7" s="421"/>
      <c r="M7" s="421"/>
      <c r="N7" s="421"/>
    </row>
    <row r="8" spans="1:14">
      <c r="A8" s="427"/>
      <c r="B8" s="427" t="s">
        <v>16</v>
      </c>
      <c r="C8" s="427" t="s">
        <v>17</v>
      </c>
      <c r="D8" s="427" t="s">
        <v>18</v>
      </c>
      <c r="E8" s="426" t="s">
        <v>3</v>
      </c>
      <c r="F8" s="426"/>
      <c r="G8" s="429" t="s">
        <v>19</v>
      </c>
      <c r="H8" s="426"/>
      <c r="I8" s="430" t="s">
        <v>20</v>
      </c>
      <c r="J8" s="421"/>
      <c r="K8" s="421"/>
      <c r="L8" s="421"/>
      <c r="M8" s="421"/>
      <c r="N8" s="421"/>
    </row>
    <row r="9" spans="1:14">
      <c r="A9" s="427" t="s">
        <v>5</v>
      </c>
      <c r="B9" s="421"/>
      <c r="C9" s="421"/>
      <c r="D9" s="428"/>
      <c r="E9" s="421"/>
      <c r="F9" s="421"/>
      <c r="G9" s="421"/>
      <c r="H9" s="421"/>
      <c r="I9" s="427" t="s">
        <v>6</v>
      </c>
      <c r="J9" s="421"/>
      <c r="K9" s="421"/>
      <c r="L9" s="421"/>
      <c r="M9" s="421"/>
      <c r="N9" s="421"/>
    </row>
    <row r="10" spans="1:14" ht="16.2" thickBot="1">
      <c r="A10" s="431" t="s">
        <v>7</v>
      </c>
      <c r="B10" s="421"/>
      <c r="C10" s="421"/>
      <c r="D10" s="421"/>
      <c r="E10" s="421"/>
      <c r="F10" s="421"/>
      <c r="G10" s="427"/>
      <c r="H10" s="421"/>
      <c r="I10" s="431" t="s">
        <v>8</v>
      </c>
      <c r="J10" s="421"/>
      <c r="K10" s="423"/>
      <c r="L10" s="421"/>
      <c r="M10" s="421"/>
      <c r="N10" s="421"/>
    </row>
    <row r="11" spans="1:14">
      <c r="A11" s="427">
        <v>1</v>
      </c>
      <c r="B11" s="2" t="s">
        <v>888</v>
      </c>
      <c r="C11" s="421"/>
      <c r="D11" s="426"/>
      <c r="E11" s="421"/>
      <c r="F11" s="421"/>
      <c r="G11" s="421"/>
      <c r="H11" s="421"/>
      <c r="I11" s="432">
        <f ca="1">I145</f>
        <v>206932288.06928265</v>
      </c>
      <c r="J11" s="847"/>
      <c r="K11" s="432"/>
      <c r="L11" s="421"/>
      <c r="M11" s="421"/>
      <c r="N11" s="421"/>
    </row>
    <row r="12" spans="1:14">
      <c r="A12" s="427"/>
      <c r="B12" s="421"/>
      <c r="C12" s="421"/>
      <c r="D12" s="421"/>
      <c r="E12" s="421"/>
      <c r="F12" s="421"/>
      <c r="G12" s="434"/>
      <c r="H12" s="421"/>
      <c r="I12" s="426"/>
      <c r="J12" s="433"/>
      <c r="K12" s="432"/>
      <c r="L12" s="421"/>
      <c r="M12" s="421"/>
      <c r="N12" s="421"/>
    </row>
    <row r="13" spans="1:14" ht="16.2" thickBot="1">
      <c r="A13" s="427" t="s">
        <v>3</v>
      </c>
      <c r="B13" s="421" t="s">
        <v>67</v>
      </c>
      <c r="C13" s="564" t="s">
        <v>954</v>
      </c>
      <c r="D13" s="431" t="s">
        <v>9</v>
      </c>
      <c r="E13" s="426"/>
      <c r="F13" s="436" t="s">
        <v>10</v>
      </c>
      <c r="G13" s="436"/>
      <c r="H13" s="421"/>
      <c r="I13" s="426"/>
      <c r="J13" s="433"/>
      <c r="K13" s="432"/>
      <c r="L13" s="421"/>
      <c r="M13" s="421"/>
      <c r="N13" s="421"/>
    </row>
    <row r="14" spans="1:14">
      <c r="A14" s="427">
        <f>MAX($A$11:A13)+1</f>
        <v>2</v>
      </c>
      <c r="B14" s="564" t="s">
        <v>713</v>
      </c>
      <c r="C14" s="564" t="str">
        <f>"Attachment 18, Line "&amp;'Attachment 18 - Rev Creds'!A37&amp;", Col. "&amp;'Attachment 18 - Rev Creds'!I5</f>
        <v>Attachment 18, Line 9, Col. (E)</v>
      </c>
      <c r="D14" s="439">
        <f ca="1">'Attachment 18 - Rev Creds'!I37</f>
        <v>2406338.04</v>
      </c>
      <c r="E14" s="426"/>
      <c r="F14" s="564" t="s">
        <v>250</v>
      </c>
      <c r="G14" s="437">
        <v>1</v>
      </c>
      <c r="H14" s="426"/>
      <c r="I14" s="438">
        <f ca="1">+G14*D14</f>
        <v>2406338.04</v>
      </c>
      <c r="J14" s="433"/>
      <c r="K14" s="432"/>
      <c r="L14" s="426"/>
      <c r="N14" s="421"/>
    </row>
    <row r="15" spans="1:14" ht="17.399999999999999">
      <c r="A15" s="427">
        <f>MAX($A$11:A14)+1</f>
        <v>3</v>
      </c>
      <c r="B15" s="426" t="s">
        <v>381</v>
      </c>
      <c r="C15" s="426" t="s">
        <v>391</v>
      </c>
      <c r="D15" s="441">
        <f ca="1">'Attachment 11 - TEC'!N79</f>
        <v>24589982.644380283</v>
      </c>
      <c r="E15" s="426"/>
      <c r="F15" s="426" t="s">
        <v>250</v>
      </c>
      <c r="G15" s="437">
        <v>1</v>
      </c>
      <c r="H15" s="426"/>
      <c r="I15" s="442">
        <f ca="1">D15*G15</f>
        <v>24589982.644380283</v>
      </c>
      <c r="J15" s="438"/>
      <c r="K15" s="432"/>
      <c r="L15" s="426"/>
      <c r="N15" s="421"/>
    </row>
    <row r="16" spans="1:14">
      <c r="A16" s="427">
        <f>MAX($A$11:A15)+1</f>
        <v>4</v>
      </c>
      <c r="B16" s="2" t="s">
        <v>764</v>
      </c>
      <c r="C16" s="421"/>
      <c r="D16" s="443">
        <f ca="1">SUM(D14:D15)</f>
        <v>26996320.684380282</v>
      </c>
      <c r="E16" s="426"/>
      <c r="F16" s="426"/>
      <c r="G16" s="437"/>
      <c r="H16" s="426"/>
      <c r="I16" s="444">
        <f ca="1">SUM(I14:I15)</f>
        <v>26996320.684380282</v>
      </c>
      <c r="J16" s="438"/>
      <c r="K16" s="432"/>
      <c r="L16" s="421"/>
      <c r="N16" s="421"/>
    </row>
    <row r="17" spans="1:14">
      <c r="A17" s="427"/>
      <c r="B17" s="421"/>
      <c r="C17" s="421"/>
      <c r="D17" s="443"/>
      <c r="E17" s="426"/>
      <c r="F17" s="426"/>
      <c r="G17" s="437"/>
      <c r="H17" s="426"/>
      <c r="I17" s="444"/>
      <c r="J17" s="421"/>
      <c r="K17" s="432"/>
      <c r="L17" s="421"/>
      <c r="N17" s="421"/>
    </row>
    <row r="18" spans="1:14">
      <c r="A18" s="427">
        <f>MAX($A$11:A17)+1</f>
        <v>5</v>
      </c>
      <c r="B18" s="445" t="s">
        <v>371</v>
      </c>
      <c r="C18" s="2" t="s">
        <v>1023</v>
      </c>
      <c r="D18" s="446"/>
      <c r="E18" s="426"/>
      <c r="F18" s="426"/>
      <c r="G18" s="437"/>
      <c r="H18" s="426"/>
      <c r="I18" s="447">
        <v>0</v>
      </c>
      <c r="J18" s="848"/>
      <c r="K18" s="432"/>
      <c r="L18" s="421"/>
      <c r="N18" s="421"/>
    </row>
    <row r="19" spans="1:14">
      <c r="A19" s="427"/>
      <c r="B19" s="421"/>
      <c r="C19" s="421"/>
      <c r="D19" s="446"/>
      <c r="E19" s="426"/>
      <c r="F19" s="426"/>
      <c r="G19" s="437"/>
      <c r="H19" s="426"/>
      <c r="I19" s="438"/>
      <c r="J19" s="2"/>
      <c r="K19" s="968"/>
      <c r="L19" s="421"/>
      <c r="N19" s="421"/>
    </row>
    <row r="20" spans="1:14">
      <c r="A20" s="427">
        <f>MAX($A$11:A19)+1</f>
        <v>6</v>
      </c>
      <c r="B20" s="421" t="s">
        <v>370</v>
      </c>
      <c r="C20" s="2" t="s">
        <v>765</v>
      </c>
      <c r="D20" s="448"/>
      <c r="E20" s="426"/>
      <c r="F20" s="426"/>
      <c r="G20" s="426"/>
      <c r="H20" s="426"/>
      <c r="I20" s="449">
        <f ca="1">I11-I16+I18</f>
        <v>179935967.38490236</v>
      </c>
      <c r="J20" s="438"/>
      <c r="K20" s="438"/>
      <c r="L20" s="421"/>
      <c r="N20" s="421"/>
    </row>
    <row r="21" spans="1:14">
      <c r="A21" s="427"/>
      <c r="B21" s="421"/>
      <c r="C21" s="421"/>
      <c r="D21" s="448"/>
      <c r="E21" s="426"/>
      <c r="F21" s="426"/>
      <c r="G21" s="426"/>
      <c r="H21" s="426"/>
      <c r="I21" s="449"/>
      <c r="J21" s="433"/>
      <c r="K21" s="435"/>
      <c r="L21" s="421"/>
      <c r="N21" s="421"/>
    </row>
    <row r="22" spans="1:14">
      <c r="A22" s="427"/>
      <c r="B22" s="421"/>
      <c r="C22" s="421"/>
      <c r="D22" s="448"/>
      <c r="E22" s="426"/>
      <c r="F22" s="426"/>
      <c r="G22" s="426"/>
      <c r="H22" s="426"/>
      <c r="I22" s="449"/>
      <c r="J22" s="465"/>
      <c r="K22" s="435"/>
      <c r="L22" s="421"/>
      <c r="N22" s="421"/>
    </row>
    <row r="23" spans="1:14">
      <c r="A23" s="427"/>
      <c r="C23" s="426"/>
      <c r="I23" s="426"/>
      <c r="J23" s="421"/>
      <c r="K23" s="435"/>
      <c r="L23" s="421"/>
      <c r="N23" s="421"/>
    </row>
    <row r="24" spans="1:14" ht="16.2" thickBot="1">
      <c r="A24" s="427">
        <f>MAX($A$11:A23)+1</f>
        <v>7</v>
      </c>
      <c r="B24" s="421" t="s">
        <v>12</v>
      </c>
      <c r="C24" s="421"/>
      <c r="D24" s="426"/>
      <c r="E24" s="421"/>
      <c r="F24" s="421"/>
      <c r="G24" s="421"/>
      <c r="H24" s="421"/>
      <c r="I24" s="450" t="s">
        <v>9</v>
      </c>
      <c r="J24" s="427"/>
      <c r="K24" s="435"/>
      <c r="L24" s="421"/>
      <c r="N24" s="421"/>
    </row>
    <row r="25" spans="1:14">
      <c r="A25" s="427">
        <f>MAX($A$11:A24)+1</f>
        <v>8</v>
      </c>
      <c r="B25" s="421" t="s">
        <v>151</v>
      </c>
      <c r="D25" s="426"/>
      <c r="E25" s="421"/>
      <c r="F25" s="421"/>
      <c r="G25" s="421" t="s">
        <v>13</v>
      </c>
      <c r="H25" s="421"/>
      <c r="I25" s="451">
        <v>6169.1</v>
      </c>
      <c r="J25" s="969"/>
      <c r="K25" s="435"/>
      <c r="L25" s="420"/>
      <c r="N25" s="421"/>
    </row>
    <row r="26" spans="1:14">
      <c r="A26" s="427">
        <f>MAX($A$11:A25)+1</f>
        <v>9</v>
      </c>
      <c r="B26" s="421" t="s">
        <v>488</v>
      </c>
      <c r="C26" s="426"/>
      <c r="D26" s="426"/>
      <c r="E26" s="426"/>
      <c r="F26" s="426"/>
      <c r="G26" s="2" t="s">
        <v>973</v>
      </c>
      <c r="H26" s="426"/>
      <c r="I26" s="451">
        <v>4151.3999999999996</v>
      </c>
      <c r="J26" s="970"/>
      <c r="K26" s="435"/>
      <c r="L26" s="420"/>
      <c r="M26" s="421"/>
      <c r="N26" s="421"/>
    </row>
    <row r="27" spans="1:14" ht="16.5" customHeight="1">
      <c r="A27" s="427"/>
      <c r="B27" s="421"/>
      <c r="C27" s="421"/>
      <c r="D27" s="421"/>
      <c r="E27" s="421"/>
      <c r="F27" s="421"/>
      <c r="G27" s="421"/>
      <c r="H27" s="421"/>
      <c r="I27" s="426"/>
      <c r="J27" s="421"/>
      <c r="K27" s="435"/>
      <c r="L27" s="421"/>
      <c r="M27" s="421"/>
      <c r="N27" s="421"/>
    </row>
    <row r="28" spans="1:14" ht="16.2" thickBot="1">
      <c r="A28" s="427"/>
      <c r="B28" s="421"/>
      <c r="C28" s="421"/>
      <c r="D28" s="431" t="s">
        <v>9</v>
      </c>
      <c r="F28" s="421"/>
      <c r="G28" s="421"/>
      <c r="H28" s="421"/>
      <c r="I28" s="426"/>
      <c r="J28" s="421"/>
      <c r="K28" s="421"/>
      <c r="L28" s="421"/>
      <c r="M28" s="421"/>
      <c r="N28" s="421"/>
    </row>
    <row r="29" spans="1:14">
      <c r="A29" s="427">
        <f>MAX($A$11:A28)+1</f>
        <v>10</v>
      </c>
      <c r="B29" s="421" t="s">
        <v>468</v>
      </c>
      <c r="C29" s="2" t="s">
        <v>836</v>
      </c>
      <c r="D29" s="452">
        <f ca="1">IF(I25&gt;0,(I20/I25),0)</f>
        <v>29167.296264431174</v>
      </c>
      <c r="F29" s="453"/>
      <c r="G29" s="421"/>
      <c r="H29" s="421"/>
      <c r="J29" s="848"/>
      <c r="K29" s="421"/>
      <c r="L29" s="420"/>
      <c r="M29" s="421"/>
      <c r="N29" s="421"/>
    </row>
    <row r="30" spans="1:14">
      <c r="A30" s="427"/>
      <c r="B30" s="421"/>
      <c r="C30" s="421"/>
      <c r="D30" s="454"/>
      <c r="F30" s="455"/>
      <c r="G30" s="421"/>
      <c r="H30" s="421"/>
      <c r="J30" s="421"/>
      <c r="K30" s="421"/>
      <c r="L30" s="421"/>
      <c r="M30" s="421"/>
    </row>
    <row r="31" spans="1:14">
      <c r="A31" s="427"/>
      <c r="B31" s="421"/>
      <c r="C31" s="421"/>
      <c r="D31" s="456" t="s">
        <v>494</v>
      </c>
      <c r="E31" s="455"/>
      <c r="F31" s="457"/>
      <c r="G31" s="458"/>
      <c r="H31" s="421"/>
      <c r="I31" s="459" t="s">
        <v>495</v>
      </c>
      <c r="J31" s="421"/>
      <c r="K31" s="421"/>
      <c r="L31" s="421"/>
      <c r="M31" s="421"/>
    </row>
    <row r="32" spans="1:14" ht="16.2" thickBot="1">
      <c r="A32" s="427"/>
      <c r="B32" s="421"/>
      <c r="C32" s="421"/>
      <c r="D32" s="460" t="s">
        <v>9</v>
      </c>
      <c r="E32" s="427"/>
      <c r="F32" s="427"/>
      <c r="G32" s="427"/>
      <c r="H32" s="427"/>
      <c r="I32" s="461" t="str">
        <f>D32</f>
        <v>Total</v>
      </c>
      <c r="K32" s="421"/>
      <c r="L32" s="421"/>
      <c r="M32" s="421"/>
    </row>
    <row r="33" spans="1:13">
      <c r="A33" s="427">
        <f>MAX($A$11:A32)+1</f>
        <v>11</v>
      </c>
      <c r="B33" s="421" t="s">
        <v>489</v>
      </c>
      <c r="C33" s="2" t="s">
        <v>837</v>
      </c>
      <c r="D33" s="462">
        <f ca="1">I20/I26</f>
        <v>43343.442545864615</v>
      </c>
      <c r="E33" s="463"/>
      <c r="F33" s="464"/>
      <c r="G33" s="465"/>
      <c r="H33" s="465"/>
      <c r="I33" s="462">
        <f ca="1">I20/I26</f>
        <v>43343.442545864615</v>
      </c>
      <c r="J33" s="848"/>
      <c r="K33" s="423"/>
      <c r="L33" s="421"/>
      <c r="M33" s="421"/>
    </row>
    <row r="34" spans="1:13">
      <c r="A34" s="427">
        <f>MAX($A$11:A33)+1</f>
        <v>12</v>
      </c>
      <c r="B34" s="421" t="s">
        <v>490</v>
      </c>
      <c r="C34" s="2" t="s">
        <v>838</v>
      </c>
      <c r="D34" s="465">
        <f ca="1">D33/12</f>
        <v>3611.9535454887177</v>
      </c>
      <c r="E34" s="463"/>
      <c r="F34" s="465"/>
      <c r="G34" s="465"/>
      <c r="H34" s="465"/>
      <c r="I34" s="465">
        <f ca="1">I33/12</f>
        <v>3611.9535454887177</v>
      </c>
      <c r="J34" s="848"/>
      <c r="K34" s="423"/>
      <c r="L34" s="421"/>
      <c r="M34" s="421"/>
    </row>
    <row r="35" spans="1:13">
      <c r="A35" s="427">
        <f>MAX($A$11:A34)+1</f>
        <v>13</v>
      </c>
      <c r="B35" s="421" t="s">
        <v>491</v>
      </c>
      <c r="C35" s="571" t="s">
        <v>839</v>
      </c>
      <c r="D35" s="465">
        <f ca="1">D33/52</f>
        <v>833.52774126662723</v>
      </c>
      <c r="E35" s="463"/>
      <c r="F35" s="466"/>
      <c r="G35" s="467"/>
      <c r="H35" s="465"/>
      <c r="I35" s="465">
        <f ca="1">I33/52</f>
        <v>833.52774126662723</v>
      </c>
      <c r="J35" s="848"/>
      <c r="K35" s="468"/>
      <c r="L35" s="421"/>
      <c r="M35" s="421"/>
    </row>
    <row r="36" spans="1:13">
      <c r="A36" s="427">
        <f>MAX($A$11:A35)+1</f>
        <v>14</v>
      </c>
      <c r="B36" s="421" t="s">
        <v>492</v>
      </c>
      <c r="C36" s="571" t="s">
        <v>840</v>
      </c>
      <c r="D36" s="465">
        <f ca="1">D35/5</f>
        <v>166.70554825332545</v>
      </c>
      <c r="E36" s="463"/>
      <c r="F36" s="466"/>
      <c r="G36" s="467"/>
      <c r="H36" s="465"/>
      <c r="I36" s="465">
        <f ca="1">I35/7</f>
        <v>119.07539160951818</v>
      </c>
      <c r="J36" s="848"/>
      <c r="K36" s="468"/>
      <c r="L36" s="421"/>
      <c r="M36" s="421"/>
    </row>
    <row r="37" spans="1:13">
      <c r="A37" s="427">
        <f>MAX($A$11:A36)+1</f>
        <v>15</v>
      </c>
      <c r="B37" s="421" t="s">
        <v>493</v>
      </c>
      <c r="C37" s="2" t="s">
        <v>841</v>
      </c>
      <c r="D37" s="465">
        <f ca="1">D33/4160</f>
        <v>10.41909676583284</v>
      </c>
      <c r="E37" s="463"/>
      <c r="F37" s="466"/>
      <c r="G37" s="467"/>
      <c r="H37" s="465"/>
      <c r="I37" s="452">
        <f ca="1">I33/8760</f>
        <v>4.947881569162627</v>
      </c>
      <c r="J37" s="848"/>
      <c r="K37" s="468"/>
      <c r="L37" s="421"/>
      <c r="M37" s="421"/>
    </row>
    <row r="38" spans="1:13">
      <c r="A38" s="427"/>
      <c r="B38" s="421"/>
      <c r="C38" s="421"/>
      <c r="D38" s="464"/>
      <c r="E38" s="463"/>
      <c r="F38" s="463"/>
      <c r="G38" s="469"/>
      <c r="H38" s="464"/>
      <c r="I38" s="470"/>
      <c r="J38" s="471"/>
      <c r="K38" s="421" t="s">
        <v>3</v>
      </c>
      <c r="L38" s="421"/>
      <c r="M38" s="421"/>
    </row>
    <row r="39" spans="1:13">
      <c r="A39" s="427"/>
      <c r="B39" s="421"/>
      <c r="C39" s="421"/>
      <c r="D39" s="465"/>
      <c r="E39" s="465"/>
      <c r="F39" s="467"/>
      <c r="G39" s="466"/>
      <c r="H39" s="465"/>
      <c r="I39" s="452"/>
      <c r="J39" s="421"/>
      <c r="K39" s="421" t="s">
        <v>3</v>
      </c>
      <c r="L39" s="421"/>
      <c r="M39" s="421"/>
    </row>
    <row r="40" spans="1:13">
      <c r="A40" s="1"/>
      <c r="B40" s="421"/>
      <c r="C40" s="421"/>
      <c r="D40" s="465"/>
      <c r="E40" s="465"/>
      <c r="F40" s="467"/>
      <c r="G40" s="466"/>
      <c r="H40" s="465"/>
      <c r="I40" s="452"/>
      <c r="J40" s="421"/>
      <c r="K40" s="16"/>
      <c r="L40" s="421"/>
      <c r="M40" s="421"/>
    </row>
    <row r="41" spans="1:13" ht="16.5" customHeight="1">
      <c r="B41" s="421"/>
      <c r="C41" s="421"/>
      <c r="D41" s="422"/>
      <c r="E41" s="421"/>
      <c r="F41" s="421"/>
      <c r="G41" s="421"/>
      <c r="H41" s="421"/>
      <c r="I41" s="421"/>
      <c r="K41" s="423" t="str">
        <f>K1</f>
        <v>Attachment  H-4A</v>
      </c>
      <c r="L41" s="421"/>
      <c r="M41" s="421"/>
    </row>
    <row r="42" spans="1:13" ht="16.5" customHeight="1">
      <c r="B42" s="421"/>
      <c r="C42" s="421"/>
      <c r="D42" s="422"/>
      <c r="E42" s="421"/>
      <c r="F42" s="421"/>
      <c r="G42" s="421"/>
      <c r="H42" s="421"/>
      <c r="I42" s="421"/>
      <c r="J42" s="421"/>
      <c r="K42" s="423" t="s">
        <v>15</v>
      </c>
      <c r="L42" s="421"/>
      <c r="M42" s="421"/>
    </row>
    <row r="43" spans="1:13" ht="16.5" customHeight="1">
      <c r="B43" s="421"/>
      <c r="C43" s="421"/>
      <c r="D43" s="422"/>
      <c r="E43" s="421"/>
      <c r="F43" s="421"/>
      <c r="G43" s="421"/>
      <c r="H43" s="421"/>
      <c r="I43" s="421"/>
      <c r="J43" s="421"/>
      <c r="K43" s="423"/>
      <c r="L43" s="421"/>
      <c r="M43" s="421"/>
    </row>
    <row r="44" spans="1:13">
      <c r="B44" s="421" t="s">
        <v>1</v>
      </c>
      <c r="C44" s="421"/>
      <c r="D44" s="422" t="s">
        <v>2</v>
      </c>
      <c r="E44" s="421"/>
      <c r="F44" s="421"/>
      <c r="G44" s="421"/>
      <c r="H44" s="421"/>
      <c r="J44" s="421"/>
      <c r="K44" s="423" t="str">
        <f>K4</f>
        <v>For the 12 months ended 12/31/2022</v>
      </c>
      <c r="L44" s="421"/>
      <c r="M44" s="421"/>
    </row>
    <row r="45" spans="1:13">
      <c r="B45" s="421"/>
      <c r="C45" s="426" t="s">
        <v>3</v>
      </c>
      <c r="D45" s="426" t="s">
        <v>4</v>
      </c>
      <c r="E45" s="426"/>
      <c r="F45" s="426"/>
      <c r="G45" s="426"/>
      <c r="H45" s="421"/>
      <c r="I45" s="421"/>
      <c r="J45" s="421"/>
      <c r="K45" s="421"/>
      <c r="L45" s="421"/>
      <c r="M45" s="421"/>
    </row>
    <row r="46" spans="1:13">
      <c r="B46" s="421"/>
      <c r="C46" s="426"/>
      <c r="D46" s="426"/>
      <c r="E46" s="426"/>
      <c r="F46" s="426"/>
      <c r="G46" s="426"/>
      <c r="H46" s="421"/>
      <c r="I46" s="421"/>
      <c r="J46" s="421"/>
      <c r="K46" s="421"/>
      <c r="L46" s="421"/>
      <c r="M46" s="421"/>
    </row>
    <row r="47" spans="1:13">
      <c r="B47" s="421"/>
      <c r="C47" s="421"/>
      <c r="D47" s="426" t="str">
        <f>D7</f>
        <v>Jersey Central Power &amp; Light</v>
      </c>
      <c r="E47" s="426"/>
      <c r="F47" s="426"/>
      <c r="G47" s="426"/>
      <c r="H47" s="426"/>
      <c r="I47" s="426"/>
      <c r="J47" s="426"/>
      <c r="K47" s="426"/>
      <c r="L47" s="426"/>
      <c r="M47" s="426"/>
    </row>
    <row r="48" spans="1:13">
      <c r="B48" s="427" t="s">
        <v>16</v>
      </c>
      <c r="C48" s="427" t="s">
        <v>17</v>
      </c>
      <c r="D48" s="427" t="s">
        <v>18</v>
      </c>
      <c r="E48" s="426" t="s">
        <v>3</v>
      </c>
      <c r="F48" s="426"/>
      <c r="G48" s="429" t="s">
        <v>19</v>
      </c>
      <c r="H48" s="426"/>
      <c r="I48" s="430" t="s">
        <v>20</v>
      </c>
      <c r="J48" s="426"/>
      <c r="K48" s="430"/>
      <c r="L48" s="427"/>
      <c r="M48" s="426"/>
    </row>
    <row r="49" spans="1:13">
      <c r="B49" s="421"/>
      <c r="C49" s="472"/>
      <c r="D49" s="426"/>
      <c r="E49" s="426"/>
      <c r="F49" s="426"/>
      <c r="G49" s="427"/>
      <c r="H49" s="426"/>
      <c r="I49" s="473" t="s">
        <v>22</v>
      </c>
      <c r="J49" s="426"/>
      <c r="K49" s="474"/>
      <c r="L49" s="427"/>
      <c r="M49" s="427"/>
    </row>
    <row r="50" spans="1:13">
      <c r="A50" s="427" t="s">
        <v>5</v>
      </c>
      <c r="B50" s="421"/>
      <c r="C50" s="472" t="s">
        <v>232</v>
      </c>
      <c r="D50" s="473" t="s">
        <v>23</v>
      </c>
      <c r="E50" s="475"/>
      <c r="F50" s="473" t="s">
        <v>24</v>
      </c>
      <c r="H50" s="475"/>
      <c r="I50" s="427" t="s">
        <v>25</v>
      </c>
      <c r="J50" s="426"/>
      <c r="K50" s="476"/>
      <c r="L50" s="427"/>
      <c r="M50" s="427"/>
    </row>
    <row r="51" spans="1:13" ht="16.2" thickBot="1">
      <c r="A51" s="431" t="s">
        <v>7</v>
      </c>
      <c r="B51" s="2" t="s">
        <v>26</v>
      </c>
      <c r="C51" s="426"/>
      <c r="D51" s="426"/>
      <c r="E51" s="426"/>
      <c r="F51" s="426"/>
      <c r="G51" s="426"/>
      <c r="H51" s="426"/>
      <c r="I51" s="426"/>
      <c r="J51" s="426"/>
      <c r="K51" s="426"/>
      <c r="L51" s="426"/>
      <c r="M51" s="426"/>
    </row>
    <row r="52" spans="1:13">
      <c r="A52" s="427"/>
      <c r="B52" s="421" t="s">
        <v>27</v>
      </c>
      <c r="C52" s="426"/>
      <c r="D52" s="426"/>
      <c r="E52" s="426"/>
      <c r="F52" s="426"/>
      <c r="G52" s="426"/>
      <c r="H52" s="426"/>
      <c r="I52" s="426"/>
      <c r="J52" s="426"/>
      <c r="L52" s="426"/>
      <c r="M52" s="426"/>
    </row>
    <row r="53" spans="1:13">
      <c r="A53" s="427">
        <v>1</v>
      </c>
      <c r="B53" s="421" t="s">
        <v>28</v>
      </c>
      <c r="C53" s="564" t="s">
        <v>956</v>
      </c>
      <c r="D53" s="439">
        <f>'Attachment 3 - Gross Plant'!E22</f>
        <v>0</v>
      </c>
      <c r="E53" s="426"/>
      <c r="F53" s="426" t="s">
        <v>29</v>
      </c>
      <c r="G53" s="478" t="s">
        <v>3</v>
      </c>
      <c r="H53" s="426"/>
      <c r="I53" s="426" t="s">
        <v>3</v>
      </c>
      <c r="J53" s="426"/>
      <c r="K53" s="469"/>
      <c r="L53" s="420"/>
      <c r="M53" s="426"/>
    </row>
    <row r="54" spans="1:13">
      <c r="A54" s="427">
        <f>MAX($A$53:A53)+1</f>
        <v>2</v>
      </c>
      <c r="B54" s="421" t="s">
        <v>30</v>
      </c>
      <c r="C54" s="564" t="s">
        <v>957</v>
      </c>
      <c r="D54" s="439">
        <f>'Attachment 3 - Gross Plant'!F22</f>
        <v>1837954138.8076925</v>
      </c>
      <c r="E54" s="426"/>
      <c r="F54" s="426" t="s">
        <v>11</v>
      </c>
      <c r="G54" s="478">
        <f>I175</f>
        <v>1</v>
      </c>
      <c r="H54" s="426"/>
      <c r="I54" s="479">
        <f>+G54*D54</f>
        <v>1837954138.8076925</v>
      </c>
      <c r="J54" s="426"/>
      <c r="K54" s="469"/>
      <c r="L54" s="420"/>
      <c r="M54" s="426"/>
    </row>
    <row r="55" spans="1:13">
      <c r="A55" s="427">
        <f>MAX($A$53:A54)+1</f>
        <v>3</v>
      </c>
      <c r="B55" s="421" t="s">
        <v>31</v>
      </c>
      <c r="C55" s="564" t="s">
        <v>958</v>
      </c>
      <c r="D55" s="439">
        <f>'Attachment 3 - Gross Plant'!G22</f>
        <v>5377640568.0061512</v>
      </c>
      <c r="E55" s="426"/>
      <c r="F55" s="426" t="s">
        <v>29</v>
      </c>
      <c r="G55" s="478" t="s">
        <v>3</v>
      </c>
      <c r="H55" s="426"/>
      <c r="I55" s="479" t="s">
        <v>3</v>
      </c>
      <c r="J55" s="426"/>
      <c r="K55" s="469"/>
      <c r="L55" s="420"/>
      <c r="M55" s="426"/>
    </row>
    <row r="56" spans="1:13" ht="16.2" thickBot="1">
      <c r="A56" s="427">
        <f>MAX($A$53:A55)+1</f>
        <v>4</v>
      </c>
      <c r="B56" s="421" t="s">
        <v>32</v>
      </c>
      <c r="C56" s="564" t="s">
        <v>959</v>
      </c>
      <c r="D56" s="480">
        <f>'Attachment 3 - Gross Plant'!H22+'Attachment 3 - Gross Plant'!I22</f>
        <v>421274504.04307711</v>
      </c>
      <c r="E56" s="426"/>
      <c r="F56" s="564" t="s">
        <v>33</v>
      </c>
      <c r="G56" s="567">
        <f>I192</f>
        <v>8.452849912295303E-2</v>
      </c>
      <c r="H56" s="426"/>
      <c r="I56" s="481">
        <f>+G56*D56</f>
        <v>35609701.545527719</v>
      </c>
      <c r="J56" s="426"/>
      <c r="K56" s="469"/>
      <c r="L56" s="420"/>
      <c r="M56" s="427"/>
    </row>
    <row r="57" spans="1:13">
      <c r="A57" s="427">
        <f>MAX($A$53:A56)+1</f>
        <v>5</v>
      </c>
      <c r="B57" s="2" t="s">
        <v>766</v>
      </c>
      <c r="C57" s="426"/>
      <c r="D57" s="479">
        <f>SUM(D53:D56)</f>
        <v>7636869210.8569212</v>
      </c>
      <c r="E57" s="426"/>
      <c r="F57" s="426" t="s">
        <v>34</v>
      </c>
      <c r="G57" s="482">
        <f>IF(I57&gt;0,I57/D57,0)</f>
        <v>0.24533140330459982</v>
      </c>
      <c r="H57" s="426"/>
      <c r="I57" s="479">
        <f>SUM(I53:I56)</f>
        <v>1873563840.3532202</v>
      </c>
      <c r="J57" s="426"/>
      <c r="K57" s="483"/>
      <c r="L57" s="484"/>
      <c r="M57" s="426"/>
    </row>
    <row r="58" spans="1:13">
      <c r="A58" s="427"/>
      <c r="B58" s="421"/>
      <c r="C58" s="426"/>
      <c r="D58" s="479"/>
      <c r="E58" s="426"/>
      <c r="F58" s="564"/>
      <c r="G58" s="482"/>
      <c r="H58" s="426"/>
      <c r="I58" s="479"/>
      <c r="J58" s="426"/>
      <c r="K58" s="483"/>
      <c r="L58" s="426"/>
      <c r="M58" s="426"/>
    </row>
    <row r="59" spans="1:13">
      <c r="A59" s="427">
        <f>MAX($A$53:A58)+1</f>
        <v>6</v>
      </c>
      <c r="B59" s="421" t="s">
        <v>35</v>
      </c>
      <c r="C59" s="426"/>
      <c r="D59" s="479"/>
      <c r="E59" s="426"/>
      <c r="F59" s="426"/>
      <c r="G59" s="967"/>
      <c r="H59" s="426"/>
      <c r="I59" s="479"/>
      <c r="J59" s="426"/>
      <c r="K59" s="469"/>
      <c r="L59" s="420"/>
      <c r="M59" s="426"/>
    </row>
    <row r="60" spans="1:13">
      <c r="A60" s="427">
        <f>MAX($A$53:A59)+1</f>
        <v>7</v>
      </c>
      <c r="B60" s="421" t="str">
        <f>+B53</f>
        <v xml:space="preserve">  Production</v>
      </c>
      <c r="C60" s="564" t="s">
        <v>960</v>
      </c>
      <c r="D60" s="439">
        <f>'Attachment 4 - Accum Depr'!E22</f>
        <v>0</v>
      </c>
      <c r="E60" s="426"/>
      <c r="F60" s="426" t="str">
        <f t="shared" ref="F60:G62" si="0">+F53</f>
        <v>NA</v>
      </c>
      <c r="G60" s="478" t="str">
        <f t="shared" si="0"/>
        <v xml:space="preserve"> </v>
      </c>
      <c r="H60" s="426"/>
      <c r="I60" s="479" t="s">
        <v>3</v>
      </c>
      <c r="J60" s="426"/>
      <c r="K60" s="469"/>
      <c r="L60" s="420"/>
      <c r="M60" s="426"/>
    </row>
    <row r="61" spans="1:13">
      <c r="A61" s="427">
        <f>MAX($A$53:A60)+1</f>
        <v>8</v>
      </c>
      <c r="B61" s="421" t="str">
        <f>+B54</f>
        <v xml:space="preserve">  Transmission</v>
      </c>
      <c r="C61" s="564" t="s">
        <v>961</v>
      </c>
      <c r="D61" s="439">
        <f>'Attachment 4 - Accum Depr'!F22</f>
        <v>459276295.11934376</v>
      </c>
      <c r="E61" s="426"/>
      <c r="F61" s="426" t="str">
        <f t="shared" si="0"/>
        <v>TP</v>
      </c>
      <c r="G61" s="478">
        <f t="shared" si="0"/>
        <v>1</v>
      </c>
      <c r="H61" s="426"/>
      <c r="I61" s="479">
        <f>+G61*D61</f>
        <v>459276295.11934376</v>
      </c>
      <c r="J61" s="426"/>
      <c r="K61" s="469"/>
      <c r="L61" s="426"/>
      <c r="M61" s="426"/>
    </row>
    <row r="62" spans="1:13">
      <c r="A62" s="427">
        <f>MAX($A$53:A61)+1</f>
        <v>9</v>
      </c>
      <c r="B62" s="421" t="str">
        <f>+B55</f>
        <v xml:space="preserve">  Distribution</v>
      </c>
      <c r="C62" s="564" t="s">
        <v>962</v>
      </c>
      <c r="D62" s="439">
        <f>'Attachment 4 - Accum Depr'!G22</f>
        <v>1645667414.3602693</v>
      </c>
      <c r="E62" s="426"/>
      <c r="F62" s="426" t="str">
        <f t="shared" si="0"/>
        <v>NA</v>
      </c>
      <c r="G62" s="478" t="str">
        <f t="shared" si="0"/>
        <v xml:space="preserve"> </v>
      </c>
      <c r="H62" s="426"/>
      <c r="I62" s="479" t="s">
        <v>3</v>
      </c>
      <c r="J62" s="426"/>
      <c r="K62" s="469"/>
      <c r="L62" s="426"/>
      <c r="M62" s="426"/>
    </row>
    <row r="63" spans="1:13" ht="16.2" thickBot="1">
      <c r="A63" s="427">
        <f>MAX($A$53:A62)+1</f>
        <v>10</v>
      </c>
      <c r="B63" s="421" t="str">
        <f>+B56</f>
        <v xml:space="preserve">  General &amp; Intangible</v>
      </c>
      <c r="C63" s="564" t="s">
        <v>963</v>
      </c>
      <c r="D63" s="480">
        <f>'Attachment 4 - Accum Depr'!H22+'Attachment 4 - Accum Depr'!I22</f>
        <v>215667890.90692306</v>
      </c>
      <c r="E63" s="426"/>
      <c r="F63" s="564" t="s">
        <v>33</v>
      </c>
      <c r="G63" s="567">
        <f>+G56</f>
        <v>8.452849912295303E-2</v>
      </c>
      <c r="H63" s="426"/>
      <c r="I63" s="481">
        <f>+G63*D63</f>
        <v>18230083.127374977</v>
      </c>
      <c r="J63" s="426"/>
      <c r="K63" s="469"/>
      <c r="L63" s="420"/>
      <c r="M63" s="427"/>
    </row>
    <row r="64" spans="1:13">
      <c r="A64" s="427">
        <f>MAX($A$53:A63)+1</f>
        <v>11</v>
      </c>
      <c r="B64" s="2" t="s">
        <v>767</v>
      </c>
      <c r="C64" s="426"/>
      <c r="D64" s="479">
        <f>SUM(D60:D63)</f>
        <v>2320611600.3865361</v>
      </c>
      <c r="E64" s="426"/>
      <c r="F64" s="426"/>
      <c r="G64" s="426"/>
      <c r="H64" s="426"/>
      <c r="I64" s="479">
        <f>SUM(I60:I63)</f>
        <v>477506378.24671876</v>
      </c>
      <c r="J64" s="426"/>
      <c r="K64" s="469"/>
      <c r="L64" s="485"/>
      <c r="M64" s="426"/>
    </row>
    <row r="65" spans="1:14">
      <c r="A65" s="427"/>
      <c r="C65" s="426" t="s">
        <v>3</v>
      </c>
      <c r="E65" s="426"/>
      <c r="F65" s="426"/>
      <c r="G65" s="482"/>
      <c r="H65" s="426"/>
      <c r="I65" s="452"/>
      <c r="J65" s="426"/>
      <c r="K65" s="483"/>
      <c r="L65" s="426"/>
      <c r="M65" s="426"/>
    </row>
    <row r="66" spans="1:14">
      <c r="A66" s="427">
        <f>MAX($A$53:A65)+1</f>
        <v>12</v>
      </c>
      <c r="B66" s="421" t="s">
        <v>38</v>
      </c>
      <c r="C66" s="426"/>
      <c r="D66" s="426"/>
      <c r="E66" s="426"/>
      <c r="F66" s="426"/>
      <c r="G66" s="426"/>
      <c r="H66" s="426"/>
      <c r="I66" s="452"/>
      <c r="J66" s="426"/>
      <c r="K66" s="469"/>
      <c r="L66" s="426"/>
      <c r="M66" s="426"/>
    </row>
    <row r="67" spans="1:14">
      <c r="A67" s="427">
        <f>MAX($A$53:A66)+1</f>
        <v>13</v>
      </c>
      <c r="B67" s="421" t="str">
        <f>+B60</f>
        <v xml:space="preserve">  Production</v>
      </c>
      <c r="C67" s="426" t="s">
        <v>104</v>
      </c>
      <c r="D67" s="479">
        <f>D53-D60</f>
        <v>0</v>
      </c>
      <c r="E67" s="426"/>
      <c r="F67" s="426"/>
      <c r="G67" s="482"/>
      <c r="H67" s="426"/>
      <c r="I67" s="573" t="s">
        <v>3</v>
      </c>
      <c r="J67" s="426"/>
      <c r="K67" s="483"/>
      <c r="L67" s="426"/>
      <c r="M67" s="426"/>
    </row>
    <row r="68" spans="1:14">
      <c r="A68" s="427">
        <f>MAX($A$53:A67)+1</f>
        <v>14</v>
      </c>
      <c r="B68" s="421" t="str">
        <f>+B61</f>
        <v xml:space="preserve">  Transmission</v>
      </c>
      <c r="C68" s="426" t="s">
        <v>105</v>
      </c>
      <c r="D68" s="479">
        <f>D54-D61</f>
        <v>1378677843.6883488</v>
      </c>
      <c r="E68" s="426"/>
      <c r="F68" s="426"/>
      <c r="G68" s="478"/>
      <c r="H68" s="426"/>
      <c r="I68" s="479">
        <f>I54-I61</f>
        <v>1378677843.6883488</v>
      </c>
      <c r="J68" s="426"/>
      <c r="K68" s="469"/>
      <c r="L68" s="426"/>
      <c r="M68" s="426"/>
    </row>
    <row r="69" spans="1:14">
      <c r="A69" s="427">
        <f>MAX($A$53:A68)+1</f>
        <v>15</v>
      </c>
      <c r="B69" s="421" t="str">
        <f>+B62</f>
        <v xml:space="preserve">  Distribution</v>
      </c>
      <c r="C69" s="426" t="s">
        <v>106</v>
      </c>
      <c r="D69" s="479">
        <f>D55-D62</f>
        <v>3731973153.6458817</v>
      </c>
      <c r="E69" s="426"/>
      <c r="F69" s="426"/>
      <c r="G69" s="482"/>
      <c r="H69" s="426"/>
      <c r="I69" s="479" t="s">
        <v>3</v>
      </c>
      <c r="J69" s="426"/>
      <c r="K69" s="486"/>
      <c r="L69" s="426"/>
      <c r="M69" s="426"/>
    </row>
    <row r="70" spans="1:14" ht="16.2" thickBot="1">
      <c r="A70" s="427">
        <f>MAX($A$53:A69)+1</f>
        <v>16</v>
      </c>
      <c r="B70" s="421" t="str">
        <f>+B63</f>
        <v xml:space="preserve">  General &amp; Intangible</v>
      </c>
      <c r="C70" s="426" t="s">
        <v>107</v>
      </c>
      <c r="D70" s="480">
        <f>D56-D63</f>
        <v>205606613.13615406</v>
      </c>
      <c r="E70" s="426"/>
      <c r="F70" s="426"/>
      <c r="G70" s="482"/>
      <c r="H70" s="426"/>
      <c r="I70" s="481">
        <f>I56-I63</f>
        <v>17379618.418152742</v>
      </c>
      <c r="J70" s="426"/>
      <c r="K70" s="482"/>
      <c r="L70" s="426"/>
      <c r="M70" s="427"/>
    </row>
    <row r="71" spans="1:14">
      <c r="A71" s="427">
        <f>MAX($A$53:A70)+1</f>
        <v>17</v>
      </c>
      <c r="B71" s="2" t="s">
        <v>768</v>
      </c>
      <c r="C71" s="426"/>
      <c r="D71" s="479">
        <f>SUM(D67:D70)</f>
        <v>5316257610.4703846</v>
      </c>
      <c r="E71" s="426"/>
      <c r="F71" s="482"/>
      <c r="G71" s="482"/>
      <c r="H71" s="426"/>
      <c r="I71" s="479">
        <f>SUM(I67:I70)</f>
        <v>1396057462.1065016</v>
      </c>
      <c r="J71" s="426"/>
      <c r="K71" s="426"/>
      <c r="L71" s="448"/>
      <c r="M71" s="426"/>
    </row>
    <row r="72" spans="1:14">
      <c r="A72" s="427"/>
      <c r="C72" s="426"/>
      <c r="D72" s="479"/>
      <c r="E72" s="426"/>
      <c r="H72" s="426"/>
      <c r="I72" s="479"/>
      <c r="J72" s="426"/>
      <c r="K72" s="482"/>
      <c r="L72" s="426"/>
      <c r="M72" s="426"/>
    </row>
    <row r="73" spans="1:14">
      <c r="A73" s="427">
        <f>MAX($A$53:A72)+1</f>
        <v>18</v>
      </c>
      <c r="B73" s="421" t="s">
        <v>467</v>
      </c>
      <c r="C73" s="426"/>
      <c r="D73" s="479"/>
      <c r="E73" s="426"/>
      <c r="F73" s="426"/>
      <c r="G73" s="426"/>
      <c r="H73" s="426"/>
      <c r="I73" s="479"/>
      <c r="J73" s="426"/>
      <c r="K73" s="426"/>
      <c r="L73" s="420"/>
      <c r="M73" s="426"/>
    </row>
    <row r="74" spans="1:14">
      <c r="A74" s="427">
        <f>MAX($A$53:A73)+1</f>
        <v>19</v>
      </c>
      <c r="B74" s="1" t="s">
        <v>731</v>
      </c>
      <c r="C74" s="564" t="s">
        <v>948</v>
      </c>
      <c r="D74" s="488">
        <f ca="1">'Attachment 5 - ADIT'!Y112</f>
        <v>-348093643.3597371</v>
      </c>
      <c r="E74" s="426"/>
      <c r="F74" s="564" t="s">
        <v>250</v>
      </c>
      <c r="G74" s="478">
        <v>1</v>
      </c>
      <c r="H74" s="426"/>
      <c r="I74" s="488">
        <f ca="1">D74*G74</f>
        <v>-348093643.3597371</v>
      </c>
      <c r="J74" s="426"/>
      <c r="K74" s="482"/>
      <c r="L74" s="487"/>
      <c r="M74" s="427"/>
    </row>
    <row r="75" spans="1:14">
      <c r="A75" s="427">
        <f>MAX($A$53:A74)+1</f>
        <v>20</v>
      </c>
      <c r="B75" s="2" t="s">
        <v>684</v>
      </c>
      <c r="C75" s="2" t="s">
        <v>1033</v>
      </c>
      <c r="D75" s="488">
        <f ca="1">-'Attachment 14b - Unfunded Res'!AK46</f>
        <v>-613898.85596475913</v>
      </c>
      <c r="E75" s="426"/>
      <c r="F75" s="426" t="s">
        <v>250</v>
      </c>
      <c r="G75" s="478">
        <v>1</v>
      </c>
      <c r="H75" s="426"/>
      <c r="I75" s="488">
        <f ca="1">D75*G75</f>
        <v>-613898.85596475913</v>
      </c>
      <c r="J75" s="426"/>
      <c r="K75" s="482"/>
      <c r="L75" s="487"/>
      <c r="M75" s="427"/>
    </row>
    <row r="76" spans="1:14">
      <c r="A76" s="427">
        <f>MAX($A$53:A75)+1</f>
        <v>21</v>
      </c>
      <c r="B76" s="2" t="s">
        <v>787</v>
      </c>
      <c r="C76" s="2" t="s">
        <v>970</v>
      </c>
      <c r="D76" s="809">
        <f>'Attachment 19 - Reg Asset-Liab'!AU27</f>
        <v>0</v>
      </c>
      <c r="E76" s="426"/>
      <c r="F76" s="426" t="s">
        <v>250</v>
      </c>
      <c r="G76" s="478">
        <v>1</v>
      </c>
      <c r="H76" s="426"/>
      <c r="I76" s="488">
        <f>D76*G76</f>
        <v>0</v>
      </c>
      <c r="J76" s="426"/>
      <c r="K76" s="482"/>
      <c r="L76" s="487"/>
      <c r="M76" s="427"/>
    </row>
    <row r="77" spans="1:14">
      <c r="A77" s="427">
        <f>MAX($A$53:A76)+1</f>
        <v>22</v>
      </c>
      <c r="B77" s="420" t="s">
        <v>233</v>
      </c>
      <c r="C77" s="1" t="s">
        <v>1034</v>
      </c>
      <c r="D77" s="488">
        <f ca="1">'Attachment 17 - CWIP in RB'!AT14</f>
        <v>0</v>
      </c>
      <c r="E77" s="426"/>
      <c r="F77" s="426" t="s">
        <v>250</v>
      </c>
      <c r="G77" s="478">
        <v>1</v>
      </c>
      <c r="H77" s="426"/>
      <c r="I77" s="488">
        <f ca="1">D77*G77</f>
        <v>0</v>
      </c>
      <c r="J77" s="426"/>
      <c r="K77" s="482"/>
      <c r="L77" s="426"/>
      <c r="M77" s="427"/>
    </row>
    <row r="78" spans="1:14" ht="16.2" thickBot="1">
      <c r="A78" s="427">
        <f>MAX($A$53:A77)+1</f>
        <v>23</v>
      </c>
      <c r="B78" s="1" t="s">
        <v>871</v>
      </c>
      <c r="C78" s="1" t="s">
        <v>971</v>
      </c>
      <c r="D78" s="884">
        <f>'Attachment 16 - Abandoned Plant'!H20</f>
        <v>0</v>
      </c>
      <c r="E78" s="564"/>
      <c r="F78" s="564" t="s">
        <v>250</v>
      </c>
      <c r="G78" s="567">
        <f>G77</f>
        <v>1</v>
      </c>
      <c r="H78" s="564"/>
      <c r="I78" s="884">
        <f>D78*G78</f>
        <v>0</v>
      </c>
      <c r="J78" s="426"/>
      <c r="K78" s="482"/>
      <c r="L78" s="426"/>
      <c r="M78" s="427"/>
    </row>
    <row r="79" spans="1:14">
      <c r="A79" s="427">
        <f>MAX($A$53:A78)+1</f>
        <v>24</v>
      </c>
      <c r="B79" s="2" t="s">
        <v>873</v>
      </c>
      <c r="C79" s="426"/>
      <c r="D79" s="439">
        <f ca="1">SUM(D74:D78)</f>
        <v>-348707542.21570188</v>
      </c>
      <c r="E79" s="885"/>
      <c r="F79" s="885"/>
      <c r="G79" s="885"/>
      <c r="H79" s="885"/>
      <c r="I79" s="439">
        <f ca="1">SUM(I74:I78)</f>
        <v>-348707542.21570188</v>
      </c>
      <c r="J79" s="426"/>
      <c r="K79" s="426"/>
      <c r="L79" s="485"/>
      <c r="M79" s="426"/>
      <c r="N79" s="490"/>
    </row>
    <row r="80" spans="1:14">
      <c r="A80" s="427"/>
      <c r="C80" s="426"/>
      <c r="D80" s="479"/>
      <c r="E80" s="426"/>
      <c r="F80" s="426"/>
      <c r="G80" s="482"/>
      <c r="H80" s="426"/>
      <c r="I80" s="439"/>
      <c r="J80" s="426"/>
      <c r="K80" s="482"/>
      <c r="L80" s="426"/>
      <c r="M80" s="426"/>
    </row>
    <row r="81" spans="1:13">
      <c r="A81" s="427">
        <f>MAX($A$53:A80)+1</f>
        <v>25</v>
      </c>
      <c r="B81" s="2" t="s">
        <v>39</v>
      </c>
      <c r="C81" s="564" t="s">
        <v>949</v>
      </c>
      <c r="D81" s="562">
        <f ca="1">'Attachment 14a - Working Cap.'!AM20</f>
        <v>0</v>
      </c>
      <c r="E81" s="426"/>
      <c r="F81" s="426" t="s">
        <v>250</v>
      </c>
      <c r="G81" s="478">
        <v>1</v>
      </c>
      <c r="H81" s="426"/>
      <c r="I81" s="439">
        <f ca="1">+G81*D81</f>
        <v>0</v>
      </c>
      <c r="J81" s="426"/>
      <c r="K81" s="426"/>
      <c r="L81" s="426"/>
      <c r="M81" s="426"/>
    </row>
    <row r="82" spans="1:13">
      <c r="A82" s="427"/>
      <c r="B82" s="2"/>
      <c r="C82" s="564"/>
      <c r="D82" s="569"/>
      <c r="E82" s="426"/>
      <c r="F82" s="426"/>
      <c r="G82" s="426"/>
      <c r="H82" s="426"/>
      <c r="I82" s="479"/>
      <c r="J82" s="426"/>
      <c r="K82" s="426"/>
      <c r="L82" s="426"/>
      <c r="M82" s="426"/>
    </row>
    <row r="83" spans="1:13">
      <c r="A83" s="427">
        <f>MAX($A$53:A82)+1</f>
        <v>26</v>
      </c>
      <c r="B83" s="2" t="s">
        <v>950</v>
      </c>
      <c r="C83" s="564" t="s">
        <v>3</v>
      </c>
      <c r="D83" s="569"/>
      <c r="E83" s="426"/>
      <c r="F83" s="426"/>
      <c r="G83" s="426"/>
      <c r="H83" s="426"/>
      <c r="I83" s="452"/>
      <c r="J83" s="426"/>
      <c r="K83" s="426"/>
      <c r="L83" s="426"/>
      <c r="M83" s="426"/>
    </row>
    <row r="84" spans="1:13">
      <c r="A84" s="427">
        <f>MAX($A$53:A83)+1</f>
        <v>27</v>
      </c>
      <c r="B84" s="2" t="s">
        <v>40</v>
      </c>
      <c r="C84" s="886" t="s">
        <v>775</v>
      </c>
      <c r="D84" s="562">
        <f>(D124-D123-11350618)/8</f>
        <v>7540246.1319350526</v>
      </c>
      <c r="E84" s="426"/>
      <c r="F84" s="426"/>
      <c r="G84" s="482"/>
      <c r="H84" s="426"/>
      <c r="I84" s="439">
        <f>(I124-I123-959451)/8</f>
        <v>8839142.0069350526</v>
      </c>
      <c r="J84" s="421"/>
      <c r="K84" s="482"/>
      <c r="L84" s="491"/>
      <c r="M84" s="427"/>
    </row>
    <row r="85" spans="1:13">
      <c r="A85" s="427">
        <f>MAX($A$53:A84)+1</f>
        <v>28</v>
      </c>
      <c r="B85" s="2" t="s">
        <v>784</v>
      </c>
      <c r="C85" s="564" t="s">
        <v>964</v>
      </c>
      <c r="D85" s="562">
        <f ca="1">'Attachment 14a - Working Cap.'!AM17</f>
        <v>0</v>
      </c>
      <c r="E85" s="426"/>
      <c r="F85" s="564" t="s">
        <v>250</v>
      </c>
      <c r="G85" s="478">
        <v>1</v>
      </c>
      <c r="H85" s="426"/>
      <c r="I85" s="439">
        <f ca="1">+G85*D85</f>
        <v>0</v>
      </c>
      <c r="J85" s="426" t="s">
        <v>3</v>
      </c>
      <c r="K85" s="482"/>
      <c r="L85" s="491"/>
      <c r="M85" s="427"/>
    </row>
    <row r="86" spans="1:13" ht="16.2" thickBot="1">
      <c r="A86" s="427">
        <f>MAX($A$53:A85)+1</f>
        <v>29</v>
      </c>
      <c r="B86" s="2" t="s">
        <v>41</v>
      </c>
      <c r="C86" s="886" t="s">
        <v>965</v>
      </c>
      <c r="D86" s="563">
        <f ca="1">'Attachment 14a - Working Cap.'!AM14</f>
        <v>0</v>
      </c>
      <c r="E86" s="426"/>
      <c r="F86" s="564" t="s">
        <v>250</v>
      </c>
      <c r="G86" s="478">
        <v>1</v>
      </c>
      <c r="H86" s="426"/>
      <c r="I86" s="480">
        <f ca="1">+G86*D86</f>
        <v>0</v>
      </c>
      <c r="J86" s="426"/>
      <c r="K86" s="482"/>
      <c r="L86" s="491"/>
      <c r="M86" s="427"/>
    </row>
    <row r="87" spans="1:13">
      <c r="A87" s="427">
        <f>MAX($A$53:A86)+1</f>
        <v>30</v>
      </c>
      <c r="B87" s="2" t="s">
        <v>874</v>
      </c>
      <c r="C87" s="2"/>
      <c r="D87" s="562">
        <f ca="1">SUM(D84:D86)</f>
        <v>7540246.1319350526</v>
      </c>
      <c r="E87" s="421"/>
      <c r="F87" s="421"/>
      <c r="G87" s="421"/>
      <c r="H87" s="421"/>
      <c r="I87" s="439">
        <f ca="1">SUM(I84:I86)</f>
        <v>8839142.0069350526</v>
      </c>
      <c r="J87" s="421"/>
      <c r="K87" s="421"/>
      <c r="L87" s="422"/>
      <c r="M87" s="426"/>
    </row>
    <row r="88" spans="1:13" ht="16.2" thickBot="1">
      <c r="A88" s="427"/>
      <c r="B88" s="1"/>
      <c r="C88" s="564"/>
      <c r="D88" s="563"/>
      <c r="E88" s="426"/>
      <c r="F88" s="426"/>
      <c r="G88" s="426"/>
      <c r="H88" s="426"/>
      <c r="I88" s="480"/>
      <c r="J88" s="426"/>
      <c r="K88" s="426"/>
      <c r="L88" s="426"/>
      <c r="M88" s="426"/>
    </row>
    <row r="89" spans="1:13" ht="16.2" thickBot="1">
      <c r="A89" s="427">
        <f>MAX($A$53:A88)+1</f>
        <v>31</v>
      </c>
      <c r="B89" s="2" t="s">
        <v>875</v>
      </c>
      <c r="C89" s="564"/>
      <c r="D89" s="570">
        <f ca="1">+D87+D81+D79+D71</f>
        <v>4975090314.3866177</v>
      </c>
      <c r="E89" s="426"/>
      <c r="F89" s="426"/>
      <c r="G89" s="482"/>
      <c r="H89" s="426"/>
      <c r="I89" s="887">
        <f ca="1">+I87+I81+I79+I71</f>
        <v>1056189061.8977348</v>
      </c>
      <c r="J89" s="426"/>
      <c r="K89" s="482"/>
      <c r="L89" s="426"/>
      <c r="M89" s="426"/>
    </row>
    <row r="90" spans="1:13" ht="16.2" thickTop="1">
      <c r="A90" s="427"/>
      <c r="B90" s="421"/>
      <c r="C90" s="426"/>
      <c r="D90" s="470"/>
      <c r="E90" s="426"/>
      <c r="F90" s="426"/>
      <c r="G90" s="482"/>
      <c r="H90" s="426"/>
      <c r="I90" s="426"/>
      <c r="J90" s="426"/>
      <c r="K90" s="482"/>
      <c r="L90" s="426"/>
      <c r="M90" s="426"/>
    </row>
    <row r="91" spans="1:13">
      <c r="A91" s="427"/>
      <c r="B91" s="421"/>
      <c r="C91" s="426"/>
      <c r="D91" s="470"/>
      <c r="E91" s="426"/>
      <c r="F91" s="426"/>
      <c r="G91" s="482"/>
      <c r="H91" s="426"/>
      <c r="I91" s="426"/>
      <c r="J91" s="426"/>
      <c r="K91" s="482"/>
      <c r="L91" s="426"/>
      <c r="M91" s="426"/>
    </row>
    <row r="92" spans="1:13">
      <c r="A92" s="427"/>
      <c r="B92" s="421"/>
      <c r="C92" s="426"/>
      <c r="D92" s="470"/>
      <c r="E92" s="426"/>
      <c r="F92" s="426"/>
      <c r="G92" s="482"/>
      <c r="H92" s="426"/>
      <c r="I92" s="426"/>
      <c r="J92" s="426"/>
      <c r="K92" s="482"/>
      <c r="L92" s="426"/>
      <c r="M92" s="426"/>
    </row>
    <row r="93" spans="1:13">
      <c r="A93" s="427"/>
      <c r="B93" s="421"/>
      <c r="C93" s="426"/>
      <c r="D93" s="426"/>
      <c r="E93" s="426"/>
      <c r="F93" s="426"/>
      <c r="G93" s="482"/>
      <c r="H93" s="426"/>
      <c r="I93" s="426"/>
      <c r="J93" s="426"/>
      <c r="K93" s="482"/>
      <c r="L93" s="426"/>
      <c r="M93" s="426"/>
    </row>
    <row r="94" spans="1:13">
      <c r="A94" s="427"/>
      <c r="B94" s="421"/>
      <c r="C94" s="426"/>
      <c r="D94" s="426"/>
      <c r="E94" s="426"/>
      <c r="F94" s="426"/>
      <c r="G94" s="482"/>
      <c r="H94" s="426"/>
      <c r="I94" s="426"/>
      <c r="J94" s="426"/>
      <c r="K94" s="482"/>
      <c r="L94" s="426"/>
      <c r="M94" s="426"/>
    </row>
    <row r="95" spans="1:13">
      <c r="A95" s="427"/>
      <c r="B95" s="421"/>
      <c r="C95" s="426"/>
      <c r="D95" s="426"/>
      <c r="E95" s="426"/>
      <c r="F95" s="426"/>
      <c r="G95" s="482"/>
      <c r="H95" s="426"/>
      <c r="I95" s="426"/>
      <c r="J95" s="426"/>
      <c r="K95" s="482"/>
      <c r="L95" s="426"/>
      <c r="M95" s="426"/>
    </row>
    <row r="96" spans="1:13">
      <c r="A96" s="427"/>
      <c r="B96" s="421"/>
      <c r="C96" s="426"/>
      <c r="D96" s="426"/>
      <c r="E96" s="426"/>
      <c r="F96" s="426"/>
      <c r="G96" s="482"/>
      <c r="H96" s="426"/>
      <c r="I96" s="426"/>
      <c r="J96" s="426"/>
      <c r="K96" s="482"/>
      <c r="L96" s="426"/>
      <c r="M96" s="426"/>
    </row>
    <row r="97" spans="1:13">
      <c r="A97" s="427"/>
      <c r="B97" s="421"/>
      <c r="C97" s="426"/>
      <c r="D97" s="426"/>
      <c r="E97" s="426"/>
      <c r="F97" s="426"/>
      <c r="G97" s="482"/>
      <c r="H97" s="426"/>
      <c r="I97" s="426"/>
      <c r="J97" s="426"/>
      <c r="K97" s="482"/>
      <c r="L97" s="426"/>
      <c r="M97" s="426"/>
    </row>
    <row r="98" spans="1:13">
      <c r="A98" s="427"/>
      <c r="B98" s="421"/>
      <c r="C98" s="426"/>
      <c r="D98" s="426"/>
      <c r="E98" s="426"/>
      <c r="F98" s="426"/>
      <c r="G98" s="482"/>
      <c r="H98" s="426"/>
      <c r="I98" s="426"/>
      <c r="J98" s="426"/>
      <c r="K98" s="482"/>
      <c r="L98" s="426"/>
      <c r="M98" s="426"/>
    </row>
    <row r="99" spans="1:13">
      <c r="A99" s="427"/>
      <c r="B99" s="421"/>
      <c r="C99" s="426"/>
      <c r="D99" s="426"/>
      <c r="E99" s="426"/>
      <c r="F99" s="426"/>
      <c r="G99" s="482"/>
      <c r="H99" s="426"/>
      <c r="I99" s="426"/>
      <c r="J99" s="426"/>
      <c r="K99" s="482"/>
      <c r="L99" s="426"/>
      <c r="M99" s="426"/>
    </row>
    <row r="100" spans="1:13">
      <c r="A100" s="427"/>
      <c r="B100" s="421"/>
      <c r="C100" s="426"/>
      <c r="D100" s="426"/>
      <c r="E100" s="426"/>
      <c r="F100" s="426"/>
      <c r="G100" s="482"/>
      <c r="H100" s="426"/>
      <c r="I100" s="426"/>
      <c r="J100" s="426"/>
      <c r="K100" s="482"/>
      <c r="L100" s="426"/>
      <c r="M100" s="426"/>
    </row>
    <row r="101" spans="1:13">
      <c r="A101" s="427"/>
      <c r="B101" s="421"/>
      <c r="C101" s="426"/>
      <c r="D101" s="426"/>
      <c r="E101" s="426"/>
      <c r="F101" s="426"/>
      <c r="G101" s="482"/>
      <c r="H101" s="426"/>
      <c r="I101" s="426"/>
      <c r="J101" s="426"/>
      <c r="K101" s="482"/>
      <c r="L101" s="426"/>
      <c r="M101" s="426"/>
    </row>
    <row r="102" spans="1:13">
      <c r="A102" s="427"/>
      <c r="B102" s="421"/>
      <c r="C102" s="426"/>
      <c r="D102" s="426"/>
      <c r="E102" s="426"/>
      <c r="F102" s="426"/>
      <c r="G102" s="482"/>
      <c r="H102" s="426"/>
      <c r="I102" s="426"/>
      <c r="J102" s="426"/>
      <c r="K102" s="482"/>
      <c r="L102" s="426"/>
      <c r="M102" s="426"/>
    </row>
    <row r="103" spans="1:13">
      <c r="A103" s="427"/>
      <c r="B103" s="421"/>
      <c r="C103" s="426"/>
      <c r="D103" s="426"/>
      <c r="E103" s="426"/>
      <c r="F103" s="426"/>
      <c r="G103" s="482"/>
      <c r="H103" s="426"/>
      <c r="I103" s="426"/>
      <c r="J103" s="426"/>
      <c r="K103" s="482"/>
      <c r="L103" s="426"/>
      <c r="M103" s="426"/>
    </row>
    <row r="104" spans="1:13">
      <c r="A104" s="492"/>
      <c r="B104" s="421"/>
      <c r="C104" s="426"/>
      <c r="D104" s="426"/>
      <c r="E104" s="426"/>
      <c r="F104" s="426"/>
      <c r="G104" s="482"/>
      <c r="H104" s="426"/>
      <c r="I104" s="426"/>
      <c r="J104" s="426"/>
      <c r="K104" s="476"/>
      <c r="L104" s="420"/>
    </row>
    <row r="105" spans="1:13">
      <c r="A105" s="492"/>
      <c r="B105" s="421"/>
      <c r="C105" s="426"/>
      <c r="D105" s="426"/>
      <c r="E105" s="426"/>
      <c r="F105" s="426"/>
      <c r="G105" s="482"/>
      <c r="H105" s="426"/>
      <c r="I105" s="426"/>
      <c r="J105" s="426"/>
      <c r="K105" s="476"/>
      <c r="L105" s="420"/>
    </row>
    <row r="106" spans="1:13">
      <c r="B106" s="421"/>
      <c r="C106" s="421"/>
      <c r="D106" s="422"/>
      <c r="E106" s="421"/>
      <c r="F106" s="421"/>
      <c r="G106" s="421"/>
      <c r="H106" s="421"/>
      <c r="I106" s="427"/>
      <c r="J106" s="427"/>
      <c r="K106" s="423"/>
      <c r="L106" s="421"/>
      <c r="M106" s="421"/>
    </row>
    <row r="107" spans="1:13">
      <c r="B107" s="421"/>
      <c r="C107" s="421"/>
      <c r="D107" s="422"/>
      <c r="E107" s="421"/>
      <c r="F107" s="421"/>
      <c r="G107" s="421"/>
      <c r="H107" s="421"/>
      <c r="I107" s="423"/>
      <c r="J107" s="423"/>
      <c r="K107" s="423"/>
      <c r="L107" s="421"/>
      <c r="M107" s="421"/>
    </row>
    <row r="108" spans="1:13">
      <c r="A108" s="1"/>
      <c r="B108" s="421"/>
      <c r="C108" s="421"/>
      <c r="D108" s="422"/>
      <c r="E108" s="421"/>
      <c r="F108" s="421"/>
      <c r="G108" s="421"/>
      <c r="H108" s="421"/>
      <c r="I108" s="423"/>
      <c r="J108" s="423"/>
      <c r="K108" s="16"/>
      <c r="L108" s="421"/>
      <c r="M108" s="421"/>
    </row>
    <row r="109" spans="1:13" ht="16.5" customHeight="1">
      <c r="B109" s="421"/>
      <c r="C109" s="421"/>
      <c r="D109" s="422"/>
      <c r="E109" s="421"/>
      <c r="F109" s="421"/>
      <c r="G109" s="421"/>
      <c r="H109" s="421"/>
      <c r="I109" s="421"/>
      <c r="K109" s="423" t="str">
        <f>K41</f>
        <v>Attachment  H-4A</v>
      </c>
      <c r="L109" s="421"/>
      <c r="M109" s="421"/>
    </row>
    <row r="110" spans="1:13" ht="16.5" customHeight="1">
      <c r="B110" s="421"/>
      <c r="C110" s="421"/>
      <c r="D110" s="422"/>
      <c r="E110" s="421"/>
      <c r="F110" s="421"/>
      <c r="G110" s="421"/>
      <c r="H110" s="421"/>
      <c r="I110" s="421"/>
      <c r="J110" s="421"/>
      <c r="K110" s="423" t="s">
        <v>100</v>
      </c>
      <c r="L110" s="421"/>
      <c r="M110" s="421"/>
    </row>
    <row r="111" spans="1:13" ht="16.5" customHeight="1">
      <c r="B111" s="421"/>
      <c r="C111" s="421"/>
      <c r="D111" s="422"/>
      <c r="E111" s="421"/>
      <c r="F111" s="421"/>
      <c r="G111" s="421"/>
      <c r="H111" s="421"/>
      <c r="I111" s="421"/>
      <c r="J111" s="421"/>
      <c r="K111" s="423"/>
      <c r="L111" s="421"/>
      <c r="M111" s="421"/>
    </row>
    <row r="112" spans="1:13">
      <c r="B112" s="421" t="s">
        <v>1</v>
      </c>
      <c r="C112" s="421"/>
      <c r="D112" s="422" t="s">
        <v>2</v>
      </c>
      <c r="E112" s="421"/>
      <c r="F112" s="421"/>
      <c r="G112" s="421"/>
      <c r="H112" s="421"/>
      <c r="J112" s="421"/>
      <c r="K112" s="423" t="str">
        <f>K4</f>
        <v>For the 12 months ended 12/31/2022</v>
      </c>
      <c r="L112" s="421"/>
      <c r="M112" s="421"/>
    </row>
    <row r="113" spans="1:13">
      <c r="B113" s="421"/>
      <c r="C113" s="426" t="s">
        <v>3</v>
      </c>
      <c r="D113" s="426" t="s">
        <v>4</v>
      </c>
      <c r="E113" s="426"/>
      <c r="F113" s="426"/>
      <c r="G113" s="426"/>
      <c r="H113" s="421"/>
      <c r="I113" s="421"/>
      <c r="J113" s="421"/>
      <c r="K113" s="421"/>
      <c r="L113" s="421"/>
      <c r="M113" s="421"/>
    </row>
    <row r="114" spans="1:13">
      <c r="B114" s="421"/>
      <c r="C114" s="426"/>
      <c r="D114" s="426"/>
      <c r="E114" s="426"/>
      <c r="F114" s="426"/>
      <c r="G114" s="426"/>
      <c r="H114" s="421"/>
      <c r="I114" s="421"/>
      <c r="J114" s="421"/>
      <c r="K114" s="421"/>
      <c r="L114" s="421"/>
      <c r="M114" s="421"/>
    </row>
    <row r="115" spans="1:13">
      <c r="A115" s="427"/>
      <c r="D115" s="420" t="str">
        <f>D7</f>
        <v>Jersey Central Power &amp; Light</v>
      </c>
      <c r="J115" s="426"/>
      <c r="K115" s="426"/>
      <c r="L115" s="426"/>
      <c r="M115" s="426"/>
    </row>
    <row r="116" spans="1:13">
      <c r="A116" s="427"/>
      <c r="B116" s="427" t="s">
        <v>16</v>
      </c>
      <c r="C116" s="427" t="s">
        <v>17</v>
      </c>
      <c r="D116" s="427" t="s">
        <v>18</v>
      </c>
      <c r="E116" s="426" t="s">
        <v>3</v>
      </c>
      <c r="F116" s="426"/>
      <c r="G116" s="429" t="s">
        <v>19</v>
      </c>
      <c r="H116" s="426"/>
      <c r="I116" s="430" t="s">
        <v>20</v>
      </c>
      <c r="J116" s="426"/>
      <c r="K116" s="426"/>
      <c r="L116" s="421"/>
      <c r="M116" s="426"/>
    </row>
    <row r="117" spans="1:13">
      <c r="A117" s="427" t="s">
        <v>5</v>
      </c>
      <c r="B117" s="421"/>
      <c r="C117" s="472"/>
      <c r="D117" s="426"/>
      <c r="E117" s="426"/>
      <c r="F117" s="426"/>
      <c r="G117" s="427"/>
      <c r="H117" s="426"/>
      <c r="I117" s="473" t="s">
        <v>22</v>
      </c>
      <c r="J117" s="426"/>
      <c r="K117" s="473"/>
      <c r="L117" s="427"/>
      <c r="M117" s="426"/>
    </row>
    <row r="118" spans="1:13" ht="16.2" thickBot="1">
      <c r="A118" s="431" t="s">
        <v>7</v>
      </c>
      <c r="B118" s="421"/>
      <c r="C118" s="472" t="s">
        <v>232</v>
      </c>
      <c r="D118" s="473" t="s">
        <v>23</v>
      </c>
      <c r="E118" s="475"/>
      <c r="F118" s="473" t="s">
        <v>24</v>
      </c>
      <c r="H118" s="475"/>
      <c r="I118" s="427" t="s">
        <v>25</v>
      </c>
      <c r="J118" s="426"/>
      <c r="K118" s="473"/>
      <c r="L118" s="473"/>
      <c r="M118" s="426"/>
    </row>
    <row r="119" spans="1:13">
      <c r="A119" s="427">
        <v>1</v>
      </c>
      <c r="B119" s="2" t="s">
        <v>683</v>
      </c>
      <c r="C119" s="426"/>
      <c r="D119" s="426"/>
      <c r="E119" s="426"/>
      <c r="F119" s="426"/>
      <c r="G119" s="426"/>
      <c r="H119" s="426"/>
      <c r="I119" s="426"/>
      <c r="J119" s="426"/>
      <c r="K119" s="426"/>
      <c r="L119" s="426"/>
      <c r="M119" s="426"/>
    </row>
    <row r="120" spans="1:13">
      <c r="A120" s="427">
        <f>MAX($A$119:A119)+1</f>
        <v>2</v>
      </c>
      <c r="B120" s="2" t="s">
        <v>42</v>
      </c>
      <c r="C120" s="564" t="s">
        <v>993</v>
      </c>
      <c r="D120" s="439">
        <f>'Attachment 20 - OpEx'!Q32</f>
        <v>64659044.462069474</v>
      </c>
      <c r="E120" s="426"/>
      <c r="F120" s="564" t="s">
        <v>250</v>
      </c>
      <c r="G120" s="478">
        <v>1</v>
      </c>
      <c r="H120" s="426"/>
      <c r="I120" s="439">
        <f>+G120*D120</f>
        <v>64659044.462069474</v>
      </c>
      <c r="J120" s="493"/>
      <c r="K120" s="426"/>
      <c r="L120" s="426"/>
      <c r="M120" s="427"/>
    </row>
    <row r="121" spans="1:13">
      <c r="A121" s="427">
        <f>MAX($A$119:A120)+1</f>
        <v>3</v>
      </c>
      <c r="B121" s="2" t="s">
        <v>714</v>
      </c>
      <c r="C121" s="564" t="s">
        <v>802</v>
      </c>
      <c r="D121" s="439">
        <f>'Attachment 6 - PBOP'!E18</f>
        <v>381629.89594579639</v>
      </c>
      <c r="E121" s="426"/>
      <c r="F121" s="564" t="s">
        <v>250</v>
      </c>
      <c r="G121" s="478">
        <v>1</v>
      </c>
      <c r="H121" s="426"/>
      <c r="I121" s="439">
        <f>+G121*D121</f>
        <v>381629.89594579639</v>
      </c>
      <c r="J121" s="421"/>
      <c r="K121" s="426"/>
      <c r="L121" s="426"/>
      <c r="M121" s="427"/>
    </row>
    <row r="122" spans="1:13">
      <c r="A122" s="427">
        <f>MAX($A$119:A121)+1</f>
        <v>4</v>
      </c>
      <c r="B122" s="2" t="s">
        <v>763</v>
      </c>
      <c r="C122" s="564" t="str">
        <f>"Attachment 20, Line "&amp;'Attachment 20 - OpEx'!A52&amp;", Col. "&amp;'Attachment 20 - OpEx'!U5</f>
        <v>Attachment 20, Line 41, Col. (I)</v>
      </c>
      <c r="D122" s="439">
        <f>'Attachment 20 - OpEx'!U52</f>
        <v>6631912.6974651497</v>
      </c>
      <c r="E122" s="426"/>
      <c r="F122" s="564" t="s">
        <v>250</v>
      </c>
      <c r="G122" s="478">
        <v>1</v>
      </c>
      <c r="H122" s="426"/>
      <c r="I122" s="439">
        <f>+G122*D122</f>
        <v>6631912.6974651497</v>
      </c>
      <c r="J122" s="426"/>
      <c r="K122" s="426" t="s">
        <v>3</v>
      </c>
      <c r="L122" s="426"/>
      <c r="M122" s="427"/>
    </row>
    <row r="123" spans="1:13" ht="16.2" thickBot="1">
      <c r="A123" s="427">
        <f>MAX($A$119:A122)+1</f>
        <v>5</v>
      </c>
      <c r="B123" s="2" t="s">
        <v>788</v>
      </c>
      <c r="C123" s="564" t="s">
        <v>969</v>
      </c>
      <c r="D123" s="480">
        <f>'Attachment 19 - Reg Asset-Liab'!AY27</f>
        <v>0</v>
      </c>
      <c r="E123" s="426"/>
      <c r="F123" s="564" t="s">
        <v>250</v>
      </c>
      <c r="G123" s="478">
        <v>1</v>
      </c>
      <c r="H123" s="426"/>
      <c r="I123" s="480">
        <f>+G123*D123</f>
        <v>0</v>
      </c>
      <c r="J123" s="426"/>
      <c r="K123" s="426"/>
      <c r="L123" s="426"/>
      <c r="M123" s="427"/>
    </row>
    <row r="124" spans="1:13">
      <c r="A124" s="427">
        <f>MAX($A$119:A123)+1</f>
        <v>6</v>
      </c>
      <c r="B124" s="2" t="s">
        <v>829</v>
      </c>
      <c r="C124" s="564"/>
      <c r="D124" s="439">
        <f>SUM(D120:D123)</f>
        <v>71672587.055480421</v>
      </c>
      <c r="E124" s="426"/>
      <c r="F124" s="426"/>
      <c r="G124" s="426"/>
      <c r="H124" s="426"/>
      <c r="I124" s="439">
        <f>SUM(I120:I123)</f>
        <v>71672587.055480421</v>
      </c>
      <c r="J124" s="426"/>
      <c r="K124" s="426"/>
      <c r="L124" s="485"/>
      <c r="M124" s="426"/>
    </row>
    <row r="125" spans="1:13">
      <c r="A125" s="427"/>
      <c r="B125" s="1"/>
      <c r="C125" s="564"/>
      <c r="D125" s="573"/>
      <c r="E125" s="426"/>
      <c r="F125" s="426"/>
      <c r="G125" s="426"/>
      <c r="H125" s="426"/>
      <c r="I125" s="479"/>
      <c r="J125" s="426"/>
      <c r="K125" s="426"/>
      <c r="L125" s="426"/>
      <c r="M125" s="426"/>
    </row>
    <row r="126" spans="1:13">
      <c r="A126" s="427">
        <f>MAX($A$119:A125)+1</f>
        <v>7</v>
      </c>
      <c r="B126" s="2" t="s">
        <v>156</v>
      </c>
      <c r="C126" s="564"/>
      <c r="D126" s="573"/>
      <c r="E126" s="426"/>
      <c r="F126" s="426"/>
      <c r="G126" s="426"/>
      <c r="H126" s="426"/>
      <c r="I126" s="479"/>
      <c r="J126" s="426"/>
      <c r="K126" s="426"/>
      <c r="L126" s="426"/>
      <c r="M126" s="426"/>
    </row>
    <row r="127" spans="1:13">
      <c r="A127" s="427">
        <f>MAX($A$119:A126)+1</f>
        <v>8</v>
      </c>
      <c r="B127" s="2" t="str">
        <f>+B120</f>
        <v xml:space="preserve">  Transmission </v>
      </c>
      <c r="C127" s="564" t="s">
        <v>955</v>
      </c>
      <c r="D127" s="572">
        <v>34067090</v>
      </c>
      <c r="E127" s="426"/>
      <c r="F127" s="426" t="s">
        <v>11</v>
      </c>
      <c r="G127" s="478">
        <f>TP</f>
        <v>1</v>
      </c>
      <c r="H127" s="426"/>
      <c r="I127" s="479">
        <f>+G127*D127</f>
        <v>34067090</v>
      </c>
      <c r="J127" s="426"/>
      <c r="K127" s="482"/>
      <c r="L127" s="426"/>
      <c r="M127" s="427"/>
    </row>
    <row r="128" spans="1:13">
      <c r="A128" s="427">
        <f>MAX($A$119:A127)+1</f>
        <v>9</v>
      </c>
      <c r="B128" s="571" t="s">
        <v>32</v>
      </c>
      <c r="C128" s="564" t="s">
        <v>1051</v>
      </c>
      <c r="D128" s="572">
        <v>22215727</v>
      </c>
      <c r="E128" s="426"/>
      <c r="F128" s="426" t="s">
        <v>33</v>
      </c>
      <c r="G128" s="478">
        <f>G56</f>
        <v>8.452849912295303E-2</v>
      </c>
      <c r="H128" s="426"/>
      <c r="I128" s="489">
        <f>+G128*D128</f>
        <v>1877862.060235264</v>
      </c>
      <c r="J128" s="426"/>
      <c r="K128" s="482"/>
      <c r="L128" s="420"/>
      <c r="M128" s="427"/>
    </row>
    <row r="129" spans="1:13" ht="16.2" thickBot="1">
      <c r="A129" s="427">
        <f>MAX($A$119:A128)+1</f>
        <v>10</v>
      </c>
      <c r="B129" s="571" t="s">
        <v>867</v>
      </c>
      <c r="C129" s="564" t="s">
        <v>968</v>
      </c>
      <c r="D129" s="563">
        <f>'Attachment 16 - Abandoned Plant'!F20</f>
        <v>0</v>
      </c>
      <c r="F129" s="564" t="s">
        <v>250</v>
      </c>
      <c r="G129" s="567">
        <v>1</v>
      </c>
      <c r="H129" s="426"/>
      <c r="I129" s="480">
        <f>D129*G129</f>
        <v>0</v>
      </c>
      <c r="J129" s="426"/>
      <c r="K129" s="482"/>
      <c r="L129" s="420"/>
      <c r="M129" s="427"/>
    </row>
    <row r="130" spans="1:13" ht="18" customHeight="1">
      <c r="A130" s="427">
        <f>MAX($A$119:A129)+1</f>
        <v>11</v>
      </c>
      <c r="B130" s="2" t="s">
        <v>868</v>
      </c>
      <c r="C130" s="564"/>
      <c r="D130" s="573">
        <f>SUM(D127:D129)</f>
        <v>56282817</v>
      </c>
      <c r="E130" s="426"/>
      <c r="F130" s="426"/>
      <c r="G130" s="426"/>
      <c r="H130" s="426"/>
      <c r="I130" s="479">
        <f>SUM(I127:I129)</f>
        <v>35944952.060235262</v>
      </c>
      <c r="J130" s="426"/>
      <c r="K130" s="426"/>
      <c r="L130" s="426"/>
      <c r="M130" s="426"/>
    </row>
    <row r="131" spans="1:13" ht="18" customHeight="1">
      <c r="A131" s="427"/>
      <c r="B131" s="2"/>
      <c r="C131" s="564"/>
      <c r="D131" s="562"/>
      <c r="E131" s="426"/>
      <c r="F131" s="426"/>
      <c r="G131" s="426"/>
      <c r="H131" s="426"/>
      <c r="I131" s="439"/>
      <c r="J131" s="426"/>
      <c r="K131" s="426"/>
      <c r="L131" s="426"/>
      <c r="M131" s="426"/>
    </row>
    <row r="132" spans="1:13">
      <c r="A132" s="427">
        <f>MAX($A$119:A130)+1</f>
        <v>12</v>
      </c>
      <c r="B132" s="2" t="s">
        <v>732</v>
      </c>
      <c r="C132" s="564" t="str">
        <f>"Attachment 7, Line "&amp;'Attachment 7 - TOTI'!A16&amp;", Col. "&amp;'Attachment 7 - TOTI'!K5</f>
        <v>Attachment 7, Line 2, Col. (E)</v>
      </c>
      <c r="D132" s="562">
        <f ca="1">'Attachment 7 - TOTI'!K16</f>
        <v>1602306.3479800201</v>
      </c>
      <c r="E132" s="426"/>
      <c r="F132" s="426" t="s">
        <v>250</v>
      </c>
      <c r="G132" s="478">
        <v>1</v>
      </c>
      <c r="H132" s="426"/>
      <c r="I132" s="439">
        <f ca="1">D132*G132</f>
        <v>1602306.3479800201</v>
      </c>
      <c r="J132" s="426"/>
      <c r="K132" s="426"/>
      <c r="L132" s="485"/>
      <c r="M132" s="426"/>
    </row>
    <row r="133" spans="1:13">
      <c r="A133" s="427"/>
      <c r="B133" s="2"/>
      <c r="C133" s="564"/>
      <c r="D133" s="564"/>
      <c r="E133" s="426"/>
      <c r="F133" s="426"/>
      <c r="G133" s="437"/>
      <c r="H133" s="426"/>
      <c r="I133" s="452"/>
      <c r="J133" s="426"/>
      <c r="K133" s="426"/>
      <c r="L133" s="485"/>
      <c r="M133" s="426"/>
    </row>
    <row r="134" spans="1:13">
      <c r="A134" s="427">
        <f>MAX($A$119:A133)+1</f>
        <v>13</v>
      </c>
      <c r="B134" s="2" t="s">
        <v>44</v>
      </c>
      <c r="C134" s="564" t="s">
        <v>263</v>
      </c>
      <c r="D134" s="888"/>
      <c r="E134" s="426"/>
      <c r="G134" s="494"/>
      <c r="H134" s="426"/>
      <c r="I134" s="467"/>
      <c r="J134" s="426"/>
      <c r="L134" s="426"/>
      <c r="M134" s="427"/>
    </row>
    <row r="135" spans="1:13">
      <c r="A135" s="427">
        <f>MAX($A$119:A134)+1</f>
        <v>14</v>
      </c>
      <c r="B135" s="2" t="s">
        <v>47</v>
      </c>
      <c r="C135" s="564" t="str">
        <f>"Attachment 15, Line "&amp;'Attachment 15 - Income Taxes'!A31</f>
        <v>Attachment 15, Line 22</v>
      </c>
      <c r="D135" s="562">
        <f ca="1">'Attachment 15 - Income Taxes'!E31</f>
        <v>19670096.220969416</v>
      </c>
      <c r="E135" s="426"/>
      <c r="F135" s="426" t="s">
        <v>250</v>
      </c>
      <c r="G135" s="478">
        <v>1</v>
      </c>
      <c r="H135" s="426"/>
      <c r="I135" s="439">
        <f ca="1">D135*G135</f>
        <v>19670096.220969416</v>
      </c>
      <c r="J135" s="426"/>
      <c r="K135" s="426"/>
      <c r="L135" s="426"/>
      <c r="M135" s="426"/>
    </row>
    <row r="136" spans="1:13">
      <c r="A136" s="427"/>
      <c r="B136" s="1"/>
      <c r="C136" s="579"/>
      <c r="D136" s="573"/>
      <c r="E136" s="426"/>
      <c r="F136" s="426"/>
      <c r="G136" s="437"/>
      <c r="H136" s="426"/>
      <c r="I136" s="479"/>
      <c r="J136" s="426"/>
      <c r="K136" s="426"/>
      <c r="L136" s="426"/>
      <c r="M136" s="426"/>
    </row>
    <row r="137" spans="1:13" ht="31.2">
      <c r="A137" s="427">
        <f>MAX($A$119:A136)+1</f>
        <v>15</v>
      </c>
      <c r="B137" s="2" t="s">
        <v>48</v>
      </c>
      <c r="C137" s="932" t="s">
        <v>927</v>
      </c>
      <c r="D137" s="573">
        <f ca="1">+$I205*D89</f>
        <v>367611950.94416726</v>
      </c>
      <c r="E137" s="426"/>
      <c r="F137" s="426" t="s">
        <v>29</v>
      </c>
      <c r="G137" s="494"/>
      <c r="H137" s="426"/>
      <c r="I137" s="479">
        <f ca="1">+$I205*I89</f>
        <v>78042346.384617522</v>
      </c>
      <c r="J137" s="426"/>
      <c r="L137" s="426"/>
      <c r="M137" s="427"/>
    </row>
    <row r="138" spans="1:13">
      <c r="A138" s="427"/>
      <c r="B138" s="580"/>
      <c r="C138" s="1"/>
      <c r="D138" s="573"/>
      <c r="E138" s="426"/>
      <c r="F138" s="426"/>
      <c r="G138" s="494"/>
      <c r="H138" s="426"/>
      <c r="I138" s="479"/>
      <c r="J138" s="426"/>
      <c r="K138" s="482"/>
      <c r="L138" s="426"/>
      <c r="M138" s="427"/>
    </row>
    <row r="139" spans="1:13">
      <c r="A139" s="427"/>
      <c r="B139" s="2"/>
      <c r="C139" s="1"/>
      <c r="D139" s="575"/>
      <c r="E139" s="426"/>
      <c r="F139" s="426"/>
      <c r="G139" s="494"/>
      <c r="H139" s="426"/>
      <c r="I139" s="489"/>
      <c r="J139" s="426"/>
      <c r="K139" s="482"/>
      <c r="L139" s="426"/>
      <c r="M139" s="427"/>
    </row>
    <row r="140" spans="1:13" ht="31.2">
      <c r="A140" s="427">
        <f>MAX($A$119:A139)+1</f>
        <v>16</v>
      </c>
      <c r="B140" s="581" t="s">
        <v>369</v>
      </c>
      <c r="C140" s="578" t="s">
        <v>876</v>
      </c>
      <c r="D140" s="576">
        <f ca="1">+D124+D130+D132+D135+D137</f>
        <v>516839757.56859708</v>
      </c>
      <c r="E140" s="426"/>
      <c r="F140" s="426"/>
      <c r="G140" s="426"/>
      <c r="H140" s="426"/>
      <c r="I140" s="495">
        <f ca="1">+I124+I130+I132+I135+I137</f>
        <v>206932288.06928265</v>
      </c>
      <c r="J140" s="421"/>
      <c r="K140" s="421"/>
      <c r="L140" s="421"/>
      <c r="M140" s="421"/>
    </row>
    <row r="141" spans="1:13">
      <c r="A141" s="427"/>
      <c r="B141" s="580"/>
      <c r="C141" s="564"/>
      <c r="D141" s="564"/>
      <c r="E141" s="426"/>
      <c r="F141" s="426"/>
      <c r="G141" s="426"/>
      <c r="H141" s="426"/>
      <c r="I141" s="426"/>
      <c r="J141" s="421"/>
      <c r="K141" s="421"/>
      <c r="L141" s="421"/>
      <c r="M141" s="421"/>
    </row>
    <row r="142" spans="1:13">
      <c r="A142" s="427"/>
      <c r="B142" s="1"/>
      <c r="C142" s="564"/>
      <c r="D142" s="1"/>
      <c r="J142" s="421"/>
      <c r="K142" s="421"/>
      <c r="L142" s="421"/>
      <c r="M142" s="421"/>
    </row>
    <row r="143" spans="1:13">
      <c r="A143" s="427">
        <f>MAX($A$119:A142)+1</f>
        <v>17</v>
      </c>
      <c r="B143" s="578" t="s">
        <v>368</v>
      </c>
      <c r="C143" s="564" t="s">
        <v>966</v>
      </c>
      <c r="D143" s="564">
        <f ca="1">'Attachment 11 - TEC'!M80</f>
        <v>0</v>
      </c>
      <c r="E143" s="426"/>
      <c r="F143" s="426"/>
      <c r="G143" s="426"/>
      <c r="H143" s="426"/>
      <c r="I143" s="426">
        <f ca="1">D143</f>
        <v>0</v>
      </c>
      <c r="J143" s="421"/>
      <c r="K143" s="421"/>
      <c r="L143" s="421"/>
      <c r="M143" s="421"/>
    </row>
    <row r="144" spans="1:13" ht="16.2" thickBot="1">
      <c r="A144" s="427"/>
      <c r="B144" s="578"/>
      <c r="C144" s="564"/>
      <c r="D144" s="564"/>
      <c r="E144" s="426"/>
      <c r="F144" s="426"/>
      <c r="G144" s="426"/>
      <c r="H144" s="426"/>
      <c r="I144" s="426"/>
      <c r="J144" s="421"/>
      <c r="K144" s="421"/>
      <c r="L144" s="421"/>
      <c r="M144" s="421"/>
    </row>
    <row r="145" spans="1:13" ht="16.2" thickBot="1">
      <c r="A145" s="427">
        <f>MAX($A$119:A144)+1</f>
        <v>18</v>
      </c>
      <c r="B145" s="578" t="s">
        <v>487</v>
      </c>
      <c r="C145" s="578" t="s">
        <v>877</v>
      </c>
      <c r="D145" s="577">
        <f ca="1">D140+D143</f>
        <v>516839757.56859708</v>
      </c>
      <c r="E145" s="426"/>
      <c r="F145" s="426"/>
      <c r="G145" s="426"/>
      <c r="H145" s="426"/>
      <c r="I145" s="496">
        <f ca="1">I140+I143</f>
        <v>206932288.06928265</v>
      </c>
      <c r="J145" s="421"/>
      <c r="K145" s="421"/>
      <c r="L145" s="421"/>
      <c r="M145" s="421"/>
    </row>
    <row r="146" spans="1:13" ht="16.2" thickTop="1">
      <c r="A146" s="568"/>
      <c r="B146" s="580"/>
      <c r="C146" s="564"/>
      <c r="D146" s="564"/>
      <c r="E146" s="426"/>
      <c r="F146" s="426"/>
      <c r="G146" s="426"/>
      <c r="H146" s="426"/>
      <c r="I146" s="426"/>
      <c r="J146" s="421"/>
      <c r="K146" s="421"/>
      <c r="L146" s="421"/>
      <c r="M146" s="421"/>
    </row>
    <row r="147" spans="1:13">
      <c r="A147" s="568"/>
      <c r="B147" s="578"/>
      <c r="C147" s="564"/>
      <c r="D147" s="564"/>
      <c r="E147" s="755"/>
      <c r="F147" s="756"/>
      <c r="G147" s="426"/>
      <c r="I147" s="426"/>
      <c r="J147" s="421"/>
      <c r="K147" s="421"/>
      <c r="L147" s="421"/>
      <c r="M147" s="421"/>
    </row>
    <row r="148" spans="1:13">
      <c r="A148" s="568"/>
      <c r="B148" s="578"/>
      <c r="C148" s="564"/>
      <c r="D148" s="564"/>
      <c r="E148" s="755"/>
      <c r="F148" s="426"/>
      <c r="G148" s="426"/>
      <c r="I148" s="426"/>
      <c r="J148" s="421"/>
      <c r="K148" s="421"/>
      <c r="L148" s="421"/>
      <c r="M148" s="421"/>
    </row>
    <row r="149" spans="1:13">
      <c r="A149" s="427"/>
      <c r="B149" s="487"/>
      <c r="C149" s="426"/>
      <c r="D149" s="426"/>
      <c r="E149" s="755"/>
      <c r="F149" s="426"/>
      <c r="G149" s="426"/>
      <c r="I149" s="426"/>
      <c r="J149" s="421"/>
      <c r="K149" s="421"/>
      <c r="L149" s="421"/>
      <c r="M149" s="421"/>
    </row>
    <row r="150" spans="1:13">
      <c r="A150" s="427"/>
      <c r="B150" s="487"/>
      <c r="C150" s="426"/>
      <c r="D150" s="426"/>
      <c r="E150" s="755"/>
      <c r="F150" s="426"/>
      <c r="G150" s="426"/>
      <c r="I150" s="426"/>
      <c r="J150" s="421"/>
      <c r="K150" s="421"/>
      <c r="L150" s="421"/>
      <c r="M150" s="421"/>
    </row>
    <row r="151" spans="1:13">
      <c r="A151" s="427"/>
      <c r="B151" s="487"/>
      <c r="C151" s="426"/>
      <c r="D151" s="426"/>
      <c r="E151" s="755"/>
      <c r="F151" s="426"/>
      <c r="G151" s="426"/>
      <c r="I151" s="426"/>
      <c r="J151" s="421"/>
      <c r="K151" s="421"/>
      <c r="L151" s="421"/>
      <c r="M151" s="421"/>
    </row>
    <row r="152" spans="1:13">
      <c r="A152" s="427"/>
      <c r="B152" s="487"/>
      <c r="C152" s="426"/>
      <c r="D152" s="426"/>
      <c r="E152" s="755"/>
      <c r="F152" s="426"/>
      <c r="G152" s="426"/>
      <c r="I152" s="426"/>
      <c r="J152" s="421"/>
      <c r="K152" s="421"/>
      <c r="L152" s="421"/>
      <c r="M152" s="421"/>
    </row>
    <row r="153" spans="1:13">
      <c r="A153" s="427"/>
      <c r="B153" s="487"/>
      <c r="C153" s="426"/>
      <c r="D153" s="426"/>
      <c r="E153" s="755"/>
      <c r="F153" s="426"/>
      <c r="G153" s="426"/>
      <c r="I153" s="426"/>
      <c r="J153" s="421"/>
      <c r="K153" s="421"/>
      <c r="L153" s="421"/>
      <c r="M153" s="421"/>
    </row>
    <row r="154" spans="1:13">
      <c r="A154" s="427"/>
      <c r="B154" s="487"/>
      <c r="C154" s="426"/>
      <c r="D154" s="426"/>
      <c r="E154" s="755"/>
      <c r="F154" s="426"/>
      <c r="G154" s="426"/>
      <c r="I154" s="426"/>
      <c r="J154" s="421"/>
      <c r="K154" s="421"/>
      <c r="L154" s="421"/>
      <c r="M154" s="421"/>
    </row>
    <row r="155" spans="1:13">
      <c r="A155" s="427"/>
      <c r="B155" s="487"/>
      <c r="C155" s="426"/>
      <c r="D155" s="426"/>
      <c r="E155" s="426"/>
      <c r="F155" s="426"/>
      <c r="G155" s="426"/>
      <c r="H155" s="426"/>
      <c r="I155" s="426"/>
      <c r="J155" s="421"/>
      <c r="K155" s="421"/>
      <c r="L155" s="421"/>
      <c r="M155" s="421"/>
    </row>
    <row r="156" spans="1:13">
      <c r="A156" s="492"/>
      <c r="B156" s="421"/>
      <c r="C156" s="426"/>
      <c r="D156" s="426"/>
      <c r="E156" s="426"/>
      <c r="F156" s="426"/>
      <c r="G156" s="482"/>
      <c r="H156" s="426"/>
      <c r="I156" s="426"/>
      <c r="J156" s="426"/>
      <c r="K156" s="476"/>
      <c r="L156" s="420"/>
    </row>
    <row r="157" spans="1:13">
      <c r="A157" s="492"/>
      <c r="B157" s="421"/>
      <c r="C157" s="426"/>
      <c r="D157" s="426"/>
      <c r="E157" s="426"/>
      <c r="F157" s="426"/>
      <c r="G157" s="482"/>
      <c r="H157" s="426"/>
      <c r="I157" s="426"/>
      <c r="J157" s="426"/>
      <c r="K157" s="476"/>
      <c r="L157" s="420"/>
    </row>
    <row r="158" spans="1:13">
      <c r="B158" s="421"/>
      <c r="C158" s="421"/>
      <c r="D158" s="422"/>
      <c r="E158" s="421"/>
      <c r="F158" s="421"/>
      <c r="G158" s="421"/>
      <c r="H158" s="421"/>
      <c r="I158" s="427"/>
      <c r="J158" s="427"/>
      <c r="K158" s="423"/>
      <c r="L158" s="421"/>
      <c r="M158" s="421"/>
    </row>
    <row r="159" spans="1:13">
      <c r="B159" s="421"/>
      <c r="C159" s="421"/>
      <c r="D159" s="422"/>
      <c r="E159" s="421"/>
      <c r="F159" s="421"/>
      <c r="G159" s="421"/>
      <c r="H159" s="421"/>
      <c r="I159" s="423"/>
      <c r="J159" s="423"/>
      <c r="K159" s="423"/>
      <c r="L159" s="421"/>
      <c r="M159" s="421"/>
    </row>
    <row r="160" spans="1:13">
      <c r="A160" s="1"/>
      <c r="B160" s="421"/>
      <c r="C160" s="421"/>
      <c r="D160" s="422"/>
      <c r="E160" s="421"/>
      <c r="F160" s="421"/>
      <c r="G160" s="421"/>
      <c r="H160" s="421"/>
      <c r="I160" s="423"/>
      <c r="J160" s="423"/>
      <c r="K160" s="16"/>
      <c r="L160" s="421"/>
      <c r="M160" s="421"/>
    </row>
    <row r="161" spans="1:13" ht="16.5" customHeight="1">
      <c r="B161" s="421"/>
      <c r="C161" s="421"/>
      <c r="D161" s="422"/>
      <c r="E161" s="421"/>
      <c r="F161" s="421"/>
      <c r="G161" s="421"/>
      <c r="H161" s="421"/>
      <c r="I161" s="421"/>
      <c r="K161" s="423" t="str">
        <f>K109</f>
        <v>Attachment  H-4A</v>
      </c>
      <c r="L161" s="421"/>
      <c r="M161" s="421"/>
    </row>
    <row r="162" spans="1:13" ht="16.5" customHeight="1">
      <c r="B162" s="421"/>
      <c r="C162" s="421"/>
      <c r="D162" s="422"/>
      <c r="E162" s="421"/>
      <c r="F162" s="421"/>
      <c r="G162" s="421"/>
      <c r="H162" s="421"/>
      <c r="I162" s="421"/>
      <c r="J162" s="421"/>
      <c r="K162" s="423" t="s">
        <v>101</v>
      </c>
      <c r="L162" s="421"/>
      <c r="M162" s="421"/>
    </row>
    <row r="163" spans="1:13" ht="16.5" customHeight="1">
      <c r="B163" s="421"/>
      <c r="C163" s="421"/>
      <c r="D163" s="422"/>
      <c r="E163" s="421"/>
      <c r="F163" s="421"/>
      <c r="G163" s="421"/>
      <c r="H163" s="421"/>
      <c r="I163" s="421"/>
      <c r="J163" s="421"/>
      <c r="K163" s="423"/>
      <c r="L163" s="421"/>
      <c r="M163" s="421"/>
    </row>
    <row r="164" spans="1:13">
      <c r="B164" s="421" t="s">
        <v>1</v>
      </c>
      <c r="C164" s="421"/>
      <c r="D164" s="422" t="s">
        <v>2</v>
      </c>
      <c r="E164" s="421"/>
      <c r="F164" s="421"/>
      <c r="G164" s="421"/>
      <c r="H164" s="421"/>
      <c r="I164" s="421"/>
      <c r="J164" s="421"/>
      <c r="K164" s="423" t="str">
        <f>K4</f>
        <v>For the 12 months ended 12/31/2022</v>
      </c>
      <c r="L164" s="421"/>
      <c r="M164" s="421"/>
    </row>
    <row r="165" spans="1:13">
      <c r="B165" s="421"/>
      <c r="C165" s="426" t="s">
        <v>3</v>
      </c>
      <c r="D165" s="426" t="s">
        <v>4</v>
      </c>
      <c r="E165" s="426"/>
      <c r="F165" s="426"/>
      <c r="G165" s="426"/>
      <c r="H165" s="421"/>
      <c r="I165" s="421"/>
      <c r="J165" s="421"/>
      <c r="K165" s="421"/>
      <c r="L165" s="421"/>
      <c r="M165" s="421"/>
    </row>
    <row r="166" spans="1:13" ht="9.75" customHeight="1">
      <c r="A166" s="427"/>
      <c r="J166" s="426"/>
      <c r="K166" s="426"/>
      <c r="L166" s="426"/>
      <c r="M166" s="426"/>
    </row>
    <row r="167" spans="1:13">
      <c r="A167" s="427"/>
      <c r="D167" s="420" t="str">
        <f>D7</f>
        <v>Jersey Central Power &amp; Light</v>
      </c>
      <c r="J167" s="426"/>
      <c r="K167" s="426"/>
      <c r="L167" s="426"/>
      <c r="M167" s="426"/>
    </row>
    <row r="168" spans="1:13">
      <c r="A168" s="427"/>
      <c r="C168" s="477" t="s">
        <v>49</v>
      </c>
      <c r="E168" s="421"/>
      <c r="F168" s="421"/>
      <c r="G168" s="421"/>
      <c r="H168" s="421"/>
      <c r="I168" s="421"/>
      <c r="J168" s="426"/>
      <c r="K168" s="426"/>
      <c r="L168" s="421"/>
      <c r="M168" s="426"/>
    </row>
    <row r="169" spans="1:13">
      <c r="A169" s="427" t="s">
        <v>5</v>
      </c>
      <c r="B169" s="427" t="s">
        <v>16</v>
      </c>
      <c r="C169" s="427" t="s">
        <v>17</v>
      </c>
      <c r="D169" s="427" t="s">
        <v>18</v>
      </c>
      <c r="E169" s="430" t="s">
        <v>19</v>
      </c>
      <c r="F169" s="426"/>
      <c r="G169" s="430" t="s">
        <v>20</v>
      </c>
      <c r="H169" s="426"/>
      <c r="I169" s="430" t="s">
        <v>21</v>
      </c>
      <c r="J169" s="426"/>
      <c r="L169" s="421"/>
      <c r="M169" s="426"/>
    </row>
    <row r="170" spans="1:13" ht="16.2" thickBot="1">
      <c r="A170" s="431" t="s">
        <v>7</v>
      </c>
      <c r="B170" s="421" t="s">
        <v>50</v>
      </c>
      <c r="C170" s="421"/>
      <c r="D170" s="421"/>
      <c r="E170" s="421"/>
      <c r="F170" s="421"/>
      <c r="G170" s="421"/>
      <c r="J170" s="426"/>
      <c r="K170" s="426"/>
      <c r="L170" s="421"/>
      <c r="M170" s="426"/>
    </row>
    <row r="171" spans="1:13">
      <c r="A171" s="427">
        <v>1</v>
      </c>
      <c r="B171" s="421" t="s">
        <v>108</v>
      </c>
      <c r="C171" s="421"/>
      <c r="D171" s="426"/>
      <c r="E171" s="426"/>
      <c r="F171" s="426"/>
      <c r="G171" s="426"/>
      <c r="H171" s="426"/>
      <c r="I171" s="439">
        <f>D54</f>
        <v>1837954138.8076925</v>
      </c>
      <c r="J171" s="426"/>
      <c r="K171" s="426"/>
      <c r="L171" s="421"/>
      <c r="M171" s="426"/>
    </row>
    <row r="172" spans="1:13">
      <c r="A172" s="427">
        <v>2</v>
      </c>
      <c r="B172" s="2" t="s">
        <v>951</v>
      </c>
      <c r="I172" s="440">
        <v>0</v>
      </c>
      <c r="J172" s="426"/>
      <c r="K172" s="426"/>
      <c r="L172" s="426"/>
      <c r="M172" s="426"/>
    </row>
    <row r="173" spans="1:13" ht="16.2" thickBot="1">
      <c r="A173" s="427">
        <v>3</v>
      </c>
      <c r="B173" s="933" t="s">
        <v>952</v>
      </c>
      <c r="C173" s="514"/>
      <c r="D173" s="426"/>
      <c r="E173" s="426"/>
      <c r="F173" s="426"/>
      <c r="G173" s="491"/>
      <c r="H173" s="426"/>
      <c r="I173" s="929">
        <v>0</v>
      </c>
      <c r="J173" s="888"/>
      <c r="K173" s="888"/>
      <c r="L173" s="426"/>
      <c r="M173" s="426"/>
    </row>
    <row r="174" spans="1:13">
      <c r="A174" s="427">
        <v>4</v>
      </c>
      <c r="B174" s="421" t="s">
        <v>51</v>
      </c>
      <c r="C174" s="421"/>
      <c r="D174" s="426"/>
      <c r="E174" s="426"/>
      <c r="F174" s="426"/>
      <c r="G174" s="491"/>
      <c r="H174" s="426"/>
      <c r="I174" s="439">
        <f>I171-I172-I173</f>
        <v>1837954138.8076925</v>
      </c>
      <c r="J174" s="426"/>
      <c r="K174" s="426"/>
      <c r="L174" s="421"/>
      <c r="M174" s="426"/>
    </row>
    <row r="175" spans="1:13">
      <c r="A175" s="427">
        <v>5</v>
      </c>
      <c r="B175" s="421" t="s">
        <v>110</v>
      </c>
      <c r="C175" s="428"/>
      <c r="D175" s="428"/>
      <c r="E175" s="428"/>
      <c r="F175" s="428"/>
      <c r="G175" s="430"/>
      <c r="H175" s="426" t="s">
        <v>52</v>
      </c>
      <c r="I175" s="498">
        <f>IF(I171&gt;0,I174/I171,0)</f>
        <v>1</v>
      </c>
      <c r="J175" s="426"/>
      <c r="K175" s="426"/>
      <c r="L175" s="421"/>
      <c r="M175" s="426"/>
    </row>
    <row r="176" spans="1:13" ht="7.95" customHeight="1">
      <c r="A176" s="427"/>
      <c r="B176" s="421"/>
      <c r="C176" s="428"/>
      <c r="D176" s="428"/>
      <c r="E176" s="428"/>
      <c r="F176" s="428"/>
      <c r="G176" s="430"/>
      <c r="H176" s="426"/>
      <c r="I176" s="498"/>
      <c r="J176" s="426"/>
      <c r="K176" s="426"/>
      <c r="L176" s="421"/>
      <c r="M176" s="426"/>
    </row>
    <row r="177" spans="1:13">
      <c r="A177" s="568"/>
      <c r="B177" s="2" t="s">
        <v>918</v>
      </c>
      <c r="C177" s="1"/>
      <c r="D177" s="1"/>
      <c r="E177" s="1"/>
      <c r="F177" s="1"/>
      <c r="G177" s="1"/>
      <c r="H177" s="1"/>
      <c r="I177" s="1"/>
      <c r="J177" s="426"/>
      <c r="K177" s="426"/>
      <c r="L177" s="421"/>
      <c r="M177" s="426"/>
    </row>
    <row r="178" spans="1:13" ht="6" customHeight="1">
      <c r="A178" s="568"/>
      <c r="B178" s="1"/>
      <c r="C178" s="1"/>
      <c r="D178" s="1"/>
      <c r="E178" s="1"/>
      <c r="F178" s="1"/>
      <c r="G178" s="1"/>
      <c r="H178" s="1"/>
      <c r="I178" s="1"/>
      <c r="J178" s="426"/>
      <c r="K178" s="426"/>
      <c r="L178" s="421"/>
      <c r="M178" s="426"/>
    </row>
    <row r="179" spans="1:13">
      <c r="A179" s="568">
        <v>6</v>
      </c>
      <c r="B179" s="1" t="s">
        <v>996</v>
      </c>
      <c r="C179" s="1"/>
      <c r="D179" s="2"/>
      <c r="E179" s="2"/>
      <c r="F179" s="2"/>
      <c r="G179" s="568"/>
      <c r="H179" s="2"/>
      <c r="I179" s="562">
        <f>'Attachment 20 - OpEx'!I32</f>
        <v>66492200</v>
      </c>
      <c r="J179" s="426"/>
      <c r="K179" s="426"/>
      <c r="L179" s="421"/>
      <c r="M179" s="426"/>
    </row>
    <row r="180" spans="1:13" ht="16.2" thickBot="1">
      <c r="A180" s="568">
        <v>7</v>
      </c>
      <c r="B180" s="934" t="s">
        <v>924</v>
      </c>
      <c r="C180" s="934"/>
      <c r="D180" s="564"/>
      <c r="E180" s="564"/>
      <c r="F180" s="564"/>
      <c r="G180" s="564"/>
      <c r="H180" s="564"/>
      <c r="I180" s="929">
        <v>1824946</v>
      </c>
      <c r="J180" s="426"/>
      <c r="K180" s="426"/>
      <c r="L180" s="421"/>
      <c r="M180" s="426"/>
    </row>
    <row r="181" spans="1:13">
      <c r="A181" s="568">
        <v>8</v>
      </c>
      <c r="B181" s="2" t="s">
        <v>919</v>
      </c>
      <c r="C181" s="935"/>
      <c r="D181" s="935"/>
      <c r="E181" s="935"/>
      <c r="F181" s="935"/>
      <c r="G181" s="936"/>
      <c r="H181" s="935"/>
      <c r="I181" s="562">
        <f>SUM(I179-I180)</f>
        <v>64667254</v>
      </c>
      <c r="J181" s="426"/>
      <c r="K181" s="426"/>
      <c r="L181" s="421"/>
      <c r="M181" s="426"/>
    </row>
    <row r="182" spans="1:13">
      <c r="A182" s="568">
        <v>9</v>
      </c>
      <c r="B182" s="2" t="s">
        <v>920</v>
      </c>
      <c r="C182" s="2"/>
      <c r="D182" s="937"/>
      <c r="E182" s="564"/>
      <c r="F182" s="564"/>
      <c r="G182" s="564"/>
      <c r="H182" s="564"/>
      <c r="I182" s="567">
        <f>IF(I179&gt;0,I181/I179,0)</f>
        <v>0.97255398377554059</v>
      </c>
      <c r="J182" s="426"/>
      <c r="K182" s="426"/>
      <c r="L182" s="421"/>
      <c r="M182" s="426"/>
    </row>
    <row r="183" spans="1:13">
      <c r="A183" s="568">
        <v>10</v>
      </c>
      <c r="B183" s="2" t="s">
        <v>921</v>
      </c>
      <c r="C183" s="2"/>
      <c r="D183" s="937"/>
      <c r="E183" s="564"/>
      <c r="F183" s="564"/>
      <c r="G183" s="564"/>
      <c r="H183" s="2" t="s">
        <v>11</v>
      </c>
      <c r="I183" s="567">
        <f>I175</f>
        <v>1</v>
      </c>
      <c r="J183" s="426"/>
      <c r="K183" s="426"/>
      <c r="L183" s="421"/>
      <c r="M183" s="426"/>
    </row>
    <row r="184" spans="1:13">
      <c r="A184" s="568">
        <v>11</v>
      </c>
      <c r="B184" s="2" t="s">
        <v>922</v>
      </c>
      <c r="C184" s="2"/>
      <c r="D184" s="937"/>
      <c r="E184" s="2"/>
      <c r="F184" s="2"/>
      <c r="G184" s="2"/>
      <c r="H184" s="2" t="s">
        <v>923</v>
      </c>
      <c r="I184" s="946">
        <f>+I183*I182</f>
        <v>0.97255398377554059</v>
      </c>
      <c r="J184" s="426"/>
      <c r="K184" s="426"/>
      <c r="L184" s="421"/>
      <c r="M184" s="426"/>
    </row>
    <row r="185" spans="1:13" ht="9.75" customHeight="1">
      <c r="A185" s="427"/>
      <c r="C185" s="421"/>
      <c r="D185" s="588"/>
      <c r="E185" s="426"/>
      <c r="F185" s="426"/>
      <c r="G185" s="491"/>
      <c r="H185" s="426"/>
      <c r="L185" s="426"/>
      <c r="M185" s="426"/>
    </row>
    <row r="186" spans="1:13">
      <c r="A186" s="427" t="s">
        <v>3</v>
      </c>
      <c r="B186" s="421" t="s">
        <v>53</v>
      </c>
      <c r="C186" s="426"/>
      <c r="D186" s="426"/>
      <c r="E186" s="426"/>
      <c r="F186" s="426"/>
      <c r="G186" s="426"/>
      <c r="H186" s="426"/>
      <c r="I186" s="426"/>
      <c r="J186" s="426"/>
      <c r="K186" s="426"/>
      <c r="L186" s="426"/>
      <c r="M186" s="426"/>
    </row>
    <row r="187" spans="1:13" ht="16.2" thickBot="1">
      <c r="A187" s="427" t="s">
        <v>3</v>
      </c>
      <c r="B187" s="421"/>
      <c r="C187" s="499" t="s">
        <v>54</v>
      </c>
      <c r="D187" s="450" t="s">
        <v>55</v>
      </c>
      <c r="E187" s="450" t="s">
        <v>11</v>
      </c>
      <c r="F187" s="426"/>
      <c r="G187" s="450" t="s">
        <v>56</v>
      </c>
      <c r="H187" s="426"/>
      <c r="I187" s="426"/>
      <c r="J187" s="426"/>
      <c r="K187" s="426"/>
      <c r="L187" s="426"/>
      <c r="M187" s="426"/>
    </row>
    <row r="188" spans="1:13">
      <c r="A188" s="427">
        <v>12</v>
      </c>
      <c r="B188" s="421" t="s">
        <v>28</v>
      </c>
      <c r="C188" s="426" t="s">
        <v>97</v>
      </c>
      <c r="D188" s="440">
        <v>0</v>
      </c>
      <c r="E188" s="500">
        <v>0</v>
      </c>
      <c r="F188" s="500"/>
      <c r="G188" s="479">
        <f>D188*E188</f>
        <v>0</v>
      </c>
      <c r="H188" s="426"/>
      <c r="I188" s="426"/>
      <c r="J188" s="426"/>
      <c r="K188" s="426"/>
      <c r="L188" s="426"/>
      <c r="M188" s="426"/>
    </row>
    <row r="189" spans="1:13">
      <c r="A189" s="427">
        <v>13</v>
      </c>
      <c r="B189" s="421" t="s">
        <v>30</v>
      </c>
      <c r="C189" s="426" t="s">
        <v>98</v>
      </c>
      <c r="D189" s="440">
        <v>6843454</v>
      </c>
      <c r="E189" s="500">
        <f>+I175</f>
        <v>1</v>
      </c>
      <c r="F189" s="500"/>
      <c r="G189" s="479">
        <f>D189*E189</f>
        <v>6843454</v>
      </c>
      <c r="H189" s="426"/>
      <c r="I189" s="426"/>
      <c r="J189" s="426"/>
      <c r="K189" s="426"/>
      <c r="L189" s="426"/>
      <c r="M189" s="426"/>
    </row>
    <row r="190" spans="1:13">
      <c r="A190" s="427">
        <v>14</v>
      </c>
      <c r="B190" s="421" t="s">
        <v>31</v>
      </c>
      <c r="C190" s="426" t="s">
        <v>99</v>
      </c>
      <c r="D190" s="440">
        <v>56959157</v>
      </c>
      <c r="E190" s="500">
        <v>0</v>
      </c>
      <c r="F190" s="500"/>
      <c r="G190" s="479">
        <f>D190*E190</f>
        <v>0</v>
      </c>
      <c r="H190" s="426"/>
      <c r="I190" s="491" t="s">
        <v>57</v>
      </c>
      <c r="J190" s="426"/>
      <c r="K190" s="426"/>
      <c r="L190" s="426"/>
      <c r="M190" s="426"/>
    </row>
    <row r="191" spans="1:13" ht="16.2" thickBot="1">
      <c r="A191" s="427">
        <v>15</v>
      </c>
      <c r="B191" s="421" t="s">
        <v>58</v>
      </c>
      <c r="C191" s="564" t="s">
        <v>561</v>
      </c>
      <c r="D191" s="497">
        <v>17157705</v>
      </c>
      <c r="E191" s="500">
        <v>0</v>
      </c>
      <c r="F191" s="500"/>
      <c r="G191" s="481">
        <f>D191*E191</f>
        <v>0</v>
      </c>
      <c r="H191" s="426"/>
      <c r="I191" s="431" t="s">
        <v>59</v>
      </c>
      <c r="J191" s="426"/>
      <c r="K191" s="426"/>
      <c r="L191" s="426"/>
      <c r="M191" s="426"/>
    </row>
    <row r="192" spans="1:13">
      <c r="A192" s="427">
        <v>16</v>
      </c>
      <c r="B192" s="2" t="s">
        <v>925</v>
      </c>
      <c r="C192" s="426"/>
      <c r="D192" s="439">
        <f>SUM(D188:D191)</f>
        <v>80960316</v>
      </c>
      <c r="E192" s="426"/>
      <c r="F192" s="426"/>
      <c r="G192" s="479">
        <f>SUM(G188:G191)</f>
        <v>6843454</v>
      </c>
      <c r="H192" s="427" t="s">
        <v>60</v>
      </c>
      <c r="I192" s="478">
        <f>IF(G192&gt;0,G192/D192,1)</f>
        <v>8.452849912295303E-2</v>
      </c>
      <c r="J192" s="501" t="s">
        <v>109</v>
      </c>
      <c r="K192" s="426"/>
      <c r="L192" s="426"/>
      <c r="M192" s="426"/>
    </row>
    <row r="193" spans="1:18" ht="14.55" customHeight="1">
      <c r="A193" s="427"/>
      <c r="B193" s="421"/>
      <c r="C193" s="426"/>
      <c r="D193" s="564"/>
      <c r="E193" s="426"/>
      <c r="F193" s="426"/>
      <c r="G193" s="426"/>
      <c r="H193" s="426"/>
      <c r="I193" s="965"/>
      <c r="J193" s="426"/>
      <c r="K193" s="426"/>
      <c r="L193" s="426"/>
      <c r="M193" s="426"/>
    </row>
    <row r="194" spans="1:18">
      <c r="A194" s="427"/>
      <c r="B194" s="421"/>
      <c r="C194" s="426"/>
      <c r="E194" s="426"/>
      <c r="F194" s="426"/>
      <c r="G194" s="426"/>
      <c r="H194" s="426"/>
      <c r="I194" s="426"/>
      <c r="J194" s="426"/>
      <c r="K194" s="426"/>
      <c r="L194" s="426"/>
      <c r="M194" s="981"/>
      <c r="N194" s="981"/>
      <c r="O194" s="981"/>
      <c r="P194" s="981"/>
      <c r="Q194" s="981"/>
      <c r="R194" s="981"/>
    </row>
    <row r="195" spans="1:18" ht="16.2" thickBot="1">
      <c r="A195" s="427"/>
      <c r="B195" s="421" t="s">
        <v>61</v>
      </c>
      <c r="C195" s="426"/>
      <c r="D195" s="426"/>
      <c r="E195" s="426"/>
      <c r="F195" s="426"/>
      <c r="G195" s="426"/>
      <c r="H195" s="426"/>
      <c r="I195" s="450" t="s">
        <v>55</v>
      </c>
      <c r="J195" s="426"/>
      <c r="K195" s="426"/>
      <c r="L195" s="426"/>
      <c r="M195" s="502"/>
      <c r="N195" s="502"/>
      <c r="O195" s="503"/>
      <c r="P195" s="504"/>
      <c r="Q195" s="502"/>
      <c r="R195" s="502"/>
    </row>
    <row r="196" spans="1:18">
      <c r="A196" s="427"/>
      <c r="B196" s="421"/>
      <c r="C196" s="426"/>
      <c r="D196" s="426"/>
      <c r="E196" s="426"/>
      <c r="F196" s="426"/>
      <c r="G196" s="426"/>
      <c r="H196" s="426"/>
      <c r="I196" s="439"/>
      <c r="J196" s="426"/>
      <c r="K196" s="426"/>
      <c r="L196" s="426"/>
      <c r="M196" s="503"/>
      <c r="N196" s="503"/>
      <c r="O196" s="503"/>
      <c r="P196" s="504"/>
      <c r="Q196" s="502"/>
      <c r="R196" s="502"/>
    </row>
    <row r="197" spans="1:18">
      <c r="A197" s="427">
        <v>17</v>
      </c>
      <c r="B197" s="426" t="s">
        <v>111</v>
      </c>
      <c r="D197" s="426"/>
      <c r="E197" s="426"/>
      <c r="F197" s="426"/>
      <c r="G197" s="426"/>
      <c r="H197" s="426"/>
      <c r="I197" s="440">
        <v>0</v>
      </c>
      <c r="J197" s="426"/>
      <c r="K197" s="426"/>
      <c r="L197" s="426"/>
      <c r="M197" s="503"/>
      <c r="N197" s="502"/>
      <c r="O197" s="505"/>
      <c r="P197" s="505"/>
      <c r="Q197" s="502"/>
      <c r="R197" s="502"/>
    </row>
    <row r="198" spans="1:18">
      <c r="A198" s="427"/>
      <c r="B198" s="421"/>
      <c r="C198" s="426"/>
      <c r="D198" s="426"/>
      <c r="E198" s="426"/>
      <c r="F198" s="426"/>
      <c r="G198" s="426"/>
      <c r="H198" s="426"/>
      <c r="I198" s="479"/>
      <c r="J198" s="426"/>
      <c r="K198" s="426"/>
      <c r="L198" s="426"/>
      <c r="M198" s="503"/>
      <c r="N198" s="502"/>
      <c r="O198" s="502"/>
      <c r="P198" s="502"/>
      <c r="Q198" s="502"/>
      <c r="R198" s="502"/>
    </row>
    <row r="199" spans="1:18">
      <c r="A199" s="427"/>
      <c r="B199" s="421"/>
      <c r="C199" s="426"/>
      <c r="D199" s="421"/>
      <c r="E199" s="421"/>
      <c r="F199" s="421"/>
      <c r="G199" s="421"/>
      <c r="H199" s="421"/>
      <c r="I199" s="488"/>
      <c r="J199" s="426"/>
      <c r="K199" s="426"/>
      <c r="L199" s="426"/>
      <c r="M199" s="503"/>
      <c r="N199" s="502"/>
      <c r="O199" s="503"/>
      <c r="P199" s="504"/>
      <c r="Q199" s="502"/>
      <c r="R199" s="502"/>
    </row>
    <row r="200" spans="1:18">
      <c r="A200" s="427"/>
      <c r="B200" s="421"/>
      <c r="C200" s="426"/>
      <c r="D200" s="426"/>
      <c r="E200" s="491"/>
      <c r="F200" s="426"/>
      <c r="G200" s="491" t="s">
        <v>63</v>
      </c>
      <c r="H200" s="426"/>
      <c r="I200" s="426"/>
      <c r="J200" s="426"/>
      <c r="K200" s="426"/>
      <c r="L200" s="426"/>
      <c r="M200" s="503"/>
      <c r="N200" s="502"/>
      <c r="O200" s="503"/>
      <c r="P200" s="504"/>
      <c r="Q200" s="502"/>
      <c r="R200" s="502"/>
    </row>
    <row r="201" spans="1:18" ht="16.2" thickBot="1">
      <c r="A201" s="427"/>
      <c r="B201" s="421"/>
      <c r="C201" s="426"/>
      <c r="D201" s="431" t="s">
        <v>55</v>
      </c>
      <c r="E201" s="431" t="s">
        <v>64</v>
      </c>
      <c r="F201" s="426"/>
      <c r="G201" s="938" t="s">
        <v>804</v>
      </c>
      <c r="H201" s="426"/>
      <c r="I201" s="431" t="s">
        <v>65</v>
      </c>
      <c r="J201" s="426"/>
      <c r="K201" s="426"/>
      <c r="L201" s="426"/>
      <c r="M201" s="426"/>
      <c r="N201" s="504"/>
    </row>
    <row r="202" spans="1:18">
      <c r="A202" s="427">
        <v>18</v>
      </c>
      <c r="B202" s="2" t="s">
        <v>974</v>
      </c>
      <c r="D202" s="439">
        <f>'Attachment 8 - Cap Structure'!K23</f>
        <v>2150000000</v>
      </c>
      <c r="E202" s="506">
        <f>IF($D$205&gt;0,D202/$D$205,0)</f>
        <v>0.50016889583770963</v>
      </c>
      <c r="F202" s="507"/>
      <c r="G202" s="507">
        <f>'Attachment 10 - Debt Cost'!W25</f>
        <v>4.58E-2</v>
      </c>
      <c r="I202" s="507">
        <f>G202*E202</f>
        <v>2.2907735429367099E-2</v>
      </c>
      <c r="J202" s="501" t="s">
        <v>66</v>
      </c>
      <c r="K202" s="527"/>
      <c r="L202" s="420"/>
      <c r="M202" s="426"/>
    </row>
    <row r="203" spans="1:18">
      <c r="A203" s="427">
        <v>19</v>
      </c>
      <c r="B203" s="2" t="s">
        <v>975</v>
      </c>
      <c r="D203" s="439">
        <f>'Attachment 8 - Cap Structure'!F23</f>
        <v>0</v>
      </c>
      <c r="E203" s="506">
        <f>IF($D$205&gt;0,D203/$D$205,0)</f>
        <v>0</v>
      </c>
      <c r="F203" s="507"/>
      <c r="G203" s="507">
        <f>IF(D203&gt;0,I197/D203,0)</f>
        <v>0</v>
      </c>
      <c r="I203" s="507">
        <f>G203*E203</f>
        <v>0</v>
      </c>
      <c r="J203" s="426"/>
      <c r="L203" s="426"/>
      <c r="M203" s="426"/>
    </row>
    <row r="204" spans="1:18" ht="16.2" thickBot="1">
      <c r="A204" s="427">
        <v>20</v>
      </c>
      <c r="B204" s="2" t="s">
        <v>976</v>
      </c>
      <c r="D204" s="481">
        <f>'Attachment 8 - Cap Structure'!J23</f>
        <v>2148547986.2738466</v>
      </c>
      <c r="E204" s="506">
        <f>IF($D$205&gt;0,D204/$D$205,0)</f>
        <v>0.49983110416229037</v>
      </c>
      <c r="F204" s="507"/>
      <c r="G204" s="890">
        <v>0.10199999999999999</v>
      </c>
      <c r="I204" s="508">
        <f>G204*E204</f>
        <v>5.0982772624553613E-2</v>
      </c>
      <c r="J204" s="426"/>
      <c r="L204" s="426"/>
      <c r="M204" s="426"/>
    </row>
    <row r="205" spans="1:18">
      <c r="A205" s="427">
        <v>21</v>
      </c>
      <c r="B205" s="2" t="s">
        <v>926</v>
      </c>
      <c r="D205" s="439">
        <f>SUM(D202:D204)</f>
        <v>4298547986.2738466</v>
      </c>
      <c r="E205" s="426" t="s">
        <v>3</v>
      </c>
      <c r="F205" s="426"/>
      <c r="G205" s="509"/>
      <c r="H205" s="426"/>
      <c r="I205" s="507">
        <f>SUM(I202:I204)</f>
        <v>7.3890508053920709E-2</v>
      </c>
      <c r="J205" s="889" t="s">
        <v>722</v>
      </c>
      <c r="L205" s="426"/>
      <c r="M205" s="426"/>
    </row>
    <row r="206" spans="1:18" ht="9.75" customHeight="1">
      <c r="A206" s="427"/>
      <c r="K206" s="426"/>
      <c r="L206" s="426"/>
      <c r="M206" s="426"/>
    </row>
    <row r="207" spans="1:18">
      <c r="A207" s="427"/>
      <c r="B207" s="421" t="s">
        <v>67</v>
      </c>
      <c r="C207" s="421"/>
      <c r="D207" s="421"/>
      <c r="E207" s="421"/>
      <c r="F207" s="421"/>
      <c r="G207" s="421"/>
      <c r="H207" s="421"/>
      <c r="I207" s="421"/>
      <c r="J207" s="421"/>
      <c r="K207" s="421"/>
      <c r="L207" s="491"/>
      <c r="M207" s="426"/>
    </row>
    <row r="208" spans="1:18">
      <c r="A208" s="427"/>
      <c r="B208" s="421" t="s">
        <v>68</v>
      </c>
      <c r="C208" s="421"/>
      <c r="D208" s="421" t="s">
        <v>69</v>
      </c>
      <c r="E208" s="2" t="s">
        <v>953</v>
      </c>
      <c r="F208" s="421"/>
      <c r="G208" s="421" t="s">
        <v>3</v>
      </c>
      <c r="I208" s="510"/>
      <c r="J208" s="510"/>
      <c r="L208" s="420"/>
      <c r="M208" s="426"/>
    </row>
    <row r="209" spans="1:13">
      <c r="A209" s="427">
        <v>22</v>
      </c>
      <c r="B209" s="420" t="s">
        <v>214</v>
      </c>
      <c r="C209" s="421"/>
      <c r="D209" s="421"/>
      <c r="F209" s="421"/>
      <c r="I209" s="511">
        <v>0</v>
      </c>
      <c r="J209" s="512"/>
      <c r="L209" s="426"/>
      <c r="M209" s="426"/>
    </row>
    <row r="210" spans="1:13" ht="16.2" thickBot="1">
      <c r="A210" s="427">
        <v>23</v>
      </c>
      <c r="B210" s="513" t="s">
        <v>215</v>
      </c>
      <c r="C210" s="514"/>
      <c r="E210" s="421"/>
      <c r="F210" s="421"/>
      <c r="G210" s="421"/>
      <c r="H210" s="421"/>
      <c r="I210" s="515">
        <v>0</v>
      </c>
      <c r="J210" s="516"/>
      <c r="L210" s="426"/>
      <c r="M210" s="426"/>
    </row>
    <row r="211" spans="1:13">
      <c r="A211" s="427">
        <v>24</v>
      </c>
      <c r="B211" s="420" t="s">
        <v>70</v>
      </c>
      <c r="C211" s="421"/>
      <c r="E211" s="421"/>
      <c r="F211" s="421"/>
      <c r="G211" s="421"/>
      <c r="H211" s="421"/>
      <c r="I211" s="517">
        <f>+I209-I210</f>
        <v>0</v>
      </c>
      <c r="J211" s="512"/>
      <c r="L211" s="420"/>
      <c r="M211" s="426"/>
    </row>
    <row r="212" spans="1:13">
      <c r="A212" s="427"/>
      <c r="B212" s="420" t="s">
        <v>3</v>
      </c>
      <c r="C212" s="421"/>
      <c r="E212" s="421"/>
      <c r="F212" s="421"/>
      <c r="G212" s="456"/>
      <c r="H212" s="421"/>
      <c r="I212" s="517"/>
      <c r="J212" s="510"/>
      <c r="K212" s="518"/>
      <c r="L212" s="491"/>
      <c r="M212" s="426"/>
    </row>
    <row r="213" spans="1:13">
      <c r="B213" s="421"/>
      <c r="C213" s="421"/>
      <c r="D213" s="426"/>
      <c r="E213" s="426"/>
      <c r="F213" s="426"/>
      <c r="G213" s="426"/>
      <c r="H213" s="426"/>
      <c r="J213" s="589"/>
      <c r="K213" s="589"/>
      <c r="L213" s="491"/>
      <c r="M213" s="421"/>
    </row>
    <row r="214" spans="1:13">
      <c r="A214" s="427"/>
      <c r="B214" s="421"/>
      <c r="C214" s="421"/>
      <c r="D214" s="421"/>
      <c r="E214" s="421"/>
      <c r="F214" s="421"/>
      <c r="G214" s="421"/>
      <c r="H214" s="421"/>
      <c r="I214" s="520"/>
      <c r="J214" s="589"/>
      <c r="K214" s="589"/>
      <c r="L214" s="491"/>
      <c r="M214" s="421"/>
    </row>
    <row r="215" spans="1:13">
      <c r="A215" s="427"/>
      <c r="C215" s="427"/>
      <c r="D215" s="426"/>
      <c r="E215" s="426"/>
      <c r="F215" s="426"/>
      <c r="G215" s="426"/>
      <c r="H215" s="421"/>
      <c r="I215" s="521"/>
      <c r="J215" s="589"/>
      <c r="K215" s="589"/>
      <c r="L215" s="427"/>
      <c r="M215" s="421"/>
    </row>
    <row r="216" spans="1:13">
      <c r="A216" s="427"/>
      <c r="C216" s="427"/>
      <c r="D216" s="426"/>
      <c r="E216" s="426"/>
      <c r="F216" s="426"/>
      <c r="G216" s="426"/>
      <c r="H216" s="421"/>
      <c r="I216" s="521"/>
      <c r="J216" s="589"/>
      <c r="K216" s="589"/>
      <c r="L216" s="427"/>
      <c r="M216" s="421"/>
    </row>
    <row r="217" spans="1:13">
      <c r="A217" s="427"/>
      <c r="C217" s="427"/>
      <c r="D217" s="426"/>
      <c r="E217" s="426"/>
      <c r="F217" s="426"/>
      <c r="G217" s="426"/>
      <c r="H217" s="421"/>
      <c r="I217" s="521"/>
      <c r="J217" s="519"/>
      <c r="K217" s="521"/>
      <c r="L217" s="427"/>
      <c r="M217" s="421"/>
    </row>
    <row r="218" spans="1:13">
      <c r="A218" s="427"/>
      <c r="C218" s="427"/>
      <c r="D218" s="426"/>
      <c r="E218" s="426"/>
      <c r="F218" s="426"/>
      <c r="G218" s="426"/>
      <c r="H218" s="421"/>
      <c r="I218" s="521"/>
      <c r="J218" s="519"/>
      <c r="K218" s="521"/>
      <c r="L218" s="427"/>
      <c r="M218" s="421"/>
    </row>
    <row r="219" spans="1:13">
      <c r="A219" s="427"/>
      <c r="C219" s="427"/>
      <c r="D219" s="426"/>
      <c r="E219" s="426"/>
      <c r="F219" s="426"/>
      <c r="G219" s="426"/>
      <c r="H219" s="421"/>
      <c r="I219" s="521"/>
      <c r="J219" s="519"/>
      <c r="K219" s="521"/>
      <c r="L219" s="427"/>
      <c r="M219" s="421"/>
    </row>
    <row r="220" spans="1:13">
      <c r="A220" s="492"/>
      <c r="B220" s="421"/>
      <c r="C220" s="426"/>
      <c r="D220" s="426"/>
      <c r="E220" s="426"/>
      <c r="F220" s="426"/>
      <c r="G220" s="482"/>
      <c r="H220" s="426"/>
      <c r="I220" s="426"/>
      <c r="J220" s="426"/>
      <c r="K220" s="476"/>
      <c r="L220" s="420"/>
    </row>
    <row r="221" spans="1:13">
      <c r="A221" s="492"/>
      <c r="B221" s="421"/>
      <c r="C221" s="426"/>
      <c r="D221" s="426"/>
      <c r="E221" s="426"/>
      <c r="F221" s="426"/>
      <c r="G221" s="482"/>
      <c r="H221" s="426"/>
      <c r="I221" s="426"/>
      <c r="J221" s="426"/>
      <c r="K221" s="476"/>
      <c r="L221" s="420"/>
    </row>
    <row r="222" spans="1:13">
      <c r="B222" s="421"/>
      <c r="C222" s="421"/>
      <c r="D222" s="422"/>
      <c r="E222" s="421"/>
      <c r="F222" s="421"/>
      <c r="G222" s="421"/>
      <c r="H222" s="421"/>
      <c r="I222" s="427"/>
      <c r="J222" s="427"/>
      <c r="K222" s="423"/>
      <c r="L222" s="421"/>
      <c r="M222" s="421"/>
    </row>
    <row r="223" spans="1:13">
      <c r="B223" s="421"/>
      <c r="C223" s="421"/>
      <c r="D223" s="422"/>
      <c r="E223" s="421"/>
      <c r="F223" s="421"/>
      <c r="G223" s="421"/>
      <c r="H223" s="421"/>
      <c r="I223" s="423"/>
      <c r="J223" s="423"/>
      <c r="K223" s="423"/>
      <c r="L223" s="421"/>
      <c r="M223" s="421"/>
    </row>
    <row r="224" spans="1:13">
      <c r="A224" s="1"/>
      <c r="B224" s="421"/>
      <c r="C224" s="421"/>
      <c r="D224" s="422"/>
      <c r="E224" s="421"/>
      <c r="F224" s="421"/>
      <c r="G224" s="421"/>
      <c r="H224" s="421"/>
      <c r="I224" s="423"/>
      <c r="J224" s="423"/>
      <c r="K224" s="16"/>
      <c r="L224" s="421"/>
      <c r="M224" s="421"/>
    </row>
    <row r="225" spans="1:13" ht="16.5" customHeight="1">
      <c r="B225" s="421"/>
      <c r="C225" s="421"/>
      <c r="D225" s="422"/>
      <c r="E225" s="421"/>
      <c r="F225" s="421"/>
      <c r="G225" s="421"/>
      <c r="H225" s="421"/>
      <c r="I225" s="421"/>
      <c r="K225" s="423" t="str">
        <f>K161</f>
        <v>Attachment  H-4A</v>
      </c>
      <c r="L225" s="421"/>
      <c r="M225" s="421"/>
    </row>
    <row r="226" spans="1:13" ht="16.5" customHeight="1">
      <c r="B226" s="421"/>
      <c r="C226" s="421"/>
      <c r="D226" s="422"/>
      <c r="E226" s="421"/>
      <c r="F226" s="421"/>
      <c r="G226" s="421"/>
      <c r="H226" s="421"/>
      <c r="I226" s="421"/>
      <c r="J226" s="421"/>
      <c r="K226" s="423" t="s">
        <v>71</v>
      </c>
      <c r="L226" s="421"/>
      <c r="M226" s="421"/>
    </row>
    <row r="227" spans="1:13" ht="16.5" customHeight="1">
      <c r="B227" s="421"/>
      <c r="C227" s="421"/>
      <c r="D227" s="422"/>
      <c r="E227" s="421"/>
      <c r="F227" s="421"/>
      <c r="G227" s="421"/>
      <c r="H227" s="421"/>
      <c r="I227" s="421"/>
      <c r="J227" s="421"/>
      <c r="K227" s="423"/>
      <c r="L227" s="421"/>
      <c r="M227" s="421"/>
    </row>
    <row r="228" spans="1:13">
      <c r="B228" s="421" t="s">
        <v>1</v>
      </c>
      <c r="C228" s="421"/>
      <c r="D228" s="422" t="s">
        <v>2</v>
      </c>
      <c r="E228" s="421"/>
      <c r="F228" s="421"/>
      <c r="G228" s="421"/>
      <c r="H228" s="421"/>
      <c r="J228" s="421"/>
      <c r="K228" s="423" t="str">
        <f>K4</f>
        <v>For the 12 months ended 12/31/2022</v>
      </c>
      <c r="L228" s="421"/>
      <c r="M228" s="421"/>
    </row>
    <row r="229" spans="1:13">
      <c r="B229" s="421"/>
      <c r="C229" s="426" t="s">
        <v>3</v>
      </c>
      <c r="D229" s="426" t="s">
        <v>4</v>
      </c>
      <c r="E229" s="426"/>
      <c r="F229" s="426"/>
      <c r="G229" s="426"/>
      <c r="H229" s="421"/>
      <c r="I229" s="421"/>
      <c r="J229" s="421"/>
      <c r="K229" s="421"/>
      <c r="L229" s="421"/>
      <c r="M229" s="421"/>
    </row>
    <row r="230" spans="1:13">
      <c r="A230" s="427"/>
      <c r="C230" s="427"/>
      <c r="D230" s="426"/>
      <c r="E230" s="426"/>
      <c r="F230" s="426"/>
      <c r="G230" s="426"/>
      <c r="H230" s="421"/>
      <c r="I230" s="522"/>
      <c r="J230" s="510"/>
      <c r="K230" s="519"/>
      <c r="L230" s="427"/>
      <c r="M230" s="421"/>
    </row>
    <row r="231" spans="1:13">
      <c r="A231" s="427"/>
      <c r="C231" s="427"/>
      <c r="D231" s="426" t="str">
        <f>D7</f>
        <v>Jersey Central Power &amp; Light</v>
      </c>
      <c r="E231" s="426"/>
      <c r="F231" s="426"/>
      <c r="G231" s="426"/>
      <c r="H231" s="421"/>
      <c r="I231" s="522"/>
      <c r="J231" s="510"/>
      <c r="K231" s="519"/>
      <c r="L231" s="427"/>
      <c r="M231" s="421"/>
    </row>
    <row r="232" spans="1:13">
      <c r="A232" s="427"/>
      <c r="C232" s="427"/>
      <c r="D232" s="426"/>
      <c r="E232" s="426"/>
      <c r="F232" s="426"/>
      <c r="G232" s="426"/>
      <c r="H232" s="421"/>
      <c r="I232" s="522"/>
      <c r="J232" s="510"/>
      <c r="K232" s="519"/>
      <c r="L232" s="427"/>
      <c r="M232" s="421"/>
    </row>
    <row r="233" spans="1:13">
      <c r="A233" s="427"/>
      <c r="B233" s="421" t="s">
        <v>72</v>
      </c>
      <c r="C233" s="427"/>
      <c r="D233" s="426"/>
      <c r="E233" s="426"/>
      <c r="F233" s="426"/>
      <c r="G233" s="426"/>
      <c r="H233" s="421"/>
      <c r="I233" s="426"/>
      <c r="J233" s="421"/>
      <c r="K233" s="426"/>
      <c r="L233" s="427"/>
      <c r="M233" s="421"/>
    </row>
    <row r="234" spans="1:13">
      <c r="A234" s="427"/>
      <c r="B234" s="523" t="s">
        <v>103</v>
      </c>
      <c r="C234" s="427"/>
      <c r="D234" s="426"/>
      <c r="E234" s="426"/>
      <c r="F234" s="426"/>
      <c r="G234" s="426"/>
      <c r="H234" s="421"/>
      <c r="I234" s="426"/>
      <c r="J234" s="421"/>
      <c r="K234" s="426"/>
      <c r="L234" s="427"/>
      <c r="M234" s="421"/>
    </row>
    <row r="235" spans="1:13">
      <c r="A235" s="427"/>
      <c r="B235" s="523"/>
      <c r="C235" s="427"/>
      <c r="D235" s="426"/>
      <c r="E235" s="426"/>
      <c r="F235" s="426"/>
      <c r="G235" s="426"/>
      <c r="H235" s="421"/>
      <c r="I235" s="426"/>
      <c r="J235" s="421"/>
      <c r="K235" s="426"/>
      <c r="L235" s="427"/>
      <c r="M235" s="421"/>
    </row>
    <row r="236" spans="1:13">
      <c r="A236" s="427" t="s">
        <v>73</v>
      </c>
      <c r="B236" s="421"/>
      <c r="C236" s="421"/>
      <c r="D236" s="426"/>
      <c r="E236" s="426"/>
      <c r="F236" s="426"/>
      <c r="G236" s="426"/>
      <c r="H236" s="421"/>
      <c r="I236" s="426"/>
      <c r="J236" s="421"/>
      <c r="K236" s="426"/>
      <c r="L236" s="427"/>
      <c r="M236" s="421"/>
    </row>
    <row r="237" spans="1:13" ht="16.2" thickBot="1">
      <c r="A237" s="431" t="s">
        <v>74</v>
      </c>
      <c r="B237" s="421"/>
      <c r="C237" s="421"/>
      <c r="D237" s="426"/>
      <c r="E237" s="426"/>
      <c r="F237" s="426"/>
      <c r="G237" s="426"/>
      <c r="H237" s="421"/>
      <c r="I237" s="426"/>
      <c r="J237" s="421"/>
      <c r="K237" s="849"/>
      <c r="L237" s="427"/>
      <c r="M237" s="421"/>
    </row>
    <row r="238" spans="1:13" ht="18" customHeight="1">
      <c r="A238" s="524" t="s">
        <v>75</v>
      </c>
      <c r="B238" s="980" t="s">
        <v>496</v>
      </c>
      <c r="C238" s="980"/>
      <c r="D238" s="980"/>
      <c r="E238" s="980"/>
      <c r="F238" s="980"/>
      <c r="G238" s="980"/>
      <c r="H238" s="980"/>
      <c r="I238" s="980"/>
      <c r="J238" s="980"/>
      <c r="K238" s="980"/>
      <c r="L238" s="849"/>
      <c r="M238" s="421"/>
    </row>
    <row r="239" spans="1:13" ht="34.950000000000003" customHeight="1">
      <c r="A239" s="716" t="s">
        <v>76</v>
      </c>
      <c r="B239" s="977" t="s">
        <v>1013</v>
      </c>
      <c r="C239" s="978"/>
      <c r="D239" s="978"/>
      <c r="E239" s="978"/>
      <c r="F239" s="978"/>
      <c r="G239" s="978"/>
      <c r="H239" s="978"/>
      <c r="I239" s="978"/>
      <c r="J239" s="978"/>
      <c r="K239" s="978"/>
      <c r="L239" s="849"/>
      <c r="M239" s="421"/>
    </row>
    <row r="240" spans="1:13" ht="19.5" customHeight="1">
      <c r="A240" s="524" t="s">
        <v>77</v>
      </c>
      <c r="B240" s="980" t="s">
        <v>437</v>
      </c>
      <c r="C240" s="980"/>
      <c r="D240" s="980"/>
      <c r="E240" s="980"/>
      <c r="F240" s="980"/>
      <c r="G240" s="980"/>
      <c r="H240" s="980"/>
      <c r="I240" s="980"/>
      <c r="J240" s="980"/>
      <c r="K240" s="980"/>
      <c r="L240" s="525"/>
      <c r="M240" s="421"/>
    </row>
    <row r="241" spans="1:13" ht="53.1" customHeight="1">
      <c r="A241" s="716" t="s">
        <v>78</v>
      </c>
      <c r="B241" s="975" t="s">
        <v>1025</v>
      </c>
      <c r="C241" s="980"/>
      <c r="D241" s="980"/>
      <c r="E241" s="980"/>
      <c r="F241" s="980"/>
      <c r="G241" s="980"/>
      <c r="H241" s="980"/>
      <c r="I241" s="980"/>
      <c r="J241" s="980"/>
      <c r="K241" s="980"/>
      <c r="L241" s="427"/>
      <c r="M241" s="421"/>
    </row>
    <row r="242" spans="1:13">
      <c r="A242" s="716" t="s">
        <v>79</v>
      </c>
      <c r="B242" s="980" t="s">
        <v>82</v>
      </c>
      <c r="C242" s="980"/>
      <c r="D242" s="980"/>
      <c r="E242" s="980"/>
      <c r="F242" s="980"/>
      <c r="G242" s="980"/>
      <c r="H242" s="980"/>
      <c r="I242" s="980"/>
      <c r="J242" s="980"/>
      <c r="K242" s="980"/>
      <c r="L242" s="427"/>
      <c r="M242" s="421"/>
    </row>
    <row r="243" spans="1:13" ht="32.25" customHeight="1">
      <c r="A243" s="716" t="s">
        <v>80</v>
      </c>
      <c r="B243" s="975" t="s">
        <v>1014</v>
      </c>
      <c r="C243" s="975"/>
      <c r="D243" s="975"/>
      <c r="E243" s="975"/>
      <c r="F243" s="975"/>
      <c r="G243" s="975"/>
      <c r="H243" s="975"/>
      <c r="I243" s="975"/>
      <c r="J243" s="975"/>
      <c r="K243" s="975"/>
      <c r="L243" s="427"/>
      <c r="M243" s="421"/>
    </row>
    <row r="244" spans="1:13" ht="78" customHeight="1">
      <c r="A244" s="716" t="s">
        <v>81</v>
      </c>
      <c r="B244" s="977" t="s">
        <v>803</v>
      </c>
      <c r="C244" s="978"/>
      <c r="D244" s="978"/>
      <c r="E244" s="978"/>
      <c r="F244" s="978"/>
      <c r="G244" s="978"/>
      <c r="H244" s="978"/>
      <c r="I244" s="978"/>
      <c r="J244" s="978"/>
      <c r="K244" s="978"/>
      <c r="L244" s="427"/>
      <c r="M244" s="421"/>
    </row>
    <row r="245" spans="1:13" ht="32.25" customHeight="1">
      <c r="A245" s="716" t="s">
        <v>83</v>
      </c>
      <c r="B245" s="980" t="s">
        <v>515</v>
      </c>
      <c r="C245" s="980"/>
      <c r="D245" s="980"/>
      <c r="E245" s="980"/>
      <c r="F245" s="980"/>
      <c r="G245" s="980"/>
      <c r="H245" s="980"/>
      <c r="I245" s="980"/>
      <c r="J245" s="980"/>
      <c r="K245" s="980"/>
      <c r="L245" s="427"/>
      <c r="M245" s="421"/>
    </row>
    <row r="246" spans="1:13" ht="48" customHeight="1">
      <c r="A246" s="716" t="s">
        <v>84</v>
      </c>
      <c r="B246" s="980" t="s">
        <v>220</v>
      </c>
      <c r="C246" s="980"/>
      <c r="D246" s="980"/>
      <c r="E246" s="980"/>
      <c r="F246" s="980"/>
      <c r="G246" s="980"/>
      <c r="H246" s="980"/>
      <c r="I246" s="980"/>
      <c r="J246" s="980"/>
      <c r="K246" s="980"/>
      <c r="L246" s="427"/>
      <c r="M246" s="421"/>
    </row>
    <row r="247" spans="1:13">
      <c r="A247" s="716" t="s">
        <v>85</v>
      </c>
      <c r="B247" s="980" t="s">
        <v>91</v>
      </c>
      <c r="C247" s="980"/>
      <c r="D247" s="980"/>
      <c r="E247" s="980"/>
      <c r="F247" s="980"/>
      <c r="G247" s="980"/>
      <c r="H247" s="980"/>
      <c r="I247" s="980"/>
      <c r="J247" s="980"/>
      <c r="K247" s="980"/>
      <c r="L247" s="427"/>
      <c r="M247" s="421"/>
    </row>
    <row r="248" spans="1:13" ht="32.25" customHeight="1">
      <c r="A248" s="716" t="s">
        <v>86</v>
      </c>
      <c r="B248" s="975" t="s">
        <v>1024</v>
      </c>
      <c r="C248" s="980"/>
      <c r="D248" s="980"/>
      <c r="E248" s="980"/>
      <c r="F248" s="980"/>
      <c r="G248" s="980"/>
      <c r="H248" s="980"/>
      <c r="I248" s="980"/>
      <c r="J248" s="980"/>
      <c r="K248" s="980"/>
      <c r="L248" s="422"/>
      <c r="M248" s="421"/>
    </row>
    <row r="249" spans="1:13" ht="23.25" customHeight="1">
      <c r="A249" s="716" t="s">
        <v>87</v>
      </c>
      <c r="B249" s="975" t="s">
        <v>805</v>
      </c>
      <c r="C249" s="980"/>
      <c r="D249" s="980"/>
      <c r="E249" s="980"/>
      <c r="F249" s="980"/>
      <c r="G249" s="980"/>
      <c r="H249" s="980"/>
      <c r="I249" s="980"/>
      <c r="J249" s="980"/>
      <c r="K249" s="980"/>
      <c r="L249" s="427"/>
      <c r="M249" s="421"/>
    </row>
    <row r="250" spans="1:13" ht="35.549999999999997" customHeight="1">
      <c r="A250" s="939" t="s">
        <v>88</v>
      </c>
      <c r="B250" s="975" t="s">
        <v>1015</v>
      </c>
      <c r="C250" s="975"/>
      <c r="D250" s="975"/>
      <c r="E250" s="975"/>
      <c r="F250" s="975"/>
      <c r="G250" s="975"/>
      <c r="H250" s="975"/>
      <c r="I250" s="975"/>
      <c r="J250" s="975"/>
      <c r="K250" s="975"/>
      <c r="L250" s="848"/>
      <c r="M250" s="421"/>
    </row>
    <row r="251" spans="1:13" ht="15.75" customHeight="1">
      <c r="A251" s="939" t="s">
        <v>89</v>
      </c>
      <c r="B251" s="975" t="s">
        <v>1065</v>
      </c>
      <c r="C251" s="975"/>
      <c r="D251" s="975"/>
      <c r="E251" s="975"/>
      <c r="F251" s="975"/>
      <c r="G251" s="975"/>
      <c r="H251" s="975"/>
      <c r="I251" s="975"/>
      <c r="J251" s="975"/>
      <c r="K251" s="975"/>
      <c r="L251" s="421"/>
      <c r="M251" s="421"/>
    </row>
    <row r="252" spans="1:13" ht="15.75" customHeight="1">
      <c r="A252" s="939" t="s">
        <v>90</v>
      </c>
      <c r="B252" s="980" t="s">
        <v>216</v>
      </c>
      <c r="C252" s="980"/>
      <c r="D252" s="980"/>
      <c r="E252" s="980"/>
      <c r="F252" s="980"/>
      <c r="G252" s="980"/>
      <c r="H252" s="980"/>
      <c r="I252" s="980"/>
      <c r="J252" s="980"/>
      <c r="K252" s="980"/>
    </row>
    <row r="253" spans="1:13" ht="19.5" customHeight="1">
      <c r="A253" s="939" t="s">
        <v>92</v>
      </c>
      <c r="B253" s="976" t="s">
        <v>399</v>
      </c>
      <c r="C253" s="976"/>
      <c r="D253" s="976"/>
      <c r="E253" s="976"/>
      <c r="F253" s="976"/>
      <c r="G253" s="976"/>
      <c r="H253" s="976"/>
      <c r="I253" s="976"/>
      <c r="J253" s="976"/>
      <c r="K253" s="976"/>
    </row>
    <row r="254" spans="1:13">
      <c r="A254" s="17" t="s">
        <v>93</v>
      </c>
      <c r="B254" s="978" t="s">
        <v>400</v>
      </c>
      <c r="C254" s="978"/>
      <c r="D254" s="978"/>
      <c r="E254" s="978"/>
      <c r="F254" s="978"/>
      <c r="G254" s="978"/>
      <c r="H254" s="978"/>
      <c r="I254" s="978"/>
      <c r="J254" s="978"/>
      <c r="K254" s="978"/>
    </row>
    <row r="255" spans="1:13" ht="32.1" customHeight="1">
      <c r="A255" s="940" t="s">
        <v>967</v>
      </c>
      <c r="B255" s="977" t="s">
        <v>869</v>
      </c>
      <c r="C255" s="978"/>
      <c r="D255" s="978"/>
      <c r="E255" s="978"/>
      <c r="F255" s="978"/>
      <c r="G255" s="978"/>
      <c r="H255" s="978"/>
      <c r="I255" s="978"/>
      <c r="J255" s="978"/>
      <c r="K255" s="978"/>
      <c r="L255" s="420"/>
    </row>
    <row r="256" spans="1:13" ht="30.75" customHeight="1">
      <c r="A256" s="940" t="s">
        <v>972</v>
      </c>
      <c r="B256" s="979" t="s">
        <v>510</v>
      </c>
      <c r="C256" s="979"/>
      <c r="D256" s="979"/>
      <c r="E256" s="979"/>
      <c r="F256" s="979"/>
      <c r="G256" s="979"/>
      <c r="H256" s="979"/>
      <c r="I256" s="979"/>
      <c r="J256" s="979"/>
      <c r="K256" s="979"/>
      <c r="L256" s="527"/>
    </row>
    <row r="257" spans="1:11">
      <c r="B257" s="421"/>
      <c r="C257" s="421"/>
      <c r="D257" s="422"/>
      <c r="E257" s="421"/>
      <c r="F257" s="421"/>
      <c r="G257" s="421"/>
      <c r="H257" s="421"/>
      <c r="I257" s="421"/>
    </row>
    <row r="258" spans="1:11">
      <c r="B258" s="421"/>
      <c r="C258" s="422"/>
      <c r="E258" s="421"/>
      <c r="F258" s="421"/>
      <c r="G258" s="421"/>
    </row>
    <row r="259" spans="1:11">
      <c r="B259" s="421"/>
      <c r="C259" s="426"/>
      <c r="E259" s="426"/>
      <c r="F259" s="426"/>
      <c r="G259" s="426"/>
      <c r="H259" s="421"/>
      <c r="I259" s="421"/>
    </row>
    <row r="260" spans="1:11">
      <c r="B260" s="421"/>
      <c r="C260" s="421"/>
      <c r="D260" s="421"/>
      <c r="E260" s="421"/>
      <c r="F260" s="421"/>
      <c r="G260" s="421"/>
      <c r="H260" s="421"/>
      <c r="I260" s="421"/>
    </row>
    <row r="261" spans="1:11">
      <c r="A261" s="427"/>
      <c r="C261" s="528"/>
      <c r="E261" s="421"/>
      <c r="F261" s="421"/>
      <c r="G261" s="421"/>
      <c r="H261" s="421"/>
      <c r="I261" s="421"/>
    </row>
    <row r="262" spans="1:11">
      <c r="A262" s="427"/>
      <c r="C262" s="421"/>
      <c r="D262" s="428"/>
      <c r="E262" s="421"/>
      <c r="F262" s="421"/>
      <c r="G262" s="421"/>
      <c r="H262" s="421"/>
      <c r="I262" s="421"/>
    </row>
    <row r="263" spans="1:11">
      <c r="A263" s="427"/>
      <c r="B263" s="974"/>
      <c r="C263" s="974"/>
      <c r="D263" s="974"/>
      <c r="E263" s="974"/>
      <c r="F263" s="974"/>
      <c r="G263" s="974"/>
      <c r="H263" s="974"/>
      <c r="I263" s="974"/>
      <c r="J263" s="974"/>
      <c r="K263" s="974"/>
    </row>
    <row r="264" spans="1:11">
      <c r="A264" s="427"/>
      <c r="B264" s="974"/>
      <c r="C264" s="974"/>
      <c r="D264" s="974"/>
      <c r="E264" s="974"/>
      <c r="F264" s="974"/>
      <c r="G264" s="974"/>
      <c r="H264" s="974"/>
      <c r="I264" s="974"/>
      <c r="J264" s="974"/>
      <c r="K264" s="974"/>
    </row>
    <row r="265" spans="1:11">
      <c r="A265" s="427"/>
      <c r="B265" s="974"/>
      <c r="C265" s="974"/>
      <c r="D265" s="974"/>
      <c r="E265" s="974"/>
      <c r="F265" s="974"/>
      <c r="G265" s="974"/>
      <c r="H265" s="974"/>
      <c r="I265" s="974"/>
      <c r="J265" s="974"/>
      <c r="K265" s="974"/>
    </row>
    <row r="266" spans="1:11">
      <c r="A266" s="427"/>
      <c r="B266" s="974"/>
      <c r="C266" s="974"/>
      <c r="D266" s="974"/>
      <c r="E266" s="974"/>
      <c r="F266" s="974"/>
      <c r="G266" s="974"/>
      <c r="H266" s="974"/>
      <c r="I266" s="974"/>
      <c r="J266" s="974"/>
      <c r="K266" s="974"/>
    </row>
    <row r="267" spans="1:11">
      <c r="A267" s="427"/>
      <c r="C267" s="421"/>
      <c r="D267" s="428"/>
      <c r="E267" s="421"/>
      <c r="F267" s="421"/>
      <c r="G267" s="421"/>
      <c r="H267" s="421"/>
      <c r="I267" s="421"/>
    </row>
    <row r="268" spans="1:11">
      <c r="A268" s="427"/>
      <c r="B268" s="974"/>
      <c r="C268" s="974"/>
      <c r="D268" s="974"/>
      <c r="E268" s="974"/>
      <c r="F268" s="974"/>
      <c r="G268" s="974"/>
      <c r="H268" s="974"/>
      <c r="I268" s="974"/>
      <c r="J268" s="974"/>
      <c r="K268" s="974"/>
    </row>
    <row r="269" spans="1:11">
      <c r="A269" s="427"/>
      <c r="B269" s="974"/>
      <c r="C269" s="974"/>
      <c r="D269" s="974"/>
      <c r="E269" s="974"/>
      <c r="F269" s="974"/>
      <c r="G269" s="974"/>
      <c r="H269" s="974"/>
      <c r="I269" s="974"/>
      <c r="J269" s="974"/>
      <c r="K269" s="974"/>
    </row>
    <row r="270" spans="1:11">
      <c r="A270" s="427"/>
      <c r="B270" s="974"/>
      <c r="C270" s="974"/>
      <c r="D270" s="974"/>
      <c r="E270" s="974"/>
      <c r="F270" s="974"/>
      <c r="G270" s="974"/>
      <c r="H270" s="974"/>
      <c r="I270" s="974"/>
      <c r="J270" s="974"/>
      <c r="K270" s="974"/>
    </row>
    <row r="271" spans="1:11">
      <c r="A271" s="427"/>
      <c r="C271" s="421"/>
      <c r="D271" s="428"/>
      <c r="E271" s="421"/>
      <c r="F271" s="421"/>
      <c r="G271" s="421"/>
      <c r="H271" s="421"/>
      <c r="I271" s="421"/>
    </row>
    <row r="272" spans="1:11">
      <c r="A272" s="427"/>
      <c r="C272" s="421"/>
      <c r="D272" s="428"/>
      <c r="E272" s="421"/>
      <c r="F272" s="421"/>
      <c r="G272" s="421"/>
      <c r="H272" s="421"/>
      <c r="I272" s="421"/>
    </row>
    <row r="273" spans="1:9">
      <c r="A273" s="427"/>
      <c r="C273" s="421"/>
      <c r="D273" s="428"/>
      <c r="E273" s="421"/>
      <c r="F273" s="421"/>
      <c r="G273" s="421"/>
      <c r="H273" s="421"/>
      <c r="I273" s="427"/>
    </row>
    <row r="274" spans="1:9">
      <c r="A274" s="427"/>
      <c r="C274" s="421"/>
      <c r="D274" s="421"/>
      <c r="E274" s="421"/>
      <c r="F274" s="421"/>
      <c r="G274" s="427"/>
      <c r="H274" s="421"/>
      <c r="I274" s="427"/>
    </row>
    <row r="275" spans="1:9">
      <c r="A275" s="427"/>
      <c r="C275" s="421"/>
      <c r="D275" s="426"/>
      <c r="E275" s="421"/>
      <c r="F275" s="421"/>
      <c r="G275" s="421"/>
      <c r="H275" s="421"/>
      <c r="I275" s="432"/>
    </row>
    <row r="276" spans="1:9">
      <c r="C276" s="427"/>
      <c r="D276" s="427"/>
      <c r="E276" s="426"/>
      <c r="F276" s="426"/>
      <c r="G276" s="429"/>
      <c r="H276" s="426"/>
      <c r="I276" s="430"/>
    </row>
    <row r="277" spans="1:9">
      <c r="C277" s="529"/>
      <c r="D277" s="426"/>
      <c r="E277" s="426"/>
      <c r="F277" s="426"/>
      <c r="G277" s="427"/>
      <c r="H277" s="426"/>
      <c r="I277" s="473"/>
    </row>
    <row r="278" spans="1:9">
      <c r="A278" s="427"/>
      <c r="B278" s="421"/>
      <c r="C278" s="472"/>
      <c r="D278" s="473"/>
      <c r="E278" s="475"/>
      <c r="F278" s="473"/>
      <c r="H278" s="475"/>
      <c r="I278" s="427"/>
    </row>
    <row r="279" spans="1:9">
      <c r="A279" s="427"/>
      <c r="B279" s="477"/>
      <c r="C279" s="426"/>
      <c r="D279" s="426"/>
      <c r="E279" s="426"/>
      <c r="F279" s="426"/>
      <c r="G279" s="426"/>
      <c r="H279" s="426"/>
      <c r="I279" s="426"/>
    </row>
    <row r="280" spans="1:9">
      <c r="A280" s="427"/>
      <c r="B280" s="421"/>
      <c r="C280" s="426"/>
      <c r="D280" s="426"/>
      <c r="E280" s="426"/>
      <c r="F280" s="426"/>
      <c r="G280" s="426"/>
      <c r="H280" s="426"/>
      <c r="I280" s="426"/>
    </row>
    <row r="281" spans="1:9">
      <c r="A281" s="427"/>
      <c r="B281" s="421"/>
      <c r="C281" s="426"/>
      <c r="D281" s="426"/>
      <c r="E281" s="426"/>
      <c r="F281" s="426"/>
      <c r="G281" s="426"/>
      <c r="H281" s="426"/>
      <c r="I281" s="426"/>
    </row>
    <row r="282" spans="1:9">
      <c r="A282" s="427"/>
      <c r="B282" s="487"/>
      <c r="D282" s="426"/>
      <c r="E282" s="426"/>
      <c r="F282" s="426"/>
      <c r="G282" s="494"/>
      <c r="H282" s="426"/>
      <c r="I282" s="426"/>
    </row>
    <row r="283" spans="1:9">
      <c r="A283" s="427"/>
      <c r="B283" s="421"/>
      <c r="D283" s="426"/>
      <c r="E283" s="426"/>
      <c r="F283" s="426"/>
      <c r="G283" s="494"/>
      <c r="H283" s="426"/>
      <c r="I283" s="426"/>
    </row>
    <row r="284" spans="1:9">
      <c r="A284" s="427"/>
      <c r="B284" s="421"/>
      <c r="C284" s="426"/>
      <c r="D284" s="426"/>
      <c r="E284" s="426"/>
      <c r="F284" s="426"/>
      <c r="G284" s="426"/>
      <c r="H284" s="426"/>
      <c r="I284" s="426"/>
    </row>
    <row r="285" spans="1:9">
      <c r="A285" s="427"/>
      <c r="B285" s="421"/>
      <c r="C285" s="426"/>
      <c r="D285" s="426"/>
      <c r="E285" s="426"/>
      <c r="F285" s="426"/>
      <c r="G285" s="426"/>
      <c r="H285" s="426"/>
      <c r="I285" s="426"/>
    </row>
    <row r="286" spans="1:9">
      <c r="A286" s="427"/>
      <c r="B286" s="421"/>
      <c r="C286" s="421"/>
      <c r="D286" s="426"/>
      <c r="E286" s="426"/>
      <c r="F286" s="426"/>
      <c r="G286" s="426"/>
      <c r="H286" s="421"/>
      <c r="I286" s="426"/>
    </row>
    <row r="287" spans="1:9">
      <c r="A287" s="427"/>
      <c r="B287" s="421"/>
      <c r="C287" s="421"/>
      <c r="D287" s="426"/>
      <c r="E287" s="426"/>
      <c r="F287" s="426"/>
      <c r="G287" s="426"/>
      <c r="H287" s="421"/>
      <c r="I287" s="426"/>
    </row>
    <row r="288" spans="1:9">
      <c r="A288" s="427"/>
      <c r="B288" s="421"/>
      <c r="C288" s="421"/>
      <c r="D288" s="421"/>
      <c r="E288" s="421"/>
      <c r="F288" s="421"/>
      <c r="G288" s="421"/>
      <c r="H288" s="421"/>
      <c r="I288" s="421"/>
    </row>
    <row r="289" spans="1:9">
      <c r="A289" s="427"/>
      <c r="B289" s="421"/>
      <c r="C289" s="421"/>
      <c r="D289" s="421"/>
      <c r="E289" s="421"/>
      <c r="F289" s="421"/>
      <c r="G289" s="421"/>
      <c r="H289" s="421"/>
      <c r="I289" s="421"/>
    </row>
    <row r="290" spans="1:9">
      <c r="A290" s="427"/>
      <c r="B290" s="421"/>
      <c r="C290" s="421"/>
      <c r="D290" s="421"/>
      <c r="E290" s="421"/>
      <c r="F290" s="421"/>
      <c r="G290" s="421"/>
      <c r="H290" s="421"/>
      <c r="I290" s="421"/>
    </row>
    <row r="291" spans="1:9">
      <c r="A291" s="427"/>
      <c r="B291" s="530"/>
      <c r="C291" s="421"/>
      <c r="D291" s="421"/>
      <c r="E291" s="421"/>
      <c r="F291" s="421"/>
      <c r="G291" s="421"/>
      <c r="H291" s="421"/>
      <c r="I291" s="421"/>
    </row>
    <row r="292" spans="1:9">
      <c r="A292" s="427"/>
      <c r="B292" s="530"/>
      <c r="C292" s="421"/>
      <c r="D292" s="421"/>
      <c r="E292" s="421"/>
      <c r="F292" s="421"/>
      <c r="G292" s="421"/>
      <c r="H292" s="421"/>
      <c r="I292" s="421"/>
    </row>
    <row r="293" spans="1:9">
      <c r="A293" s="427"/>
      <c r="B293" s="530"/>
      <c r="C293" s="421"/>
      <c r="D293" s="421"/>
      <c r="E293" s="421"/>
      <c r="F293" s="421"/>
      <c r="G293" s="421"/>
      <c r="H293" s="421"/>
      <c r="I293" s="421"/>
    </row>
    <row r="294" spans="1:9">
      <c r="A294" s="427"/>
      <c r="B294" s="530"/>
      <c r="C294" s="421"/>
      <c r="D294" s="421"/>
      <c r="E294" s="421"/>
      <c r="F294" s="421"/>
      <c r="G294" s="421"/>
      <c r="H294" s="421"/>
      <c r="I294" s="421"/>
    </row>
    <row r="295" spans="1:9">
      <c r="A295" s="427"/>
      <c r="B295" s="530"/>
      <c r="C295" s="421"/>
      <c r="D295" s="421"/>
      <c r="E295" s="421"/>
      <c r="F295" s="421"/>
      <c r="G295" s="421"/>
      <c r="H295" s="421"/>
      <c r="I295" s="421"/>
    </row>
    <row r="296" spans="1:9">
      <c r="A296" s="427"/>
      <c r="B296" s="530"/>
      <c r="C296" s="421"/>
      <c r="D296" s="421"/>
      <c r="E296" s="421"/>
      <c r="F296" s="421"/>
      <c r="G296" s="421"/>
      <c r="H296" s="421"/>
      <c r="I296" s="421"/>
    </row>
    <row r="297" spans="1:9">
      <c r="A297" s="427"/>
      <c r="B297" s="530"/>
      <c r="C297" s="421"/>
      <c r="D297" s="421"/>
      <c r="E297" s="421"/>
      <c r="F297" s="421"/>
      <c r="G297" s="421"/>
      <c r="H297" s="421"/>
      <c r="I297" s="421"/>
    </row>
    <row r="298" spans="1:9">
      <c r="A298" s="427"/>
      <c r="B298" s="421"/>
      <c r="C298" s="421"/>
      <c r="D298" s="421"/>
      <c r="E298" s="421"/>
      <c r="F298" s="421"/>
      <c r="G298" s="421"/>
      <c r="H298" s="421"/>
      <c r="I298" s="421"/>
    </row>
    <row r="299" spans="1:9">
      <c r="A299" s="427"/>
      <c r="B299" s="421"/>
      <c r="C299" s="421"/>
      <c r="D299" s="421"/>
      <c r="E299" s="421"/>
      <c r="F299" s="421"/>
      <c r="G299" s="421"/>
      <c r="H299" s="421"/>
      <c r="I299" s="421"/>
    </row>
    <row r="300" spans="1:9">
      <c r="A300" s="459"/>
      <c r="B300" s="422"/>
    </row>
    <row r="301" spans="1:9">
      <c r="B301" s="422"/>
    </row>
    <row r="302" spans="1:9">
      <c r="B302" s="422"/>
    </row>
    <row r="303" spans="1:9">
      <c r="B303" s="422"/>
    </row>
    <row r="304" spans="1:9">
      <c r="B304" s="422"/>
    </row>
    <row r="305" spans="1:12">
      <c r="B305" s="422"/>
    </row>
    <row r="306" spans="1:12">
      <c r="B306" s="422"/>
    </row>
    <row r="307" spans="1:12">
      <c r="B307" s="422"/>
    </row>
    <row r="309" spans="1:12">
      <c r="A309" s="421"/>
      <c r="B309" s="426"/>
      <c r="C309" s="426"/>
      <c r="D309" s="426"/>
      <c r="E309" s="426"/>
      <c r="F309" s="482"/>
      <c r="G309" s="426"/>
      <c r="H309" s="426"/>
      <c r="I309" s="426"/>
      <c r="K309" s="476"/>
      <c r="L309" s="420"/>
    </row>
    <row r="310" spans="1:12">
      <c r="A310" s="421"/>
      <c r="B310" s="426"/>
      <c r="C310" s="426"/>
      <c r="D310" s="426"/>
      <c r="E310" s="426"/>
      <c r="F310" s="482"/>
      <c r="G310" s="426"/>
      <c r="H310" s="426"/>
      <c r="I310" s="426"/>
      <c r="K310" s="476"/>
      <c r="L310" s="420"/>
    </row>
    <row r="311" spans="1:12">
      <c r="A311" s="421"/>
      <c r="B311" s="426"/>
      <c r="C311" s="426"/>
      <c r="D311" s="426"/>
      <c r="E311" s="426"/>
      <c r="F311" s="482"/>
      <c r="G311" s="426"/>
      <c r="H311" s="426"/>
      <c r="I311" s="426"/>
      <c r="J311" s="482"/>
      <c r="K311" s="482"/>
      <c r="L311" s="420"/>
    </row>
  </sheetData>
  <customSheetViews>
    <customSheetView guid="{E1861F40-EBD5-44AE-868B-FDE0ED504D72}" scale="75" showPageBreaks="1" printArea="1" view="pageBreakPreview" topLeftCell="A307">
      <selection activeCell="D146" sqref="D146"/>
      <rowBreaks count="4" manualBreakCount="4">
        <brk id="55" max="10" man="1"/>
        <brk id="129" max="16383" man="1"/>
        <brk id="206" max="16383" man="1"/>
        <brk id="285" max="16383" man="1"/>
      </rowBreaks>
      <pageMargins left="0.75" right="0.75" top="1" bottom="1" header="0.5" footer="0.5"/>
      <pageSetup scale="44" fitToHeight="5" orientation="portrait" r:id="rId1"/>
      <headerFooter alignWithMargins="0"/>
    </customSheetView>
  </customSheetViews>
  <mergeCells count="27">
    <mergeCell ref="M194:R194"/>
    <mergeCell ref="B240:K240"/>
    <mergeCell ref="B241:K241"/>
    <mergeCell ref="B238:K238"/>
    <mergeCell ref="B242:K242"/>
    <mergeCell ref="B239:K239"/>
    <mergeCell ref="B243:K243"/>
    <mergeCell ref="B252:K252"/>
    <mergeCell ref="B244:K244"/>
    <mergeCell ref="B245:K245"/>
    <mergeCell ref="B248:K248"/>
    <mergeCell ref="B247:K247"/>
    <mergeCell ref="B246:K246"/>
    <mergeCell ref="B250:K250"/>
    <mergeCell ref="B249:K249"/>
    <mergeCell ref="B270:K270"/>
    <mergeCell ref="B269:K269"/>
    <mergeCell ref="B268:K268"/>
    <mergeCell ref="B266:K266"/>
    <mergeCell ref="B265:K265"/>
    <mergeCell ref="B264:K264"/>
    <mergeCell ref="B263:K263"/>
    <mergeCell ref="B251:K251"/>
    <mergeCell ref="B253:K253"/>
    <mergeCell ref="B255:K255"/>
    <mergeCell ref="B254:K254"/>
    <mergeCell ref="B256:K256"/>
  </mergeCells>
  <phoneticPr fontId="0" type="noConversion"/>
  <printOptions horizontalCentered="1"/>
  <pageMargins left="0.7" right="0.7" top="0.75" bottom="0.75" header="0.3" footer="0.3"/>
  <pageSetup scale="38" fitToWidth="0" fitToHeight="0" orientation="portrait" r:id="rId2"/>
  <headerFooter alignWithMargins="0"/>
  <rowBreaks count="4" manualBreakCount="4">
    <brk id="39" max="10" man="1"/>
    <brk id="107" max="10" man="1"/>
    <brk id="159" max="10" man="1"/>
    <brk id="223" max="10" man="1"/>
  </rowBreaks>
  <ignoredErrors>
    <ignoredError sqref="D16" evalErro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
    <pageSetUpPr fitToPage="1"/>
  </sheetPr>
  <dimension ref="A1:AE27"/>
  <sheetViews>
    <sheetView zoomScale="80" zoomScaleNormal="80" zoomScalePageLayoutView="80" workbookViewId="0">
      <selection activeCell="C2" sqref="C2"/>
    </sheetView>
  </sheetViews>
  <sheetFormatPr defaultColWidth="5" defaultRowHeight="15.6"/>
  <cols>
    <col min="1" max="1" width="5.26953125" style="605" bestFit="1" customWidth="1"/>
    <col min="2" max="2" width="2.08984375" style="605" customWidth="1"/>
    <col min="3" max="3" width="32.08984375" style="604" customWidth="1"/>
    <col min="4" max="4" width="5.08984375" style="604" customWidth="1"/>
    <col min="5" max="5" width="7.81640625" style="604" bestFit="1" customWidth="1"/>
    <col min="6" max="6" width="2.08984375" style="604" customWidth="1"/>
    <col min="7" max="7" width="16.08984375" style="604" customWidth="1"/>
    <col min="8" max="8" width="2.08984375" style="604" customWidth="1"/>
    <col min="9" max="9" width="8.81640625" style="606" customWidth="1"/>
    <col min="10" max="10" width="2.08984375" style="604" customWidth="1"/>
    <col min="11" max="11" width="16.08984375" style="606" customWidth="1"/>
    <col min="12" max="12" width="7.26953125" style="604" customWidth="1"/>
    <col min="13" max="13" width="9.81640625" style="606" customWidth="1"/>
    <col min="14" max="14" width="0.7265625" style="604" customWidth="1"/>
    <col min="15" max="15" width="13.453125" style="605" customWidth="1"/>
    <col min="16" max="16" width="0.54296875" style="604" customWidth="1"/>
    <col min="17" max="17" width="9.54296875" style="605" customWidth="1"/>
    <col min="18" max="19" width="0.54296875" style="604" customWidth="1"/>
    <col min="20" max="237" width="5" style="604"/>
    <col min="238" max="238" width="4.7265625" style="604" customWidth="1"/>
    <col min="239" max="239" width="2" style="604" customWidth="1"/>
    <col min="240" max="240" width="40.7265625" style="604" customWidth="1"/>
    <col min="241" max="241" width="3.54296875" style="604" customWidth="1"/>
    <col min="242" max="242" width="11.08984375" style="604" customWidth="1"/>
    <col min="243" max="243" width="2.7265625" style="604" customWidth="1"/>
    <col min="244" max="244" width="11.26953125" style="604" customWidth="1"/>
    <col min="245" max="245" width="2.7265625" style="604" customWidth="1"/>
    <col min="246" max="246" width="11.26953125" style="604" customWidth="1"/>
    <col min="247" max="247" width="2.7265625" style="604" customWidth="1"/>
    <col min="248" max="248" width="19.08984375" style="604" bestFit="1" customWidth="1"/>
    <col min="249" max="249" width="1.81640625" style="604" customWidth="1"/>
    <col min="250" max="250" width="6.7265625" style="604" customWidth="1"/>
    <col min="251" max="251" width="14.7265625" style="604" customWidth="1"/>
    <col min="252" max="252" width="9" style="604" bestFit="1" customWidth="1"/>
    <col min="253" max="493" width="5" style="604"/>
    <col min="494" max="494" width="4.7265625" style="604" customWidth="1"/>
    <col min="495" max="495" width="2" style="604" customWidth="1"/>
    <col min="496" max="496" width="40.7265625" style="604" customWidth="1"/>
    <col min="497" max="497" width="3.54296875" style="604" customWidth="1"/>
    <col min="498" max="498" width="11.08984375" style="604" customWidth="1"/>
    <col min="499" max="499" width="2.7265625" style="604" customWidth="1"/>
    <col min="500" max="500" width="11.26953125" style="604" customWidth="1"/>
    <col min="501" max="501" width="2.7265625" style="604" customWidth="1"/>
    <col min="502" max="502" width="11.26953125" style="604" customWidth="1"/>
    <col min="503" max="503" width="2.7265625" style="604" customWidth="1"/>
    <col min="504" max="504" width="19.08984375" style="604" bestFit="1" customWidth="1"/>
    <col min="505" max="505" width="1.81640625" style="604" customWidth="1"/>
    <col min="506" max="506" width="6.7265625" style="604" customWidth="1"/>
    <col min="507" max="507" width="14.7265625" style="604" customWidth="1"/>
    <col min="508" max="508" width="9" style="604" bestFit="1" customWidth="1"/>
    <col min="509" max="749" width="5" style="604"/>
    <col min="750" max="750" width="4.7265625" style="604" customWidth="1"/>
    <col min="751" max="751" width="2" style="604" customWidth="1"/>
    <col min="752" max="752" width="40.7265625" style="604" customWidth="1"/>
    <col min="753" max="753" width="3.54296875" style="604" customWidth="1"/>
    <col min="754" max="754" width="11.08984375" style="604" customWidth="1"/>
    <col min="755" max="755" width="2.7265625" style="604" customWidth="1"/>
    <col min="756" max="756" width="11.26953125" style="604" customWidth="1"/>
    <col min="757" max="757" width="2.7265625" style="604" customWidth="1"/>
    <col min="758" max="758" width="11.26953125" style="604" customWidth="1"/>
    <col min="759" max="759" width="2.7265625" style="604" customWidth="1"/>
    <col min="760" max="760" width="19.08984375" style="604" bestFit="1" customWidth="1"/>
    <col min="761" max="761" width="1.81640625" style="604" customWidth="1"/>
    <col min="762" max="762" width="6.7265625" style="604" customWidth="1"/>
    <col min="763" max="763" width="14.7265625" style="604" customWidth="1"/>
    <col min="764" max="764" width="9" style="604" bestFit="1" customWidth="1"/>
    <col min="765" max="1005" width="5" style="604"/>
    <col min="1006" max="1006" width="4.7265625" style="604" customWidth="1"/>
    <col min="1007" max="1007" width="2" style="604" customWidth="1"/>
    <col min="1008" max="1008" width="40.7265625" style="604" customWidth="1"/>
    <col min="1009" max="1009" width="3.54296875" style="604" customWidth="1"/>
    <col min="1010" max="1010" width="11.08984375" style="604" customWidth="1"/>
    <col min="1011" max="1011" width="2.7265625" style="604" customWidth="1"/>
    <col min="1012" max="1012" width="11.26953125" style="604" customWidth="1"/>
    <col min="1013" max="1013" width="2.7265625" style="604" customWidth="1"/>
    <col min="1014" max="1014" width="11.26953125" style="604" customWidth="1"/>
    <col min="1015" max="1015" width="2.7265625" style="604" customWidth="1"/>
    <col min="1016" max="1016" width="19.08984375" style="604" bestFit="1" customWidth="1"/>
    <col min="1017" max="1017" width="1.81640625" style="604" customWidth="1"/>
    <col min="1018" max="1018" width="6.7265625" style="604" customWidth="1"/>
    <col min="1019" max="1019" width="14.7265625" style="604" customWidth="1"/>
    <col min="1020" max="1020" width="9" style="604" bestFit="1" customWidth="1"/>
    <col min="1021" max="1261" width="5" style="604"/>
    <col min="1262" max="1262" width="4.7265625" style="604" customWidth="1"/>
    <col min="1263" max="1263" width="2" style="604" customWidth="1"/>
    <col min="1264" max="1264" width="40.7265625" style="604" customWidth="1"/>
    <col min="1265" max="1265" width="3.54296875" style="604" customWidth="1"/>
    <col min="1266" max="1266" width="11.08984375" style="604" customWidth="1"/>
    <col min="1267" max="1267" width="2.7265625" style="604" customWidth="1"/>
    <col min="1268" max="1268" width="11.26953125" style="604" customWidth="1"/>
    <col min="1269" max="1269" width="2.7265625" style="604" customWidth="1"/>
    <col min="1270" max="1270" width="11.26953125" style="604" customWidth="1"/>
    <col min="1271" max="1271" width="2.7265625" style="604" customWidth="1"/>
    <col min="1272" max="1272" width="19.08984375" style="604" bestFit="1" customWidth="1"/>
    <col min="1273" max="1273" width="1.81640625" style="604" customWidth="1"/>
    <col min="1274" max="1274" width="6.7265625" style="604" customWidth="1"/>
    <col min="1275" max="1275" width="14.7265625" style="604" customWidth="1"/>
    <col min="1276" max="1276" width="9" style="604" bestFit="1" customWidth="1"/>
    <col min="1277" max="1517" width="5" style="604"/>
    <col min="1518" max="1518" width="4.7265625" style="604" customWidth="1"/>
    <col min="1519" max="1519" width="2" style="604" customWidth="1"/>
    <col min="1520" max="1520" width="40.7265625" style="604" customWidth="1"/>
    <col min="1521" max="1521" width="3.54296875" style="604" customWidth="1"/>
    <col min="1522" max="1522" width="11.08984375" style="604" customWidth="1"/>
    <col min="1523" max="1523" width="2.7265625" style="604" customWidth="1"/>
    <col min="1524" max="1524" width="11.26953125" style="604" customWidth="1"/>
    <col min="1525" max="1525" width="2.7265625" style="604" customWidth="1"/>
    <col min="1526" max="1526" width="11.26953125" style="604" customWidth="1"/>
    <col min="1527" max="1527" width="2.7265625" style="604" customWidth="1"/>
    <col min="1528" max="1528" width="19.08984375" style="604" bestFit="1" customWidth="1"/>
    <col min="1529" max="1529" width="1.81640625" style="604" customWidth="1"/>
    <col min="1530" max="1530" width="6.7265625" style="604" customWidth="1"/>
    <col min="1531" max="1531" width="14.7265625" style="604" customWidth="1"/>
    <col min="1532" max="1532" width="9" style="604" bestFit="1" customWidth="1"/>
    <col min="1533" max="1773" width="5" style="604"/>
    <col min="1774" max="1774" width="4.7265625" style="604" customWidth="1"/>
    <col min="1775" max="1775" width="2" style="604" customWidth="1"/>
    <col min="1776" max="1776" width="40.7265625" style="604" customWidth="1"/>
    <col min="1777" max="1777" width="3.54296875" style="604" customWidth="1"/>
    <col min="1778" max="1778" width="11.08984375" style="604" customWidth="1"/>
    <col min="1779" max="1779" width="2.7265625" style="604" customWidth="1"/>
    <col min="1780" max="1780" width="11.26953125" style="604" customWidth="1"/>
    <col min="1781" max="1781" width="2.7265625" style="604" customWidth="1"/>
    <col min="1782" max="1782" width="11.26953125" style="604" customWidth="1"/>
    <col min="1783" max="1783" width="2.7265625" style="604" customWidth="1"/>
    <col min="1784" max="1784" width="19.08984375" style="604" bestFit="1" customWidth="1"/>
    <col min="1785" max="1785" width="1.81640625" style="604" customWidth="1"/>
    <col min="1786" max="1786" width="6.7265625" style="604" customWidth="1"/>
    <col min="1787" max="1787" width="14.7265625" style="604" customWidth="1"/>
    <col min="1788" max="1788" width="9" style="604" bestFit="1" customWidth="1"/>
    <col min="1789" max="2029" width="5" style="604"/>
    <col min="2030" max="2030" width="4.7265625" style="604" customWidth="1"/>
    <col min="2031" max="2031" width="2" style="604" customWidth="1"/>
    <col min="2032" max="2032" width="40.7265625" style="604" customWidth="1"/>
    <col min="2033" max="2033" width="3.54296875" style="604" customWidth="1"/>
    <col min="2034" max="2034" width="11.08984375" style="604" customWidth="1"/>
    <col min="2035" max="2035" width="2.7265625" style="604" customWidth="1"/>
    <col min="2036" max="2036" width="11.26953125" style="604" customWidth="1"/>
    <col min="2037" max="2037" width="2.7265625" style="604" customWidth="1"/>
    <col min="2038" max="2038" width="11.26953125" style="604" customWidth="1"/>
    <col min="2039" max="2039" width="2.7265625" style="604" customWidth="1"/>
    <col min="2040" max="2040" width="19.08984375" style="604" bestFit="1" customWidth="1"/>
    <col min="2041" max="2041" width="1.81640625" style="604" customWidth="1"/>
    <col min="2042" max="2042" width="6.7265625" style="604" customWidth="1"/>
    <col min="2043" max="2043" width="14.7265625" style="604" customWidth="1"/>
    <col min="2044" max="2044" width="9" style="604" bestFit="1" customWidth="1"/>
    <col min="2045" max="2285" width="5" style="604"/>
    <col min="2286" max="2286" width="4.7265625" style="604" customWidth="1"/>
    <col min="2287" max="2287" width="2" style="604" customWidth="1"/>
    <col min="2288" max="2288" width="40.7265625" style="604" customWidth="1"/>
    <col min="2289" max="2289" width="3.54296875" style="604" customWidth="1"/>
    <col min="2290" max="2290" width="11.08984375" style="604" customWidth="1"/>
    <col min="2291" max="2291" width="2.7265625" style="604" customWidth="1"/>
    <col min="2292" max="2292" width="11.26953125" style="604" customWidth="1"/>
    <col min="2293" max="2293" width="2.7265625" style="604" customWidth="1"/>
    <col min="2294" max="2294" width="11.26953125" style="604" customWidth="1"/>
    <col min="2295" max="2295" width="2.7265625" style="604" customWidth="1"/>
    <col min="2296" max="2296" width="19.08984375" style="604" bestFit="1" customWidth="1"/>
    <col min="2297" max="2297" width="1.81640625" style="604" customWidth="1"/>
    <col min="2298" max="2298" width="6.7265625" style="604" customWidth="1"/>
    <col min="2299" max="2299" width="14.7265625" style="604" customWidth="1"/>
    <col min="2300" max="2300" width="9" style="604" bestFit="1" customWidth="1"/>
    <col min="2301" max="2541" width="5" style="604"/>
    <col min="2542" max="2542" width="4.7265625" style="604" customWidth="1"/>
    <col min="2543" max="2543" width="2" style="604" customWidth="1"/>
    <col min="2544" max="2544" width="40.7265625" style="604" customWidth="1"/>
    <col min="2545" max="2545" width="3.54296875" style="604" customWidth="1"/>
    <col min="2546" max="2546" width="11.08984375" style="604" customWidth="1"/>
    <col min="2547" max="2547" width="2.7265625" style="604" customWidth="1"/>
    <col min="2548" max="2548" width="11.26953125" style="604" customWidth="1"/>
    <col min="2549" max="2549" width="2.7265625" style="604" customWidth="1"/>
    <col min="2550" max="2550" width="11.26953125" style="604" customWidth="1"/>
    <col min="2551" max="2551" width="2.7265625" style="604" customWidth="1"/>
    <col min="2552" max="2552" width="19.08984375" style="604" bestFit="1" customWidth="1"/>
    <col min="2553" max="2553" width="1.81640625" style="604" customWidth="1"/>
    <col min="2554" max="2554" width="6.7265625" style="604" customWidth="1"/>
    <col min="2555" max="2555" width="14.7265625" style="604" customWidth="1"/>
    <col min="2556" max="2556" width="9" style="604" bestFit="1" customWidth="1"/>
    <col min="2557" max="2797" width="5" style="604"/>
    <col min="2798" max="2798" width="4.7265625" style="604" customWidth="1"/>
    <col min="2799" max="2799" width="2" style="604" customWidth="1"/>
    <col min="2800" max="2800" width="40.7265625" style="604" customWidth="1"/>
    <col min="2801" max="2801" width="3.54296875" style="604" customWidth="1"/>
    <col min="2802" max="2802" width="11.08984375" style="604" customWidth="1"/>
    <col min="2803" max="2803" width="2.7265625" style="604" customWidth="1"/>
    <col min="2804" max="2804" width="11.26953125" style="604" customWidth="1"/>
    <col min="2805" max="2805" width="2.7265625" style="604" customWidth="1"/>
    <col min="2806" max="2806" width="11.26953125" style="604" customWidth="1"/>
    <col min="2807" max="2807" width="2.7265625" style="604" customWidth="1"/>
    <col min="2808" max="2808" width="19.08984375" style="604" bestFit="1" customWidth="1"/>
    <col min="2809" max="2809" width="1.81640625" style="604" customWidth="1"/>
    <col min="2810" max="2810" width="6.7265625" style="604" customWidth="1"/>
    <col min="2811" max="2811" width="14.7265625" style="604" customWidth="1"/>
    <col min="2812" max="2812" width="9" style="604" bestFit="1" customWidth="1"/>
    <col min="2813" max="3053" width="5" style="604"/>
    <col min="3054" max="3054" width="4.7265625" style="604" customWidth="1"/>
    <col min="3055" max="3055" width="2" style="604" customWidth="1"/>
    <col min="3056" max="3056" width="40.7265625" style="604" customWidth="1"/>
    <col min="3057" max="3057" width="3.54296875" style="604" customWidth="1"/>
    <col min="3058" max="3058" width="11.08984375" style="604" customWidth="1"/>
    <col min="3059" max="3059" width="2.7265625" style="604" customWidth="1"/>
    <col min="3060" max="3060" width="11.26953125" style="604" customWidth="1"/>
    <col min="3061" max="3061" width="2.7265625" style="604" customWidth="1"/>
    <col min="3062" max="3062" width="11.26953125" style="604" customWidth="1"/>
    <col min="3063" max="3063" width="2.7265625" style="604" customWidth="1"/>
    <col min="3064" max="3064" width="19.08984375" style="604" bestFit="1" customWidth="1"/>
    <col min="3065" max="3065" width="1.81640625" style="604" customWidth="1"/>
    <col min="3066" max="3066" width="6.7265625" style="604" customWidth="1"/>
    <col min="3067" max="3067" width="14.7265625" style="604" customWidth="1"/>
    <col min="3068" max="3068" width="9" style="604" bestFit="1" customWidth="1"/>
    <col min="3069" max="3309" width="5" style="604"/>
    <col min="3310" max="3310" width="4.7265625" style="604" customWidth="1"/>
    <col min="3311" max="3311" width="2" style="604" customWidth="1"/>
    <col min="3312" max="3312" width="40.7265625" style="604" customWidth="1"/>
    <col min="3313" max="3313" width="3.54296875" style="604" customWidth="1"/>
    <col min="3314" max="3314" width="11.08984375" style="604" customWidth="1"/>
    <col min="3315" max="3315" width="2.7265625" style="604" customWidth="1"/>
    <col min="3316" max="3316" width="11.26953125" style="604" customWidth="1"/>
    <col min="3317" max="3317" width="2.7265625" style="604" customWidth="1"/>
    <col min="3318" max="3318" width="11.26953125" style="604" customWidth="1"/>
    <col min="3319" max="3319" width="2.7265625" style="604" customWidth="1"/>
    <col min="3320" max="3320" width="19.08984375" style="604" bestFit="1" customWidth="1"/>
    <col min="3321" max="3321" width="1.81640625" style="604" customWidth="1"/>
    <col min="3322" max="3322" width="6.7265625" style="604" customWidth="1"/>
    <col min="3323" max="3323" width="14.7265625" style="604" customWidth="1"/>
    <col min="3324" max="3324" width="9" style="604" bestFit="1" customWidth="1"/>
    <col min="3325" max="3565" width="5" style="604"/>
    <col min="3566" max="3566" width="4.7265625" style="604" customWidth="1"/>
    <col min="3567" max="3567" width="2" style="604" customWidth="1"/>
    <col min="3568" max="3568" width="40.7265625" style="604" customWidth="1"/>
    <col min="3569" max="3569" width="3.54296875" style="604" customWidth="1"/>
    <col min="3570" max="3570" width="11.08984375" style="604" customWidth="1"/>
    <col min="3571" max="3571" width="2.7265625" style="604" customWidth="1"/>
    <col min="3572" max="3572" width="11.26953125" style="604" customWidth="1"/>
    <col min="3573" max="3573" width="2.7265625" style="604" customWidth="1"/>
    <col min="3574" max="3574" width="11.26953125" style="604" customWidth="1"/>
    <col min="3575" max="3575" width="2.7265625" style="604" customWidth="1"/>
    <col min="3576" max="3576" width="19.08984375" style="604" bestFit="1" customWidth="1"/>
    <col min="3577" max="3577" width="1.81640625" style="604" customWidth="1"/>
    <col min="3578" max="3578" width="6.7265625" style="604" customWidth="1"/>
    <col min="3579" max="3579" width="14.7265625" style="604" customWidth="1"/>
    <col min="3580" max="3580" width="9" style="604" bestFit="1" customWidth="1"/>
    <col min="3581" max="3821" width="5" style="604"/>
    <col min="3822" max="3822" width="4.7265625" style="604" customWidth="1"/>
    <col min="3823" max="3823" width="2" style="604" customWidth="1"/>
    <col min="3824" max="3824" width="40.7265625" style="604" customWidth="1"/>
    <col min="3825" max="3825" width="3.54296875" style="604" customWidth="1"/>
    <col min="3826" max="3826" width="11.08984375" style="604" customWidth="1"/>
    <col min="3827" max="3827" width="2.7265625" style="604" customWidth="1"/>
    <col min="3828" max="3828" width="11.26953125" style="604" customWidth="1"/>
    <col min="3829" max="3829" width="2.7265625" style="604" customWidth="1"/>
    <col min="3830" max="3830" width="11.26953125" style="604" customWidth="1"/>
    <col min="3831" max="3831" width="2.7265625" style="604" customWidth="1"/>
    <col min="3832" max="3832" width="19.08984375" style="604" bestFit="1" customWidth="1"/>
    <col min="3833" max="3833" width="1.81640625" style="604" customWidth="1"/>
    <col min="3834" max="3834" width="6.7265625" style="604" customWidth="1"/>
    <col min="3835" max="3835" width="14.7265625" style="604" customWidth="1"/>
    <col min="3836" max="3836" width="9" style="604" bestFit="1" customWidth="1"/>
    <col min="3837" max="4077" width="5" style="604"/>
    <col min="4078" max="4078" width="4.7265625" style="604" customWidth="1"/>
    <col min="4079" max="4079" width="2" style="604" customWidth="1"/>
    <col min="4080" max="4080" width="40.7265625" style="604" customWidth="1"/>
    <col min="4081" max="4081" width="3.54296875" style="604" customWidth="1"/>
    <col min="4082" max="4082" width="11.08984375" style="604" customWidth="1"/>
    <col min="4083" max="4083" width="2.7265625" style="604" customWidth="1"/>
    <col min="4084" max="4084" width="11.26953125" style="604" customWidth="1"/>
    <col min="4085" max="4085" width="2.7265625" style="604" customWidth="1"/>
    <col min="4086" max="4086" width="11.26953125" style="604" customWidth="1"/>
    <col min="4087" max="4087" width="2.7265625" style="604" customWidth="1"/>
    <col min="4088" max="4088" width="19.08984375" style="604" bestFit="1" customWidth="1"/>
    <col min="4089" max="4089" width="1.81640625" style="604" customWidth="1"/>
    <col min="4090" max="4090" width="6.7265625" style="604" customWidth="1"/>
    <col min="4091" max="4091" width="14.7265625" style="604" customWidth="1"/>
    <col min="4092" max="4092" width="9" style="604" bestFit="1" customWidth="1"/>
    <col min="4093" max="4333" width="5" style="604"/>
    <col min="4334" max="4334" width="4.7265625" style="604" customWidth="1"/>
    <col min="4335" max="4335" width="2" style="604" customWidth="1"/>
    <col min="4336" max="4336" width="40.7265625" style="604" customWidth="1"/>
    <col min="4337" max="4337" width="3.54296875" style="604" customWidth="1"/>
    <col min="4338" max="4338" width="11.08984375" style="604" customWidth="1"/>
    <col min="4339" max="4339" width="2.7265625" style="604" customWidth="1"/>
    <col min="4340" max="4340" width="11.26953125" style="604" customWidth="1"/>
    <col min="4341" max="4341" width="2.7265625" style="604" customWidth="1"/>
    <col min="4342" max="4342" width="11.26953125" style="604" customWidth="1"/>
    <col min="4343" max="4343" width="2.7265625" style="604" customWidth="1"/>
    <col min="4344" max="4344" width="19.08984375" style="604" bestFit="1" customWidth="1"/>
    <col min="4345" max="4345" width="1.81640625" style="604" customWidth="1"/>
    <col min="4346" max="4346" width="6.7265625" style="604" customWidth="1"/>
    <col min="4347" max="4347" width="14.7265625" style="604" customWidth="1"/>
    <col min="4348" max="4348" width="9" style="604" bestFit="1" customWidth="1"/>
    <col min="4349" max="4589" width="5" style="604"/>
    <col min="4590" max="4590" width="4.7265625" style="604" customWidth="1"/>
    <col min="4591" max="4591" width="2" style="604" customWidth="1"/>
    <col min="4592" max="4592" width="40.7265625" style="604" customWidth="1"/>
    <col min="4593" max="4593" width="3.54296875" style="604" customWidth="1"/>
    <col min="4594" max="4594" width="11.08984375" style="604" customWidth="1"/>
    <col min="4595" max="4595" width="2.7265625" style="604" customWidth="1"/>
    <col min="4596" max="4596" width="11.26953125" style="604" customWidth="1"/>
    <col min="4597" max="4597" width="2.7265625" style="604" customWidth="1"/>
    <col min="4598" max="4598" width="11.26953125" style="604" customWidth="1"/>
    <col min="4599" max="4599" width="2.7265625" style="604" customWidth="1"/>
    <col min="4600" max="4600" width="19.08984375" style="604" bestFit="1" customWidth="1"/>
    <col min="4601" max="4601" width="1.81640625" style="604" customWidth="1"/>
    <col min="4602" max="4602" width="6.7265625" style="604" customWidth="1"/>
    <col min="4603" max="4603" width="14.7265625" style="604" customWidth="1"/>
    <col min="4604" max="4604" width="9" style="604" bestFit="1" customWidth="1"/>
    <col min="4605" max="4845" width="5" style="604"/>
    <col min="4846" max="4846" width="4.7265625" style="604" customWidth="1"/>
    <col min="4847" max="4847" width="2" style="604" customWidth="1"/>
    <col min="4848" max="4848" width="40.7265625" style="604" customWidth="1"/>
    <col min="4849" max="4849" width="3.54296875" style="604" customWidth="1"/>
    <col min="4850" max="4850" width="11.08984375" style="604" customWidth="1"/>
    <col min="4851" max="4851" width="2.7265625" style="604" customWidth="1"/>
    <col min="4852" max="4852" width="11.26953125" style="604" customWidth="1"/>
    <col min="4853" max="4853" width="2.7265625" style="604" customWidth="1"/>
    <col min="4854" max="4854" width="11.26953125" style="604" customWidth="1"/>
    <col min="4855" max="4855" width="2.7265625" style="604" customWidth="1"/>
    <col min="4856" max="4856" width="19.08984375" style="604" bestFit="1" customWidth="1"/>
    <col min="4857" max="4857" width="1.81640625" style="604" customWidth="1"/>
    <col min="4858" max="4858" width="6.7265625" style="604" customWidth="1"/>
    <col min="4859" max="4859" width="14.7265625" style="604" customWidth="1"/>
    <col min="4860" max="4860" width="9" style="604" bestFit="1" customWidth="1"/>
    <col min="4861" max="5101" width="5" style="604"/>
    <col min="5102" max="5102" width="4.7265625" style="604" customWidth="1"/>
    <col min="5103" max="5103" width="2" style="604" customWidth="1"/>
    <col min="5104" max="5104" width="40.7265625" style="604" customWidth="1"/>
    <col min="5105" max="5105" width="3.54296875" style="604" customWidth="1"/>
    <col min="5106" max="5106" width="11.08984375" style="604" customWidth="1"/>
    <col min="5107" max="5107" width="2.7265625" style="604" customWidth="1"/>
    <col min="5108" max="5108" width="11.26953125" style="604" customWidth="1"/>
    <col min="5109" max="5109" width="2.7265625" style="604" customWidth="1"/>
    <col min="5110" max="5110" width="11.26953125" style="604" customWidth="1"/>
    <col min="5111" max="5111" width="2.7265625" style="604" customWidth="1"/>
    <col min="5112" max="5112" width="19.08984375" style="604" bestFit="1" customWidth="1"/>
    <col min="5113" max="5113" width="1.81640625" style="604" customWidth="1"/>
    <col min="5114" max="5114" width="6.7265625" style="604" customWidth="1"/>
    <col min="5115" max="5115" width="14.7265625" style="604" customWidth="1"/>
    <col min="5116" max="5116" width="9" style="604" bestFit="1" customWidth="1"/>
    <col min="5117" max="5357" width="5" style="604"/>
    <col min="5358" max="5358" width="4.7265625" style="604" customWidth="1"/>
    <col min="5359" max="5359" width="2" style="604" customWidth="1"/>
    <col min="5360" max="5360" width="40.7265625" style="604" customWidth="1"/>
    <col min="5361" max="5361" width="3.54296875" style="604" customWidth="1"/>
    <col min="5362" max="5362" width="11.08984375" style="604" customWidth="1"/>
    <col min="5363" max="5363" width="2.7265625" style="604" customWidth="1"/>
    <col min="5364" max="5364" width="11.26953125" style="604" customWidth="1"/>
    <col min="5365" max="5365" width="2.7265625" style="604" customWidth="1"/>
    <col min="5366" max="5366" width="11.26953125" style="604" customWidth="1"/>
    <col min="5367" max="5367" width="2.7265625" style="604" customWidth="1"/>
    <col min="5368" max="5368" width="19.08984375" style="604" bestFit="1" customWidth="1"/>
    <col min="5369" max="5369" width="1.81640625" style="604" customWidth="1"/>
    <col min="5370" max="5370" width="6.7265625" style="604" customWidth="1"/>
    <col min="5371" max="5371" width="14.7265625" style="604" customWidth="1"/>
    <col min="5372" max="5372" width="9" style="604" bestFit="1" customWidth="1"/>
    <col min="5373" max="5613" width="5" style="604"/>
    <col min="5614" max="5614" width="4.7265625" style="604" customWidth="1"/>
    <col min="5615" max="5615" width="2" style="604" customWidth="1"/>
    <col min="5616" max="5616" width="40.7265625" style="604" customWidth="1"/>
    <col min="5617" max="5617" width="3.54296875" style="604" customWidth="1"/>
    <col min="5618" max="5618" width="11.08984375" style="604" customWidth="1"/>
    <col min="5619" max="5619" width="2.7265625" style="604" customWidth="1"/>
    <col min="5620" max="5620" width="11.26953125" style="604" customWidth="1"/>
    <col min="5621" max="5621" width="2.7265625" style="604" customWidth="1"/>
    <col min="5622" max="5622" width="11.26953125" style="604" customWidth="1"/>
    <col min="5623" max="5623" width="2.7265625" style="604" customWidth="1"/>
    <col min="5624" max="5624" width="19.08984375" style="604" bestFit="1" customWidth="1"/>
    <col min="5625" max="5625" width="1.81640625" style="604" customWidth="1"/>
    <col min="5626" max="5626" width="6.7265625" style="604" customWidth="1"/>
    <col min="5627" max="5627" width="14.7265625" style="604" customWidth="1"/>
    <col min="5628" max="5628" width="9" style="604" bestFit="1" customWidth="1"/>
    <col min="5629" max="5869" width="5" style="604"/>
    <col min="5870" max="5870" width="4.7265625" style="604" customWidth="1"/>
    <col min="5871" max="5871" width="2" style="604" customWidth="1"/>
    <col min="5872" max="5872" width="40.7265625" style="604" customWidth="1"/>
    <col min="5873" max="5873" width="3.54296875" style="604" customWidth="1"/>
    <col min="5874" max="5874" width="11.08984375" style="604" customWidth="1"/>
    <col min="5875" max="5875" width="2.7265625" style="604" customWidth="1"/>
    <col min="5876" max="5876" width="11.26953125" style="604" customWidth="1"/>
    <col min="5877" max="5877" width="2.7265625" style="604" customWidth="1"/>
    <col min="5878" max="5878" width="11.26953125" style="604" customWidth="1"/>
    <col min="5879" max="5879" width="2.7265625" style="604" customWidth="1"/>
    <col min="5880" max="5880" width="19.08984375" style="604" bestFit="1" customWidth="1"/>
    <col min="5881" max="5881" width="1.81640625" style="604" customWidth="1"/>
    <col min="5882" max="5882" width="6.7265625" style="604" customWidth="1"/>
    <col min="5883" max="5883" width="14.7265625" style="604" customWidth="1"/>
    <col min="5884" max="5884" width="9" style="604" bestFit="1" customWidth="1"/>
    <col min="5885" max="6125" width="5" style="604"/>
    <col min="6126" max="6126" width="4.7265625" style="604" customWidth="1"/>
    <col min="6127" max="6127" width="2" style="604" customWidth="1"/>
    <col min="6128" max="6128" width="40.7265625" style="604" customWidth="1"/>
    <col min="6129" max="6129" width="3.54296875" style="604" customWidth="1"/>
    <col min="6130" max="6130" width="11.08984375" style="604" customWidth="1"/>
    <col min="6131" max="6131" width="2.7265625" style="604" customWidth="1"/>
    <col min="6132" max="6132" width="11.26953125" style="604" customWidth="1"/>
    <col min="6133" max="6133" width="2.7265625" style="604" customWidth="1"/>
    <col min="6134" max="6134" width="11.26953125" style="604" customWidth="1"/>
    <col min="6135" max="6135" width="2.7265625" style="604" customWidth="1"/>
    <col min="6136" max="6136" width="19.08984375" style="604" bestFit="1" customWidth="1"/>
    <col min="6137" max="6137" width="1.81640625" style="604" customWidth="1"/>
    <col min="6138" max="6138" width="6.7265625" style="604" customWidth="1"/>
    <col min="6139" max="6139" width="14.7265625" style="604" customWidth="1"/>
    <col min="6140" max="6140" width="9" style="604" bestFit="1" customWidth="1"/>
    <col min="6141" max="6381" width="5" style="604"/>
    <col min="6382" max="6382" width="4.7265625" style="604" customWidth="1"/>
    <col min="6383" max="6383" width="2" style="604" customWidth="1"/>
    <col min="6384" max="6384" width="40.7265625" style="604" customWidth="1"/>
    <col min="6385" max="6385" width="3.54296875" style="604" customWidth="1"/>
    <col min="6386" max="6386" width="11.08984375" style="604" customWidth="1"/>
    <col min="6387" max="6387" width="2.7265625" style="604" customWidth="1"/>
    <col min="6388" max="6388" width="11.26953125" style="604" customWidth="1"/>
    <col min="6389" max="6389" width="2.7265625" style="604" customWidth="1"/>
    <col min="6390" max="6390" width="11.26953125" style="604" customWidth="1"/>
    <col min="6391" max="6391" width="2.7265625" style="604" customWidth="1"/>
    <col min="6392" max="6392" width="19.08984375" style="604" bestFit="1" customWidth="1"/>
    <col min="6393" max="6393" width="1.81640625" style="604" customWidth="1"/>
    <col min="6394" max="6394" width="6.7265625" style="604" customWidth="1"/>
    <col min="6395" max="6395" width="14.7265625" style="604" customWidth="1"/>
    <col min="6396" max="6396" width="9" style="604" bestFit="1" customWidth="1"/>
    <col min="6397" max="6637" width="5" style="604"/>
    <col min="6638" max="6638" width="4.7265625" style="604" customWidth="1"/>
    <col min="6639" max="6639" width="2" style="604" customWidth="1"/>
    <col min="6640" max="6640" width="40.7265625" style="604" customWidth="1"/>
    <col min="6641" max="6641" width="3.54296875" style="604" customWidth="1"/>
    <col min="6642" max="6642" width="11.08984375" style="604" customWidth="1"/>
    <col min="6643" max="6643" width="2.7265625" style="604" customWidth="1"/>
    <col min="6644" max="6644" width="11.26953125" style="604" customWidth="1"/>
    <col min="6645" max="6645" width="2.7265625" style="604" customWidth="1"/>
    <col min="6646" max="6646" width="11.26953125" style="604" customWidth="1"/>
    <col min="6647" max="6647" width="2.7265625" style="604" customWidth="1"/>
    <col min="6648" max="6648" width="19.08984375" style="604" bestFit="1" customWidth="1"/>
    <col min="6649" max="6649" width="1.81640625" style="604" customWidth="1"/>
    <col min="6650" max="6650" width="6.7265625" style="604" customWidth="1"/>
    <col min="6651" max="6651" width="14.7265625" style="604" customWidth="1"/>
    <col min="6652" max="6652" width="9" style="604" bestFit="1" customWidth="1"/>
    <col min="6653" max="6893" width="5" style="604"/>
    <col min="6894" max="6894" width="4.7265625" style="604" customWidth="1"/>
    <col min="6895" max="6895" width="2" style="604" customWidth="1"/>
    <col min="6896" max="6896" width="40.7265625" style="604" customWidth="1"/>
    <col min="6897" max="6897" width="3.54296875" style="604" customWidth="1"/>
    <col min="6898" max="6898" width="11.08984375" style="604" customWidth="1"/>
    <col min="6899" max="6899" width="2.7265625" style="604" customWidth="1"/>
    <col min="6900" max="6900" width="11.26953125" style="604" customWidth="1"/>
    <col min="6901" max="6901" width="2.7265625" style="604" customWidth="1"/>
    <col min="6902" max="6902" width="11.26953125" style="604" customWidth="1"/>
    <col min="6903" max="6903" width="2.7265625" style="604" customWidth="1"/>
    <col min="6904" max="6904" width="19.08984375" style="604" bestFit="1" customWidth="1"/>
    <col min="6905" max="6905" width="1.81640625" style="604" customWidth="1"/>
    <col min="6906" max="6906" width="6.7265625" style="604" customWidth="1"/>
    <col min="6907" max="6907" width="14.7265625" style="604" customWidth="1"/>
    <col min="6908" max="6908" width="9" style="604" bestFit="1" customWidth="1"/>
    <col min="6909" max="7149" width="5" style="604"/>
    <col min="7150" max="7150" width="4.7265625" style="604" customWidth="1"/>
    <col min="7151" max="7151" width="2" style="604" customWidth="1"/>
    <col min="7152" max="7152" width="40.7265625" style="604" customWidth="1"/>
    <col min="7153" max="7153" width="3.54296875" style="604" customWidth="1"/>
    <col min="7154" max="7154" width="11.08984375" style="604" customWidth="1"/>
    <col min="7155" max="7155" width="2.7265625" style="604" customWidth="1"/>
    <col min="7156" max="7156" width="11.26953125" style="604" customWidth="1"/>
    <col min="7157" max="7157" width="2.7265625" style="604" customWidth="1"/>
    <col min="7158" max="7158" width="11.26953125" style="604" customWidth="1"/>
    <col min="7159" max="7159" width="2.7265625" style="604" customWidth="1"/>
    <col min="7160" max="7160" width="19.08984375" style="604" bestFit="1" customWidth="1"/>
    <col min="7161" max="7161" width="1.81640625" style="604" customWidth="1"/>
    <col min="7162" max="7162" width="6.7265625" style="604" customWidth="1"/>
    <col min="7163" max="7163" width="14.7265625" style="604" customWidth="1"/>
    <col min="7164" max="7164" width="9" style="604" bestFit="1" customWidth="1"/>
    <col min="7165" max="7405" width="5" style="604"/>
    <col min="7406" max="7406" width="4.7265625" style="604" customWidth="1"/>
    <col min="7407" max="7407" width="2" style="604" customWidth="1"/>
    <col min="7408" max="7408" width="40.7265625" style="604" customWidth="1"/>
    <col min="7409" max="7409" width="3.54296875" style="604" customWidth="1"/>
    <col min="7410" max="7410" width="11.08984375" style="604" customWidth="1"/>
    <col min="7411" max="7411" width="2.7265625" style="604" customWidth="1"/>
    <col min="7412" max="7412" width="11.26953125" style="604" customWidth="1"/>
    <col min="7413" max="7413" width="2.7265625" style="604" customWidth="1"/>
    <col min="7414" max="7414" width="11.26953125" style="604" customWidth="1"/>
    <col min="7415" max="7415" width="2.7265625" style="604" customWidth="1"/>
    <col min="7416" max="7416" width="19.08984375" style="604" bestFit="1" customWidth="1"/>
    <col min="7417" max="7417" width="1.81640625" style="604" customWidth="1"/>
    <col min="7418" max="7418" width="6.7265625" style="604" customWidth="1"/>
    <col min="7419" max="7419" width="14.7265625" style="604" customWidth="1"/>
    <col min="7420" max="7420" width="9" style="604" bestFit="1" customWidth="1"/>
    <col min="7421" max="7661" width="5" style="604"/>
    <col min="7662" max="7662" width="4.7265625" style="604" customWidth="1"/>
    <col min="7663" max="7663" width="2" style="604" customWidth="1"/>
    <col min="7664" max="7664" width="40.7265625" style="604" customWidth="1"/>
    <col min="7665" max="7665" width="3.54296875" style="604" customWidth="1"/>
    <col min="7666" max="7666" width="11.08984375" style="604" customWidth="1"/>
    <col min="7667" max="7667" width="2.7265625" style="604" customWidth="1"/>
    <col min="7668" max="7668" width="11.26953125" style="604" customWidth="1"/>
    <col min="7669" max="7669" width="2.7265625" style="604" customWidth="1"/>
    <col min="7670" max="7670" width="11.26953125" style="604" customWidth="1"/>
    <col min="7671" max="7671" width="2.7265625" style="604" customWidth="1"/>
    <col min="7672" max="7672" width="19.08984375" style="604" bestFit="1" customWidth="1"/>
    <col min="7673" max="7673" width="1.81640625" style="604" customWidth="1"/>
    <col min="7674" max="7674" width="6.7265625" style="604" customWidth="1"/>
    <col min="7675" max="7675" width="14.7265625" style="604" customWidth="1"/>
    <col min="7676" max="7676" width="9" style="604" bestFit="1" customWidth="1"/>
    <col min="7677" max="7917" width="5" style="604"/>
    <col min="7918" max="7918" width="4.7265625" style="604" customWidth="1"/>
    <col min="7919" max="7919" width="2" style="604" customWidth="1"/>
    <col min="7920" max="7920" width="40.7265625" style="604" customWidth="1"/>
    <col min="7921" max="7921" width="3.54296875" style="604" customWidth="1"/>
    <col min="7922" max="7922" width="11.08984375" style="604" customWidth="1"/>
    <col min="7923" max="7923" width="2.7265625" style="604" customWidth="1"/>
    <col min="7924" max="7924" width="11.26953125" style="604" customWidth="1"/>
    <col min="7925" max="7925" width="2.7265625" style="604" customWidth="1"/>
    <col min="7926" max="7926" width="11.26953125" style="604" customWidth="1"/>
    <col min="7927" max="7927" width="2.7265625" style="604" customWidth="1"/>
    <col min="7928" max="7928" width="19.08984375" style="604" bestFit="1" customWidth="1"/>
    <col min="7929" max="7929" width="1.81640625" style="604" customWidth="1"/>
    <col min="7930" max="7930" width="6.7265625" style="604" customWidth="1"/>
    <col min="7931" max="7931" width="14.7265625" style="604" customWidth="1"/>
    <col min="7932" max="7932" width="9" style="604" bestFit="1" customWidth="1"/>
    <col min="7933" max="8173" width="5" style="604"/>
    <col min="8174" max="8174" width="4.7265625" style="604" customWidth="1"/>
    <col min="8175" max="8175" width="2" style="604" customWidth="1"/>
    <col min="8176" max="8176" width="40.7265625" style="604" customWidth="1"/>
    <col min="8177" max="8177" width="3.54296875" style="604" customWidth="1"/>
    <col min="8178" max="8178" width="11.08984375" style="604" customWidth="1"/>
    <col min="8179" max="8179" width="2.7265625" style="604" customWidth="1"/>
    <col min="8180" max="8180" width="11.26953125" style="604" customWidth="1"/>
    <col min="8181" max="8181" width="2.7265625" style="604" customWidth="1"/>
    <col min="8182" max="8182" width="11.26953125" style="604" customWidth="1"/>
    <col min="8183" max="8183" width="2.7265625" style="604" customWidth="1"/>
    <col min="8184" max="8184" width="19.08984375" style="604" bestFit="1" customWidth="1"/>
    <col min="8185" max="8185" width="1.81640625" style="604" customWidth="1"/>
    <col min="8186" max="8186" width="6.7265625" style="604" customWidth="1"/>
    <col min="8187" max="8187" width="14.7265625" style="604" customWidth="1"/>
    <col min="8188" max="8188" width="9" style="604" bestFit="1" customWidth="1"/>
    <col min="8189" max="8429" width="5" style="604"/>
    <col min="8430" max="8430" width="4.7265625" style="604" customWidth="1"/>
    <col min="8431" max="8431" width="2" style="604" customWidth="1"/>
    <col min="8432" max="8432" width="40.7265625" style="604" customWidth="1"/>
    <col min="8433" max="8433" width="3.54296875" style="604" customWidth="1"/>
    <col min="8434" max="8434" width="11.08984375" style="604" customWidth="1"/>
    <col min="8435" max="8435" width="2.7265625" style="604" customWidth="1"/>
    <col min="8436" max="8436" width="11.26953125" style="604" customWidth="1"/>
    <col min="8437" max="8437" width="2.7265625" style="604" customWidth="1"/>
    <col min="8438" max="8438" width="11.26953125" style="604" customWidth="1"/>
    <col min="8439" max="8439" width="2.7265625" style="604" customWidth="1"/>
    <col min="8440" max="8440" width="19.08984375" style="604" bestFit="1" customWidth="1"/>
    <col min="8441" max="8441" width="1.81640625" style="604" customWidth="1"/>
    <col min="8442" max="8442" width="6.7265625" style="604" customWidth="1"/>
    <col min="8443" max="8443" width="14.7265625" style="604" customWidth="1"/>
    <col min="8444" max="8444" width="9" style="604" bestFit="1" customWidth="1"/>
    <col min="8445" max="8685" width="5" style="604"/>
    <col min="8686" max="8686" width="4.7265625" style="604" customWidth="1"/>
    <col min="8687" max="8687" width="2" style="604" customWidth="1"/>
    <col min="8688" max="8688" width="40.7265625" style="604" customWidth="1"/>
    <col min="8689" max="8689" width="3.54296875" style="604" customWidth="1"/>
    <col min="8690" max="8690" width="11.08984375" style="604" customWidth="1"/>
    <col min="8691" max="8691" width="2.7265625" style="604" customWidth="1"/>
    <col min="8692" max="8692" width="11.26953125" style="604" customWidth="1"/>
    <col min="8693" max="8693" width="2.7265625" style="604" customWidth="1"/>
    <col min="8694" max="8694" width="11.26953125" style="604" customWidth="1"/>
    <col min="8695" max="8695" width="2.7265625" style="604" customWidth="1"/>
    <col min="8696" max="8696" width="19.08984375" style="604" bestFit="1" customWidth="1"/>
    <col min="8697" max="8697" width="1.81640625" style="604" customWidth="1"/>
    <col min="8698" max="8698" width="6.7265625" style="604" customWidth="1"/>
    <col min="8699" max="8699" width="14.7265625" style="604" customWidth="1"/>
    <col min="8700" max="8700" width="9" style="604" bestFit="1" customWidth="1"/>
    <col min="8701" max="8941" width="5" style="604"/>
    <col min="8942" max="8942" width="4.7265625" style="604" customWidth="1"/>
    <col min="8943" max="8943" width="2" style="604" customWidth="1"/>
    <col min="8944" max="8944" width="40.7265625" style="604" customWidth="1"/>
    <col min="8945" max="8945" width="3.54296875" style="604" customWidth="1"/>
    <col min="8946" max="8946" width="11.08984375" style="604" customWidth="1"/>
    <col min="8947" max="8947" width="2.7265625" style="604" customWidth="1"/>
    <col min="8948" max="8948" width="11.26953125" style="604" customWidth="1"/>
    <col min="8949" max="8949" width="2.7265625" style="604" customWidth="1"/>
    <col min="8950" max="8950" width="11.26953125" style="604" customWidth="1"/>
    <col min="8951" max="8951" width="2.7265625" style="604" customWidth="1"/>
    <col min="8952" max="8952" width="19.08984375" style="604" bestFit="1" customWidth="1"/>
    <col min="8953" max="8953" width="1.81640625" style="604" customWidth="1"/>
    <col min="8954" max="8954" width="6.7265625" style="604" customWidth="1"/>
    <col min="8955" max="8955" width="14.7265625" style="604" customWidth="1"/>
    <col min="8956" max="8956" width="9" style="604" bestFit="1" customWidth="1"/>
    <col min="8957" max="9197" width="5" style="604"/>
    <col min="9198" max="9198" width="4.7265625" style="604" customWidth="1"/>
    <col min="9199" max="9199" width="2" style="604" customWidth="1"/>
    <col min="9200" max="9200" width="40.7265625" style="604" customWidth="1"/>
    <col min="9201" max="9201" width="3.54296875" style="604" customWidth="1"/>
    <col min="9202" max="9202" width="11.08984375" style="604" customWidth="1"/>
    <col min="9203" max="9203" width="2.7265625" style="604" customWidth="1"/>
    <col min="9204" max="9204" width="11.26953125" style="604" customWidth="1"/>
    <col min="9205" max="9205" width="2.7265625" style="604" customWidth="1"/>
    <col min="9206" max="9206" width="11.26953125" style="604" customWidth="1"/>
    <col min="9207" max="9207" width="2.7265625" style="604" customWidth="1"/>
    <col min="9208" max="9208" width="19.08984375" style="604" bestFit="1" customWidth="1"/>
    <col min="9209" max="9209" width="1.81640625" style="604" customWidth="1"/>
    <col min="9210" max="9210" width="6.7265625" style="604" customWidth="1"/>
    <col min="9211" max="9211" width="14.7265625" style="604" customWidth="1"/>
    <col min="9212" max="9212" width="9" style="604" bestFit="1" customWidth="1"/>
    <col min="9213" max="9453" width="5" style="604"/>
    <col min="9454" max="9454" width="4.7265625" style="604" customWidth="1"/>
    <col min="9455" max="9455" width="2" style="604" customWidth="1"/>
    <col min="9456" max="9456" width="40.7265625" style="604" customWidth="1"/>
    <col min="9457" max="9457" width="3.54296875" style="604" customWidth="1"/>
    <col min="9458" max="9458" width="11.08984375" style="604" customWidth="1"/>
    <col min="9459" max="9459" width="2.7265625" style="604" customWidth="1"/>
    <col min="9460" max="9460" width="11.26953125" style="604" customWidth="1"/>
    <col min="9461" max="9461" width="2.7265625" style="604" customWidth="1"/>
    <col min="9462" max="9462" width="11.26953125" style="604" customWidth="1"/>
    <col min="9463" max="9463" width="2.7265625" style="604" customWidth="1"/>
    <col min="9464" max="9464" width="19.08984375" style="604" bestFit="1" customWidth="1"/>
    <col min="9465" max="9465" width="1.81640625" style="604" customWidth="1"/>
    <col min="9466" max="9466" width="6.7265625" style="604" customWidth="1"/>
    <col min="9467" max="9467" width="14.7265625" style="604" customWidth="1"/>
    <col min="9468" max="9468" width="9" style="604" bestFit="1" customWidth="1"/>
    <col min="9469" max="9709" width="5" style="604"/>
    <col min="9710" max="9710" width="4.7265625" style="604" customWidth="1"/>
    <col min="9711" max="9711" width="2" style="604" customWidth="1"/>
    <col min="9712" max="9712" width="40.7265625" style="604" customWidth="1"/>
    <col min="9713" max="9713" width="3.54296875" style="604" customWidth="1"/>
    <col min="9714" max="9714" width="11.08984375" style="604" customWidth="1"/>
    <col min="9715" max="9715" width="2.7265625" style="604" customWidth="1"/>
    <col min="9716" max="9716" width="11.26953125" style="604" customWidth="1"/>
    <col min="9717" max="9717" width="2.7265625" style="604" customWidth="1"/>
    <col min="9718" max="9718" width="11.26953125" style="604" customWidth="1"/>
    <col min="9719" max="9719" width="2.7265625" style="604" customWidth="1"/>
    <col min="9720" max="9720" width="19.08984375" style="604" bestFit="1" customWidth="1"/>
    <col min="9721" max="9721" width="1.81640625" style="604" customWidth="1"/>
    <col min="9722" max="9722" width="6.7265625" style="604" customWidth="1"/>
    <col min="9723" max="9723" width="14.7265625" style="604" customWidth="1"/>
    <col min="9724" max="9724" width="9" style="604" bestFit="1" customWidth="1"/>
    <col min="9725" max="9965" width="5" style="604"/>
    <col min="9966" max="9966" width="4.7265625" style="604" customWidth="1"/>
    <col min="9967" max="9967" width="2" style="604" customWidth="1"/>
    <col min="9968" max="9968" width="40.7265625" style="604" customWidth="1"/>
    <col min="9969" max="9969" width="3.54296875" style="604" customWidth="1"/>
    <col min="9970" max="9970" width="11.08984375" style="604" customWidth="1"/>
    <col min="9971" max="9971" width="2.7265625" style="604" customWidth="1"/>
    <col min="9972" max="9972" width="11.26953125" style="604" customWidth="1"/>
    <col min="9973" max="9973" width="2.7265625" style="604" customWidth="1"/>
    <col min="9974" max="9974" width="11.26953125" style="604" customWidth="1"/>
    <col min="9975" max="9975" width="2.7265625" style="604" customWidth="1"/>
    <col min="9976" max="9976" width="19.08984375" style="604" bestFit="1" customWidth="1"/>
    <col min="9977" max="9977" width="1.81640625" style="604" customWidth="1"/>
    <col min="9978" max="9978" width="6.7265625" style="604" customWidth="1"/>
    <col min="9979" max="9979" width="14.7265625" style="604" customWidth="1"/>
    <col min="9980" max="9980" width="9" style="604" bestFit="1" customWidth="1"/>
    <col min="9981" max="10221" width="5" style="604"/>
    <col min="10222" max="10222" width="4.7265625" style="604" customWidth="1"/>
    <col min="10223" max="10223" width="2" style="604" customWidth="1"/>
    <col min="10224" max="10224" width="40.7265625" style="604" customWidth="1"/>
    <col min="10225" max="10225" width="3.54296875" style="604" customWidth="1"/>
    <col min="10226" max="10226" width="11.08984375" style="604" customWidth="1"/>
    <col min="10227" max="10227" width="2.7265625" style="604" customWidth="1"/>
    <col min="10228" max="10228" width="11.26953125" style="604" customWidth="1"/>
    <col min="10229" max="10229" width="2.7265625" style="604" customWidth="1"/>
    <col min="10230" max="10230" width="11.26953125" style="604" customWidth="1"/>
    <col min="10231" max="10231" width="2.7265625" style="604" customWidth="1"/>
    <col min="10232" max="10232" width="19.08984375" style="604" bestFit="1" customWidth="1"/>
    <col min="10233" max="10233" width="1.81640625" style="604" customWidth="1"/>
    <col min="10234" max="10234" width="6.7265625" style="604" customWidth="1"/>
    <col min="10235" max="10235" width="14.7265625" style="604" customWidth="1"/>
    <col min="10236" max="10236" width="9" style="604" bestFit="1" customWidth="1"/>
    <col min="10237" max="10477" width="5" style="604"/>
    <col min="10478" max="10478" width="4.7265625" style="604" customWidth="1"/>
    <col min="10479" max="10479" width="2" style="604" customWidth="1"/>
    <col min="10480" max="10480" width="40.7265625" style="604" customWidth="1"/>
    <col min="10481" max="10481" width="3.54296875" style="604" customWidth="1"/>
    <col min="10482" max="10482" width="11.08984375" style="604" customWidth="1"/>
    <col min="10483" max="10483" width="2.7265625" style="604" customWidth="1"/>
    <col min="10484" max="10484" width="11.26953125" style="604" customWidth="1"/>
    <col min="10485" max="10485" width="2.7265625" style="604" customWidth="1"/>
    <col min="10486" max="10486" width="11.26953125" style="604" customWidth="1"/>
    <col min="10487" max="10487" width="2.7265625" style="604" customWidth="1"/>
    <col min="10488" max="10488" width="19.08984375" style="604" bestFit="1" customWidth="1"/>
    <col min="10489" max="10489" width="1.81640625" style="604" customWidth="1"/>
    <col min="10490" max="10490" width="6.7265625" style="604" customWidth="1"/>
    <col min="10491" max="10491" width="14.7265625" style="604" customWidth="1"/>
    <col min="10492" max="10492" width="9" style="604" bestFit="1" customWidth="1"/>
    <col min="10493" max="10733" width="5" style="604"/>
    <col min="10734" max="10734" width="4.7265625" style="604" customWidth="1"/>
    <col min="10735" max="10735" width="2" style="604" customWidth="1"/>
    <col min="10736" max="10736" width="40.7265625" style="604" customWidth="1"/>
    <col min="10737" max="10737" width="3.54296875" style="604" customWidth="1"/>
    <col min="10738" max="10738" width="11.08984375" style="604" customWidth="1"/>
    <col min="10739" max="10739" width="2.7265625" style="604" customWidth="1"/>
    <col min="10740" max="10740" width="11.26953125" style="604" customWidth="1"/>
    <col min="10741" max="10741" width="2.7265625" style="604" customWidth="1"/>
    <col min="10742" max="10742" width="11.26953125" style="604" customWidth="1"/>
    <col min="10743" max="10743" width="2.7265625" style="604" customWidth="1"/>
    <col min="10744" max="10744" width="19.08984375" style="604" bestFit="1" customWidth="1"/>
    <col min="10745" max="10745" width="1.81640625" style="604" customWidth="1"/>
    <col min="10746" max="10746" width="6.7265625" style="604" customWidth="1"/>
    <col min="10747" max="10747" width="14.7265625" style="604" customWidth="1"/>
    <col min="10748" max="10748" width="9" style="604" bestFit="1" customWidth="1"/>
    <col min="10749" max="10989" width="5" style="604"/>
    <col min="10990" max="10990" width="4.7265625" style="604" customWidth="1"/>
    <col min="10991" max="10991" width="2" style="604" customWidth="1"/>
    <col min="10992" max="10992" width="40.7265625" style="604" customWidth="1"/>
    <col min="10993" max="10993" width="3.54296875" style="604" customWidth="1"/>
    <col min="10994" max="10994" width="11.08984375" style="604" customWidth="1"/>
    <col min="10995" max="10995" width="2.7265625" style="604" customWidth="1"/>
    <col min="10996" max="10996" width="11.26953125" style="604" customWidth="1"/>
    <col min="10997" max="10997" width="2.7265625" style="604" customWidth="1"/>
    <col min="10998" max="10998" width="11.26953125" style="604" customWidth="1"/>
    <col min="10999" max="10999" width="2.7265625" style="604" customWidth="1"/>
    <col min="11000" max="11000" width="19.08984375" style="604" bestFit="1" customWidth="1"/>
    <col min="11001" max="11001" width="1.81640625" style="604" customWidth="1"/>
    <col min="11002" max="11002" width="6.7265625" style="604" customWidth="1"/>
    <col min="11003" max="11003" width="14.7265625" style="604" customWidth="1"/>
    <col min="11004" max="11004" width="9" style="604" bestFit="1" customWidth="1"/>
    <col min="11005" max="11245" width="5" style="604"/>
    <col min="11246" max="11246" width="4.7265625" style="604" customWidth="1"/>
    <col min="11247" max="11247" width="2" style="604" customWidth="1"/>
    <col min="11248" max="11248" width="40.7265625" style="604" customWidth="1"/>
    <col min="11249" max="11249" width="3.54296875" style="604" customWidth="1"/>
    <col min="11250" max="11250" width="11.08984375" style="604" customWidth="1"/>
    <col min="11251" max="11251" width="2.7265625" style="604" customWidth="1"/>
    <col min="11252" max="11252" width="11.26953125" style="604" customWidth="1"/>
    <col min="11253" max="11253" width="2.7265625" style="604" customWidth="1"/>
    <col min="11254" max="11254" width="11.26953125" style="604" customWidth="1"/>
    <col min="11255" max="11255" width="2.7265625" style="604" customWidth="1"/>
    <col min="11256" max="11256" width="19.08984375" style="604" bestFit="1" customWidth="1"/>
    <col min="11257" max="11257" width="1.81640625" style="604" customWidth="1"/>
    <col min="11258" max="11258" width="6.7265625" style="604" customWidth="1"/>
    <col min="11259" max="11259" width="14.7265625" style="604" customWidth="1"/>
    <col min="11260" max="11260" width="9" style="604" bestFit="1" customWidth="1"/>
    <col min="11261" max="11501" width="5" style="604"/>
    <col min="11502" max="11502" width="4.7265625" style="604" customWidth="1"/>
    <col min="11503" max="11503" width="2" style="604" customWidth="1"/>
    <col min="11504" max="11504" width="40.7265625" style="604" customWidth="1"/>
    <col min="11505" max="11505" width="3.54296875" style="604" customWidth="1"/>
    <col min="11506" max="11506" width="11.08984375" style="604" customWidth="1"/>
    <col min="11507" max="11507" width="2.7265625" style="604" customWidth="1"/>
    <col min="11508" max="11508" width="11.26953125" style="604" customWidth="1"/>
    <col min="11509" max="11509" width="2.7265625" style="604" customWidth="1"/>
    <col min="11510" max="11510" width="11.26953125" style="604" customWidth="1"/>
    <col min="11511" max="11511" width="2.7265625" style="604" customWidth="1"/>
    <col min="11512" max="11512" width="19.08984375" style="604" bestFit="1" customWidth="1"/>
    <col min="11513" max="11513" width="1.81640625" style="604" customWidth="1"/>
    <col min="11514" max="11514" width="6.7265625" style="604" customWidth="1"/>
    <col min="11515" max="11515" width="14.7265625" style="604" customWidth="1"/>
    <col min="11516" max="11516" width="9" style="604" bestFit="1" customWidth="1"/>
    <col min="11517" max="11757" width="5" style="604"/>
    <col min="11758" max="11758" width="4.7265625" style="604" customWidth="1"/>
    <col min="11759" max="11759" width="2" style="604" customWidth="1"/>
    <col min="11760" max="11760" width="40.7265625" style="604" customWidth="1"/>
    <col min="11761" max="11761" width="3.54296875" style="604" customWidth="1"/>
    <col min="11762" max="11762" width="11.08984375" style="604" customWidth="1"/>
    <col min="11763" max="11763" width="2.7265625" style="604" customWidth="1"/>
    <col min="11764" max="11764" width="11.26953125" style="604" customWidth="1"/>
    <col min="11765" max="11765" width="2.7265625" style="604" customWidth="1"/>
    <col min="11766" max="11766" width="11.26953125" style="604" customWidth="1"/>
    <col min="11767" max="11767" width="2.7265625" style="604" customWidth="1"/>
    <col min="11768" max="11768" width="19.08984375" style="604" bestFit="1" customWidth="1"/>
    <col min="11769" max="11769" width="1.81640625" style="604" customWidth="1"/>
    <col min="11770" max="11770" width="6.7265625" style="604" customWidth="1"/>
    <col min="11771" max="11771" width="14.7265625" style="604" customWidth="1"/>
    <col min="11772" max="11772" width="9" style="604" bestFit="1" customWidth="1"/>
    <col min="11773" max="12013" width="5" style="604"/>
    <col min="12014" max="12014" width="4.7265625" style="604" customWidth="1"/>
    <col min="12015" max="12015" width="2" style="604" customWidth="1"/>
    <col min="12016" max="12016" width="40.7265625" style="604" customWidth="1"/>
    <col min="12017" max="12017" width="3.54296875" style="604" customWidth="1"/>
    <col min="12018" max="12018" width="11.08984375" style="604" customWidth="1"/>
    <col min="12019" max="12019" width="2.7265625" style="604" customWidth="1"/>
    <col min="12020" max="12020" width="11.26953125" style="604" customWidth="1"/>
    <col min="12021" max="12021" width="2.7265625" style="604" customWidth="1"/>
    <col min="12022" max="12022" width="11.26953125" style="604" customWidth="1"/>
    <col min="12023" max="12023" width="2.7265625" style="604" customWidth="1"/>
    <col min="12024" max="12024" width="19.08984375" style="604" bestFit="1" customWidth="1"/>
    <col min="12025" max="12025" width="1.81640625" style="604" customWidth="1"/>
    <col min="12026" max="12026" width="6.7265625" style="604" customWidth="1"/>
    <col min="12027" max="12027" width="14.7265625" style="604" customWidth="1"/>
    <col min="12028" max="12028" width="9" style="604" bestFit="1" customWidth="1"/>
    <col min="12029" max="12269" width="5" style="604"/>
    <col min="12270" max="12270" width="4.7265625" style="604" customWidth="1"/>
    <col min="12271" max="12271" width="2" style="604" customWidth="1"/>
    <col min="12272" max="12272" width="40.7265625" style="604" customWidth="1"/>
    <col min="12273" max="12273" width="3.54296875" style="604" customWidth="1"/>
    <col min="12274" max="12274" width="11.08984375" style="604" customWidth="1"/>
    <col min="12275" max="12275" width="2.7265625" style="604" customWidth="1"/>
    <col min="12276" max="12276" width="11.26953125" style="604" customWidth="1"/>
    <col min="12277" max="12277" width="2.7265625" style="604" customWidth="1"/>
    <col min="12278" max="12278" width="11.26953125" style="604" customWidth="1"/>
    <col min="12279" max="12279" width="2.7265625" style="604" customWidth="1"/>
    <col min="12280" max="12280" width="19.08984375" style="604" bestFit="1" customWidth="1"/>
    <col min="12281" max="12281" width="1.81640625" style="604" customWidth="1"/>
    <col min="12282" max="12282" width="6.7265625" style="604" customWidth="1"/>
    <col min="12283" max="12283" width="14.7265625" style="604" customWidth="1"/>
    <col min="12284" max="12284" width="9" style="604" bestFit="1" customWidth="1"/>
    <col min="12285" max="12525" width="5" style="604"/>
    <col min="12526" max="12526" width="4.7265625" style="604" customWidth="1"/>
    <col min="12527" max="12527" width="2" style="604" customWidth="1"/>
    <col min="12528" max="12528" width="40.7265625" style="604" customWidth="1"/>
    <col min="12529" max="12529" width="3.54296875" style="604" customWidth="1"/>
    <col min="12530" max="12530" width="11.08984375" style="604" customWidth="1"/>
    <col min="12531" max="12531" width="2.7265625" style="604" customWidth="1"/>
    <col min="12532" max="12532" width="11.26953125" style="604" customWidth="1"/>
    <col min="12533" max="12533" width="2.7265625" style="604" customWidth="1"/>
    <col min="12534" max="12534" width="11.26953125" style="604" customWidth="1"/>
    <col min="12535" max="12535" width="2.7265625" style="604" customWidth="1"/>
    <col min="12536" max="12536" width="19.08984375" style="604" bestFit="1" customWidth="1"/>
    <col min="12537" max="12537" width="1.81640625" style="604" customWidth="1"/>
    <col min="12538" max="12538" width="6.7265625" style="604" customWidth="1"/>
    <col min="12539" max="12539" width="14.7265625" style="604" customWidth="1"/>
    <col min="12540" max="12540" width="9" style="604" bestFit="1" customWidth="1"/>
    <col min="12541" max="12781" width="5" style="604"/>
    <col min="12782" max="12782" width="4.7265625" style="604" customWidth="1"/>
    <col min="12783" max="12783" width="2" style="604" customWidth="1"/>
    <col min="12784" max="12784" width="40.7265625" style="604" customWidth="1"/>
    <col min="12785" max="12785" width="3.54296875" style="604" customWidth="1"/>
    <col min="12786" max="12786" width="11.08984375" style="604" customWidth="1"/>
    <col min="12787" max="12787" width="2.7265625" style="604" customWidth="1"/>
    <col min="12788" max="12788" width="11.26953125" style="604" customWidth="1"/>
    <col min="12789" max="12789" width="2.7265625" style="604" customWidth="1"/>
    <col min="12790" max="12790" width="11.26953125" style="604" customWidth="1"/>
    <col min="12791" max="12791" width="2.7265625" style="604" customWidth="1"/>
    <col min="12792" max="12792" width="19.08984375" style="604" bestFit="1" customWidth="1"/>
    <col min="12793" max="12793" width="1.81640625" style="604" customWidth="1"/>
    <col min="12794" max="12794" width="6.7265625" style="604" customWidth="1"/>
    <col min="12795" max="12795" width="14.7265625" style="604" customWidth="1"/>
    <col min="12796" max="12796" width="9" style="604" bestFit="1" customWidth="1"/>
    <col min="12797" max="13037" width="5" style="604"/>
    <col min="13038" max="13038" width="4.7265625" style="604" customWidth="1"/>
    <col min="13039" max="13039" width="2" style="604" customWidth="1"/>
    <col min="13040" max="13040" width="40.7265625" style="604" customWidth="1"/>
    <col min="13041" max="13041" width="3.54296875" style="604" customWidth="1"/>
    <col min="13042" max="13042" width="11.08984375" style="604" customWidth="1"/>
    <col min="13043" max="13043" width="2.7265625" style="604" customWidth="1"/>
    <col min="13044" max="13044" width="11.26953125" style="604" customWidth="1"/>
    <col min="13045" max="13045" width="2.7265625" style="604" customWidth="1"/>
    <col min="13046" max="13046" width="11.26953125" style="604" customWidth="1"/>
    <col min="13047" max="13047" width="2.7265625" style="604" customWidth="1"/>
    <col min="13048" max="13048" width="19.08984375" style="604" bestFit="1" customWidth="1"/>
    <col min="13049" max="13049" width="1.81640625" style="604" customWidth="1"/>
    <col min="13050" max="13050" width="6.7265625" style="604" customWidth="1"/>
    <col min="13051" max="13051" width="14.7265625" style="604" customWidth="1"/>
    <col min="13052" max="13052" width="9" style="604" bestFit="1" customWidth="1"/>
    <col min="13053" max="13293" width="5" style="604"/>
    <col min="13294" max="13294" width="4.7265625" style="604" customWidth="1"/>
    <col min="13295" max="13295" width="2" style="604" customWidth="1"/>
    <col min="13296" max="13296" width="40.7265625" style="604" customWidth="1"/>
    <col min="13297" max="13297" width="3.54296875" style="604" customWidth="1"/>
    <col min="13298" max="13298" width="11.08984375" style="604" customWidth="1"/>
    <col min="13299" max="13299" width="2.7265625" style="604" customWidth="1"/>
    <col min="13300" max="13300" width="11.26953125" style="604" customWidth="1"/>
    <col min="13301" max="13301" width="2.7265625" style="604" customWidth="1"/>
    <col min="13302" max="13302" width="11.26953125" style="604" customWidth="1"/>
    <col min="13303" max="13303" width="2.7265625" style="604" customWidth="1"/>
    <col min="13304" max="13304" width="19.08984375" style="604" bestFit="1" customWidth="1"/>
    <col min="13305" max="13305" width="1.81640625" style="604" customWidth="1"/>
    <col min="13306" max="13306" width="6.7265625" style="604" customWidth="1"/>
    <col min="13307" max="13307" width="14.7265625" style="604" customWidth="1"/>
    <col min="13308" max="13308" width="9" style="604" bestFit="1" customWidth="1"/>
    <col min="13309" max="13549" width="5" style="604"/>
    <col min="13550" max="13550" width="4.7265625" style="604" customWidth="1"/>
    <col min="13551" max="13551" width="2" style="604" customWidth="1"/>
    <col min="13552" max="13552" width="40.7265625" style="604" customWidth="1"/>
    <col min="13553" max="13553" width="3.54296875" style="604" customWidth="1"/>
    <col min="13554" max="13554" width="11.08984375" style="604" customWidth="1"/>
    <col min="13555" max="13555" width="2.7265625" style="604" customWidth="1"/>
    <col min="13556" max="13556" width="11.26953125" style="604" customWidth="1"/>
    <col min="13557" max="13557" width="2.7265625" style="604" customWidth="1"/>
    <col min="13558" max="13558" width="11.26953125" style="604" customWidth="1"/>
    <col min="13559" max="13559" width="2.7265625" style="604" customWidth="1"/>
    <col min="13560" max="13560" width="19.08984375" style="604" bestFit="1" customWidth="1"/>
    <col min="13561" max="13561" width="1.81640625" style="604" customWidth="1"/>
    <col min="13562" max="13562" width="6.7265625" style="604" customWidth="1"/>
    <col min="13563" max="13563" width="14.7265625" style="604" customWidth="1"/>
    <col min="13564" max="13564" width="9" style="604" bestFit="1" customWidth="1"/>
    <col min="13565" max="13805" width="5" style="604"/>
    <col min="13806" max="13806" width="4.7265625" style="604" customWidth="1"/>
    <col min="13807" max="13807" width="2" style="604" customWidth="1"/>
    <col min="13808" max="13808" width="40.7265625" style="604" customWidth="1"/>
    <col min="13809" max="13809" width="3.54296875" style="604" customWidth="1"/>
    <col min="13810" max="13810" width="11.08984375" style="604" customWidth="1"/>
    <col min="13811" max="13811" width="2.7265625" style="604" customWidth="1"/>
    <col min="13812" max="13812" width="11.26953125" style="604" customWidth="1"/>
    <col min="13813" max="13813" width="2.7265625" style="604" customWidth="1"/>
    <col min="13814" max="13814" width="11.26953125" style="604" customWidth="1"/>
    <col min="13815" max="13815" width="2.7265625" style="604" customWidth="1"/>
    <col min="13816" max="13816" width="19.08984375" style="604" bestFit="1" customWidth="1"/>
    <col min="13817" max="13817" width="1.81640625" style="604" customWidth="1"/>
    <col min="13818" max="13818" width="6.7265625" style="604" customWidth="1"/>
    <col min="13819" max="13819" width="14.7265625" style="604" customWidth="1"/>
    <col min="13820" max="13820" width="9" style="604" bestFit="1" customWidth="1"/>
    <col min="13821" max="14061" width="5" style="604"/>
    <col min="14062" max="14062" width="4.7265625" style="604" customWidth="1"/>
    <col min="14063" max="14063" width="2" style="604" customWidth="1"/>
    <col min="14064" max="14064" width="40.7265625" style="604" customWidth="1"/>
    <col min="14065" max="14065" width="3.54296875" style="604" customWidth="1"/>
    <col min="14066" max="14066" width="11.08984375" style="604" customWidth="1"/>
    <col min="14067" max="14067" width="2.7265625" style="604" customWidth="1"/>
    <col min="14068" max="14068" width="11.26953125" style="604" customWidth="1"/>
    <col min="14069" max="14069" width="2.7265625" style="604" customWidth="1"/>
    <col min="14070" max="14070" width="11.26953125" style="604" customWidth="1"/>
    <col min="14071" max="14071" width="2.7265625" style="604" customWidth="1"/>
    <col min="14072" max="14072" width="19.08984375" style="604" bestFit="1" customWidth="1"/>
    <col min="14073" max="14073" width="1.81640625" style="604" customWidth="1"/>
    <col min="14074" max="14074" width="6.7265625" style="604" customWidth="1"/>
    <col min="14075" max="14075" width="14.7265625" style="604" customWidth="1"/>
    <col min="14076" max="14076" width="9" style="604" bestFit="1" customWidth="1"/>
    <col min="14077" max="14317" width="5" style="604"/>
    <col min="14318" max="14318" width="4.7265625" style="604" customWidth="1"/>
    <col min="14319" max="14319" width="2" style="604" customWidth="1"/>
    <col min="14320" max="14320" width="40.7265625" style="604" customWidth="1"/>
    <col min="14321" max="14321" width="3.54296875" style="604" customWidth="1"/>
    <col min="14322" max="14322" width="11.08984375" style="604" customWidth="1"/>
    <col min="14323" max="14323" width="2.7265625" style="604" customWidth="1"/>
    <col min="14324" max="14324" width="11.26953125" style="604" customWidth="1"/>
    <col min="14325" max="14325" width="2.7265625" style="604" customWidth="1"/>
    <col min="14326" max="14326" width="11.26953125" style="604" customWidth="1"/>
    <col min="14327" max="14327" width="2.7265625" style="604" customWidth="1"/>
    <col min="14328" max="14328" width="19.08984375" style="604" bestFit="1" customWidth="1"/>
    <col min="14329" max="14329" width="1.81640625" style="604" customWidth="1"/>
    <col min="14330" max="14330" width="6.7265625" style="604" customWidth="1"/>
    <col min="14331" max="14331" width="14.7265625" style="604" customWidth="1"/>
    <col min="14332" max="14332" width="9" style="604" bestFit="1" customWidth="1"/>
    <col min="14333" max="14573" width="5" style="604"/>
    <col min="14574" max="14574" width="4.7265625" style="604" customWidth="1"/>
    <col min="14575" max="14575" width="2" style="604" customWidth="1"/>
    <col min="14576" max="14576" width="40.7265625" style="604" customWidth="1"/>
    <col min="14577" max="14577" width="3.54296875" style="604" customWidth="1"/>
    <col min="14578" max="14578" width="11.08984375" style="604" customWidth="1"/>
    <col min="14579" max="14579" width="2.7265625" style="604" customWidth="1"/>
    <col min="14580" max="14580" width="11.26953125" style="604" customWidth="1"/>
    <col min="14581" max="14581" width="2.7265625" style="604" customWidth="1"/>
    <col min="14582" max="14582" width="11.26953125" style="604" customWidth="1"/>
    <col min="14583" max="14583" width="2.7265625" style="604" customWidth="1"/>
    <col min="14584" max="14584" width="19.08984375" style="604" bestFit="1" customWidth="1"/>
    <col min="14585" max="14585" width="1.81640625" style="604" customWidth="1"/>
    <col min="14586" max="14586" width="6.7265625" style="604" customWidth="1"/>
    <col min="14587" max="14587" width="14.7265625" style="604" customWidth="1"/>
    <col min="14588" max="14588" width="9" style="604" bestFit="1" customWidth="1"/>
    <col min="14589" max="14829" width="5" style="604"/>
    <col min="14830" max="14830" width="4.7265625" style="604" customWidth="1"/>
    <col min="14831" max="14831" width="2" style="604" customWidth="1"/>
    <col min="14832" max="14832" width="40.7265625" style="604" customWidth="1"/>
    <col min="14833" max="14833" width="3.54296875" style="604" customWidth="1"/>
    <col min="14834" max="14834" width="11.08984375" style="604" customWidth="1"/>
    <col min="14835" max="14835" width="2.7265625" style="604" customWidth="1"/>
    <col min="14836" max="14836" width="11.26953125" style="604" customWidth="1"/>
    <col min="14837" max="14837" width="2.7265625" style="604" customWidth="1"/>
    <col min="14838" max="14838" width="11.26953125" style="604" customWidth="1"/>
    <col min="14839" max="14839" width="2.7265625" style="604" customWidth="1"/>
    <col min="14840" max="14840" width="19.08984375" style="604" bestFit="1" customWidth="1"/>
    <col min="14841" max="14841" width="1.81640625" style="604" customWidth="1"/>
    <col min="14842" max="14842" width="6.7265625" style="604" customWidth="1"/>
    <col min="14843" max="14843" width="14.7265625" style="604" customWidth="1"/>
    <col min="14844" max="14844" width="9" style="604" bestFit="1" customWidth="1"/>
    <col min="14845" max="15085" width="5" style="604"/>
    <col min="15086" max="15086" width="4.7265625" style="604" customWidth="1"/>
    <col min="15087" max="15087" width="2" style="604" customWidth="1"/>
    <col min="15088" max="15088" width="40.7265625" style="604" customWidth="1"/>
    <col min="15089" max="15089" width="3.54296875" style="604" customWidth="1"/>
    <col min="15090" max="15090" width="11.08984375" style="604" customWidth="1"/>
    <col min="15091" max="15091" width="2.7265625" style="604" customWidth="1"/>
    <col min="15092" max="15092" width="11.26953125" style="604" customWidth="1"/>
    <col min="15093" max="15093" width="2.7265625" style="604" customWidth="1"/>
    <col min="15094" max="15094" width="11.26953125" style="604" customWidth="1"/>
    <col min="15095" max="15095" width="2.7265625" style="604" customWidth="1"/>
    <col min="15096" max="15096" width="19.08984375" style="604" bestFit="1" customWidth="1"/>
    <col min="15097" max="15097" width="1.81640625" style="604" customWidth="1"/>
    <col min="15098" max="15098" width="6.7265625" style="604" customWidth="1"/>
    <col min="15099" max="15099" width="14.7265625" style="604" customWidth="1"/>
    <col min="15100" max="15100" width="9" style="604" bestFit="1" customWidth="1"/>
    <col min="15101" max="15341" width="5" style="604"/>
    <col min="15342" max="15342" width="4.7265625" style="604" customWidth="1"/>
    <col min="15343" max="15343" width="2" style="604" customWidth="1"/>
    <col min="15344" max="15344" width="40.7265625" style="604" customWidth="1"/>
    <col min="15345" max="15345" width="3.54296875" style="604" customWidth="1"/>
    <col min="15346" max="15346" width="11.08984375" style="604" customWidth="1"/>
    <col min="15347" max="15347" width="2.7265625" style="604" customWidth="1"/>
    <col min="15348" max="15348" width="11.26953125" style="604" customWidth="1"/>
    <col min="15349" max="15349" width="2.7265625" style="604" customWidth="1"/>
    <col min="15350" max="15350" width="11.26953125" style="604" customWidth="1"/>
    <col min="15351" max="15351" width="2.7265625" style="604" customWidth="1"/>
    <col min="15352" max="15352" width="19.08984375" style="604" bestFit="1" customWidth="1"/>
    <col min="15353" max="15353" width="1.81640625" style="604" customWidth="1"/>
    <col min="15354" max="15354" width="6.7265625" style="604" customWidth="1"/>
    <col min="15355" max="15355" width="14.7265625" style="604" customWidth="1"/>
    <col min="15356" max="15356" width="9" style="604" bestFit="1" customWidth="1"/>
    <col min="15357" max="15597" width="5" style="604"/>
    <col min="15598" max="15598" width="4.7265625" style="604" customWidth="1"/>
    <col min="15599" max="15599" width="2" style="604" customWidth="1"/>
    <col min="15600" max="15600" width="40.7265625" style="604" customWidth="1"/>
    <col min="15601" max="15601" width="3.54296875" style="604" customWidth="1"/>
    <col min="15602" max="15602" width="11.08984375" style="604" customWidth="1"/>
    <col min="15603" max="15603" width="2.7265625" style="604" customWidth="1"/>
    <col min="15604" max="15604" width="11.26953125" style="604" customWidth="1"/>
    <col min="15605" max="15605" width="2.7265625" style="604" customWidth="1"/>
    <col min="15606" max="15606" width="11.26953125" style="604" customWidth="1"/>
    <col min="15607" max="15607" width="2.7265625" style="604" customWidth="1"/>
    <col min="15608" max="15608" width="19.08984375" style="604" bestFit="1" customWidth="1"/>
    <col min="15609" max="15609" width="1.81640625" style="604" customWidth="1"/>
    <col min="15610" max="15610" width="6.7265625" style="604" customWidth="1"/>
    <col min="15611" max="15611" width="14.7265625" style="604" customWidth="1"/>
    <col min="15612" max="15612" width="9" style="604" bestFit="1" customWidth="1"/>
    <col min="15613" max="15853" width="5" style="604"/>
    <col min="15854" max="15854" width="4.7265625" style="604" customWidth="1"/>
    <col min="15855" max="15855" width="2" style="604" customWidth="1"/>
    <col min="15856" max="15856" width="40.7265625" style="604" customWidth="1"/>
    <col min="15857" max="15857" width="3.54296875" style="604" customWidth="1"/>
    <col min="15858" max="15858" width="11.08984375" style="604" customWidth="1"/>
    <col min="15859" max="15859" width="2.7265625" style="604" customWidth="1"/>
    <col min="15860" max="15860" width="11.26953125" style="604" customWidth="1"/>
    <col min="15861" max="15861" width="2.7265625" style="604" customWidth="1"/>
    <col min="15862" max="15862" width="11.26953125" style="604" customWidth="1"/>
    <col min="15863" max="15863" width="2.7265625" style="604" customWidth="1"/>
    <col min="15864" max="15864" width="19.08984375" style="604" bestFit="1" customWidth="1"/>
    <col min="15865" max="15865" width="1.81640625" style="604" customWidth="1"/>
    <col min="15866" max="15866" width="6.7265625" style="604" customWidth="1"/>
    <col min="15867" max="15867" width="14.7265625" style="604" customWidth="1"/>
    <col min="15868" max="15868" width="9" style="604" bestFit="1" customWidth="1"/>
    <col min="15869" max="16109" width="5" style="604"/>
    <col min="16110" max="16110" width="4.7265625" style="604" customWidth="1"/>
    <col min="16111" max="16111" width="2" style="604" customWidth="1"/>
    <col min="16112" max="16112" width="40.7265625" style="604" customWidth="1"/>
    <col min="16113" max="16113" width="3.54296875" style="604" customWidth="1"/>
    <col min="16114" max="16114" width="11.08984375" style="604" customWidth="1"/>
    <col min="16115" max="16115" width="2.7265625" style="604" customWidth="1"/>
    <col min="16116" max="16116" width="11.26953125" style="604" customWidth="1"/>
    <col min="16117" max="16117" width="2.7265625" style="604" customWidth="1"/>
    <col min="16118" max="16118" width="11.26953125" style="604" customWidth="1"/>
    <col min="16119" max="16119" width="2.7265625" style="604" customWidth="1"/>
    <col min="16120" max="16120" width="19.08984375" style="604" bestFit="1" customWidth="1"/>
    <col min="16121" max="16121" width="1.81640625" style="604" customWidth="1"/>
    <col min="16122" max="16122" width="6.7265625" style="604" customWidth="1"/>
    <col min="16123" max="16123" width="14.7265625" style="604" customWidth="1"/>
    <col min="16124" max="16124" width="9" style="604" bestFit="1" customWidth="1"/>
    <col min="16125" max="16384" width="5" style="604"/>
  </cols>
  <sheetData>
    <row r="1" spans="1:31">
      <c r="I1"/>
      <c r="J1"/>
      <c r="K1" s="3" t="s">
        <v>995</v>
      </c>
    </row>
    <row r="2" spans="1:31">
      <c r="I2"/>
      <c r="J2"/>
      <c r="K2" s="3" t="s">
        <v>144</v>
      </c>
    </row>
    <row r="3" spans="1:31">
      <c r="I3" s="63"/>
      <c r="J3" s="63"/>
      <c r="K3" s="3" t="str">
        <f>'Attachment 6 - PBOP'!H3</f>
        <v>For the 12 months ended 12/31/2022</v>
      </c>
    </row>
    <row r="5" spans="1:31">
      <c r="B5" s="604"/>
      <c r="C5" s="624" t="s">
        <v>627</v>
      </c>
      <c r="D5" s="748"/>
      <c r="E5" s="624" t="str">
        <f>"("&amp;CHAR(CODE(MID(C5,2,1))+1)&amp;")"</f>
        <v>(B)</v>
      </c>
      <c r="F5" s="605"/>
      <c r="G5" s="624" t="str">
        <f t="shared" ref="G5" si="0">"("&amp;CHAR(CODE(MID(E5,2,1))+1)&amp;")"</f>
        <v>(C)</v>
      </c>
      <c r="H5" s="605"/>
      <c r="I5" s="624" t="str">
        <f t="shared" ref="I5" si="1">"("&amp;CHAR(CODE(MID(G5,2,1))+1)&amp;")"</f>
        <v>(D)</v>
      </c>
      <c r="K5" s="624" t="str">
        <f t="shared" ref="K5" si="2">"("&amp;CHAR(CODE(MID(I5,2,1))+1)&amp;")"</f>
        <v>(E)</v>
      </c>
      <c r="L5" s="605"/>
      <c r="M5" s="624"/>
      <c r="O5" s="604"/>
      <c r="Q5" s="604"/>
    </row>
    <row r="6" spans="1:31" ht="46.8">
      <c r="A6" s="622" t="s">
        <v>630</v>
      </c>
      <c r="B6" s="613"/>
      <c r="C6" s="621" t="s">
        <v>520</v>
      </c>
      <c r="D6" s="621"/>
      <c r="E6" s="618" t="s">
        <v>10</v>
      </c>
      <c r="F6" s="611"/>
      <c r="G6" s="618" t="s">
        <v>8</v>
      </c>
      <c r="H6" s="759" t="s">
        <v>642</v>
      </c>
      <c r="I6" s="618" t="s">
        <v>727</v>
      </c>
      <c r="J6" s="760" t="s">
        <v>60</v>
      </c>
      <c r="K6" s="893" t="s">
        <v>809</v>
      </c>
      <c r="L6" s="815"/>
      <c r="M6" s="605"/>
      <c r="N6" s="611"/>
      <c r="O6" s="604"/>
      <c r="Q6" s="604"/>
    </row>
    <row r="7" spans="1:31" ht="21.6" customHeight="1">
      <c r="A7" s="615"/>
      <c r="B7" s="613"/>
      <c r="C7" s="614"/>
      <c r="D7" s="742"/>
      <c r="E7" s="614"/>
      <c r="F7" s="758"/>
      <c r="G7" s="617"/>
      <c r="H7" s="611"/>
      <c r="I7" s="612"/>
      <c r="J7" s="611"/>
      <c r="K7" s="617"/>
      <c r="L7" s="842"/>
      <c r="M7" s="842"/>
      <c r="N7" s="842"/>
      <c r="O7" s="842"/>
      <c r="P7" s="842"/>
      <c r="Q7" s="842"/>
      <c r="R7" s="842"/>
      <c r="S7" s="842"/>
      <c r="T7" s="842"/>
      <c r="U7" s="842"/>
      <c r="V7" s="842"/>
      <c r="W7" s="842"/>
      <c r="X7" s="842"/>
      <c r="Y7" s="842"/>
      <c r="Z7" s="842"/>
      <c r="AA7" s="842"/>
      <c r="AB7" s="842"/>
      <c r="AC7" s="842"/>
      <c r="AD7" s="842"/>
      <c r="AE7" s="842"/>
    </row>
    <row r="8" spans="1:31">
      <c r="A8" s="615">
        <v>1</v>
      </c>
      <c r="B8" s="613"/>
      <c r="C8" s="614" t="s">
        <v>631</v>
      </c>
      <c r="D8" s="742"/>
      <c r="E8" s="614"/>
      <c r="F8" s="758"/>
      <c r="G8" s="612"/>
      <c r="H8" s="611"/>
      <c r="I8" s="612"/>
      <c r="J8" s="611"/>
      <c r="K8" s="612"/>
      <c r="L8" s="761"/>
      <c r="M8" s="612"/>
      <c r="N8" s="611"/>
      <c r="P8" s="611"/>
      <c r="Q8" s="604"/>
    </row>
    <row r="9" spans="1:31">
      <c r="C9" s="605"/>
      <c r="D9" s="742"/>
      <c r="E9" s="605"/>
      <c r="F9" s="605"/>
      <c r="G9" s="605"/>
      <c r="H9" s="605"/>
      <c r="I9" s="605"/>
      <c r="J9" s="605"/>
      <c r="K9" s="605"/>
      <c r="M9" s="605"/>
      <c r="N9" s="605"/>
      <c r="P9" s="605"/>
      <c r="Q9" s="604"/>
    </row>
    <row r="10" spans="1:31">
      <c r="A10" s="739">
        <f>A8+0.01</f>
        <v>1.01</v>
      </c>
      <c r="B10" s="604"/>
      <c r="C10" s="659" t="s">
        <v>1069</v>
      </c>
      <c r="D10" s="894" t="s">
        <v>43</v>
      </c>
      <c r="E10" s="727" t="s">
        <v>1071</v>
      </c>
      <c r="G10" s="661">
        <v>4457424</v>
      </c>
      <c r="I10" s="757">
        <f ca="1">IFERROR(INDIRECT(E10),0)</f>
        <v>8.452849912295303E-2</v>
      </c>
      <c r="K10" s="610">
        <f ca="1">IFERROR(G10*I10,0)</f>
        <v>376779.3606746298</v>
      </c>
      <c r="M10" s="605"/>
      <c r="O10" s="604"/>
      <c r="Q10" s="604"/>
    </row>
    <row r="11" spans="1:31">
      <c r="A11" s="739">
        <f>A10+0.01</f>
        <v>1.02</v>
      </c>
      <c r="B11" s="604"/>
      <c r="C11" s="659" t="s">
        <v>1161</v>
      </c>
      <c r="D11" s="894" t="s">
        <v>43</v>
      </c>
      <c r="E11" s="727" t="s">
        <v>1071</v>
      </c>
      <c r="G11" s="661">
        <v>64397</v>
      </c>
      <c r="I11" s="757">
        <f t="shared" ref="I11:I13" ca="1" si="3">IFERROR(INDIRECT(E11),0)</f>
        <v>8.452849912295303E-2</v>
      </c>
      <c r="K11" s="610">
        <f t="shared" ref="K11:K13" ca="1" si="4">IFERROR(G11*I11,0)</f>
        <v>5443.381758020806</v>
      </c>
      <c r="M11" s="605"/>
      <c r="O11" s="604"/>
      <c r="Q11" s="604"/>
    </row>
    <row r="12" spans="1:31">
      <c r="A12" s="739">
        <f t="shared" ref="A12:A15" si="5">A11+0.01</f>
        <v>1.03</v>
      </c>
      <c r="B12" s="604"/>
      <c r="C12" s="659" t="s">
        <v>1070</v>
      </c>
      <c r="D12" s="894" t="s">
        <v>43</v>
      </c>
      <c r="E12" s="727" t="s">
        <v>1071</v>
      </c>
      <c r="G12" s="661">
        <v>313541</v>
      </c>
      <c r="I12" s="757">
        <f t="shared" ca="1" si="3"/>
        <v>8.452849912295303E-2</v>
      </c>
      <c r="K12" s="610">
        <f t="shared" ca="1" si="4"/>
        <v>26503.150143509814</v>
      </c>
      <c r="M12" s="605"/>
      <c r="O12" s="604"/>
      <c r="Q12" s="604"/>
    </row>
    <row r="13" spans="1:31">
      <c r="A13" s="739">
        <f t="shared" si="5"/>
        <v>1.04</v>
      </c>
      <c r="B13" s="604"/>
      <c r="C13" s="659" t="s">
        <v>1154</v>
      </c>
      <c r="D13" s="894" t="s">
        <v>43</v>
      </c>
      <c r="E13" s="727" t="s">
        <v>762</v>
      </c>
      <c r="G13" s="661">
        <v>490</v>
      </c>
      <c r="I13" s="757">
        <f t="shared" ca="1" si="3"/>
        <v>0.24533140330459982</v>
      </c>
      <c r="K13" s="610">
        <f t="shared" ca="1" si="4"/>
        <v>120.21238761925392</v>
      </c>
      <c r="M13" s="605"/>
      <c r="O13" s="604"/>
      <c r="Q13" s="604"/>
    </row>
    <row r="14" spans="1:31">
      <c r="A14" s="739">
        <f t="shared" si="5"/>
        <v>1.05</v>
      </c>
      <c r="B14" s="604"/>
      <c r="C14" s="659" t="s">
        <v>1072</v>
      </c>
      <c r="D14" s="894" t="s">
        <v>43</v>
      </c>
      <c r="E14" s="727" t="s">
        <v>762</v>
      </c>
      <c r="G14" s="661">
        <v>6768985</v>
      </c>
      <c r="I14" s="757">
        <f ca="1">IFERROR(INDIRECT(E14),0)</f>
        <v>0.24533140330459982</v>
      </c>
      <c r="K14" s="610">
        <f ca="1">IFERROR(G14*I14,0)</f>
        <v>1660644.5889977866</v>
      </c>
      <c r="M14" s="605"/>
      <c r="O14" s="604"/>
      <c r="Q14" s="604"/>
    </row>
    <row r="15" spans="1:31">
      <c r="A15" s="739">
        <f t="shared" si="5"/>
        <v>1.06</v>
      </c>
      <c r="B15" s="604"/>
      <c r="C15" s="659" t="s">
        <v>1068</v>
      </c>
      <c r="D15" s="894" t="s">
        <v>43</v>
      </c>
      <c r="E15" s="727" t="s">
        <v>762</v>
      </c>
      <c r="G15" s="661">
        <v>-1904299</v>
      </c>
      <c r="I15" s="757">
        <f ca="1">IFERROR(INDIRECT(E15),0)</f>
        <v>0.24533140330459982</v>
      </c>
      <c r="K15" s="610">
        <f ca="1">IFERROR(G15*I15,0)</f>
        <v>-467184.34598154615</v>
      </c>
      <c r="M15" s="605"/>
      <c r="O15" s="604"/>
      <c r="Q15" s="604"/>
    </row>
    <row r="16" spans="1:31">
      <c r="A16" s="605">
        <f>A8+1</f>
        <v>2</v>
      </c>
      <c r="B16" s="604"/>
      <c r="C16" s="604" t="str">
        <f ca="1">"Sum of Lines "&amp;A10&amp;" through "&amp;OFFSET(A16,-1,0)</f>
        <v>Sum of Lines 1.01 through 1.06</v>
      </c>
      <c r="D16" s="742"/>
      <c r="G16" s="609">
        <f>SUM(G10:G15)</f>
        <v>9700538</v>
      </c>
      <c r="I16" s="605"/>
      <c r="K16" s="608">
        <f ca="1">SUM(K10:K15)</f>
        <v>1602306.3479800201</v>
      </c>
      <c r="L16" s="816"/>
      <c r="M16" s="605"/>
      <c r="O16" s="604"/>
      <c r="Q16" s="604"/>
    </row>
    <row r="17" spans="1:23">
      <c r="A17" s="605">
        <f>A16+1</f>
        <v>3</v>
      </c>
      <c r="B17" s="604"/>
      <c r="C17" s="747" t="s">
        <v>789</v>
      </c>
      <c r="D17" s="742"/>
      <c r="E17" s="747"/>
      <c r="G17" s="661">
        <v>9700538</v>
      </c>
      <c r="I17" s="605"/>
      <c r="K17" s="748"/>
      <c r="L17" s="826"/>
      <c r="M17" s="827"/>
      <c r="N17" s="826"/>
      <c r="O17" s="826"/>
      <c r="P17" s="826"/>
      <c r="Q17" s="826"/>
      <c r="R17" s="826"/>
      <c r="S17" s="826"/>
      <c r="T17" s="826"/>
      <c r="U17" s="826"/>
      <c r="V17" s="826"/>
      <c r="W17" s="826"/>
    </row>
    <row r="18" spans="1:23">
      <c r="C18" s="605"/>
      <c r="D18" s="605"/>
      <c r="E18" s="605"/>
      <c r="F18" s="605"/>
      <c r="G18" s="605"/>
      <c r="H18" s="605"/>
      <c r="J18" s="605"/>
      <c r="K18" s="605"/>
      <c r="M18" s="605"/>
      <c r="O18" s="657"/>
      <c r="P18" s="605"/>
      <c r="R18" s="605"/>
    </row>
    <row r="19" spans="1:23">
      <c r="A19" s="607"/>
      <c r="C19" s="607" t="s">
        <v>153</v>
      </c>
      <c r="G19" s="610"/>
    </row>
    <row r="20" spans="1:23" ht="15.75" customHeight="1">
      <c r="C20" s="977" t="s">
        <v>848</v>
      </c>
      <c r="D20" s="977"/>
      <c r="E20" s="977"/>
      <c r="F20" s="977"/>
      <c r="G20" s="977"/>
      <c r="H20" s="977"/>
      <c r="I20" s="977"/>
      <c r="J20" s="977"/>
      <c r="K20" s="977"/>
      <c r="L20" s="697"/>
      <c r="M20" s="697"/>
      <c r="N20" s="697"/>
    </row>
    <row r="21" spans="1:23" ht="15.75" customHeight="1">
      <c r="C21" s="977"/>
      <c r="D21" s="977"/>
      <c r="E21" s="977"/>
      <c r="F21" s="977"/>
      <c r="G21" s="977"/>
      <c r="H21" s="977"/>
      <c r="I21" s="977"/>
      <c r="J21" s="977"/>
      <c r="K21" s="977"/>
      <c r="L21" s="697"/>
      <c r="M21" s="697"/>
      <c r="N21" s="697"/>
    </row>
    <row r="22" spans="1:23">
      <c r="C22" s="998" t="s">
        <v>1038</v>
      </c>
      <c r="D22" s="998"/>
      <c r="E22" s="998"/>
      <c r="F22" s="998"/>
      <c r="G22" s="998"/>
      <c r="H22" s="998"/>
      <c r="I22" s="998"/>
      <c r="J22" s="998"/>
      <c r="K22" s="998"/>
      <c r="L22" s="998"/>
      <c r="M22" s="998"/>
      <c r="N22" s="998"/>
      <c r="O22" s="827"/>
    </row>
    <row r="23" spans="1:23" ht="15.75" customHeight="1">
      <c r="C23" s="999" t="s">
        <v>913</v>
      </c>
      <c r="D23" s="999"/>
      <c r="E23" s="999"/>
      <c r="F23" s="999"/>
      <c r="G23" s="999"/>
      <c r="H23" s="999"/>
      <c r="I23" s="999"/>
      <c r="J23" s="999"/>
      <c r="K23" s="999"/>
      <c r="L23" s="999"/>
      <c r="M23" s="999"/>
      <c r="N23" s="642"/>
      <c r="O23" s="626"/>
    </row>
    <row r="24" spans="1:23" ht="15.6" customHeight="1">
      <c r="C24" s="999"/>
      <c r="D24" s="999"/>
      <c r="E24" s="999"/>
      <c r="F24" s="642"/>
      <c r="G24" s="817"/>
      <c r="H24" s="642"/>
      <c r="I24" s="642"/>
      <c r="J24" s="642"/>
      <c r="K24" s="642"/>
      <c r="L24" s="642"/>
      <c r="M24" s="642"/>
      <c r="N24" s="642"/>
      <c r="O24" s="626"/>
    </row>
    <row r="25" spans="1:23">
      <c r="G25" s="961"/>
      <c r="O25" s="626"/>
    </row>
    <row r="26" spans="1:23">
      <c r="G26" s="826"/>
      <c r="H26" s="826"/>
      <c r="I26" s="828"/>
      <c r="J26" s="826"/>
      <c r="K26" s="828"/>
      <c r="L26" s="666"/>
    </row>
    <row r="27" spans="1:23">
      <c r="G27" s="610"/>
    </row>
  </sheetData>
  <mergeCells count="4">
    <mergeCell ref="C22:N22"/>
    <mergeCell ref="C23:M23"/>
    <mergeCell ref="C20:K21"/>
    <mergeCell ref="C24:E24"/>
  </mergeCells>
  <dataValidations count="1">
    <dataValidation type="list" allowBlank="1" showInputMessage="1" showErrorMessage="1" sqref="E10:E15" xr:uid="{00000000-0002-0000-0900-000000000000}">
      <formula1>"DA, TE, TP, GP, WS, CE, EXCL,"</formula1>
    </dataValidation>
  </dataValidations>
  <pageMargins left="0" right="0" top="1" bottom="0.5" header="0" footer="0"/>
  <pageSetup scale="75"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dimension ref="A1:X27"/>
  <sheetViews>
    <sheetView view="pageBreakPreview" zoomScale="85" zoomScaleNormal="85" zoomScaleSheetLayoutView="85" workbookViewId="0">
      <selection activeCell="E3" sqref="E3"/>
    </sheetView>
  </sheetViews>
  <sheetFormatPr defaultColWidth="8.81640625" defaultRowHeight="20.100000000000001" customHeight="1"/>
  <cols>
    <col min="1" max="1" width="2.7265625" style="37" customWidth="1"/>
    <col min="2" max="2" width="10.7265625" style="33" customWidth="1"/>
    <col min="3" max="3" width="8.81640625" style="33"/>
    <col min="4" max="4" width="2.7265625" style="33" customWidth="1"/>
    <col min="5" max="11" width="12.7265625" style="37" customWidth="1"/>
    <col min="12" max="12" width="16.81640625" style="33" bestFit="1" customWidth="1"/>
    <col min="13" max="13" width="8.81640625" style="33"/>
    <col min="14" max="15" width="13.54296875" style="33" bestFit="1" customWidth="1"/>
    <col min="16" max="16384" width="8.81640625" style="33"/>
  </cols>
  <sheetData>
    <row r="1" spans="1:24" ht="20.100000000000001" customHeight="1">
      <c r="M1" s="3" t="s">
        <v>455</v>
      </c>
    </row>
    <row r="2" spans="1:24" ht="20.100000000000001" customHeight="1">
      <c r="M2" s="3" t="s">
        <v>144</v>
      </c>
    </row>
    <row r="3" spans="1:24" ht="20.100000000000001" customHeight="1">
      <c r="H3" s="39" t="s">
        <v>422</v>
      </c>
      <c r="M3" s="3" t="str">
        <f>'Attachment 1 - Sched 1A'!$J$3</f>
        <v>For the 12 months ended 12/31/2022</v>
      </c>
    </row>
    <row r="4" spans="1:24" ht="20.100000000000001" customHeight="1">
      <c r="A4" s="40"/>
    </row>
    <row r="5" spans="1:24" ht="20.100000000000001" customHeight="1">
      <c r="E5" s="43" t="s">
        <v>392</v>
      </c>
      <c r="F5" s="43" t="s">
        <v>393</v>
      </c>
      <c r="G5" s="43" t="s">
        <v>394</v>
      </c>
      <c r="H5" s="43" t="s">
        <v>395</v>
      </c>
      <c r="I5" s="43" t="s">
        <v>396</v>
      </c>
      <c r="J5" s="43" t="s">
        <v>397</v>
      </c>
      <c r="K5" s="43" t="s">
        <v>398</v>
      </c>
    </row>
    <row r="6" spans="1:24" ht="20.100000000000001" customHeight="1">
      <c r="E6" s="39" t="s">
        <v>190</v>
      </c>
      <c r="F6" s="39" t="s">
        <v>192</v>
      </c>
      <c r="G6" s="39" t="s">
        <v>193</v>
      </c>
      <c r="H6" s="39" t="s">
        <v>351</v>
      </c>
      <c r="I6" s="39" t="s">
        <v>382</v>
      </c>
      <c r="J6" s="39" t="s">
        <v>62</v>
      </c>
      <c r="K6" s="39" t="s">
        <v>194</v>
      </c>
    </row>
    <row r="7" spans="1:24" ht="20.100000000000001" customHeight="1">
      <c r="E7" s="39" t="s">
        <v>191</v>
      </c>
      <c r="F7" s="39"/>
      <c r="G7" s="39"/>
      <c r="H7" s="39"/>
      <c r="I7" s="39"/>
      <c r="J7" s="39"/>
      <c r="K7" s="39"/>
    </row>
    <row r="8" spans="1:24" ht="20.100000000000001" customHeight="1">
      <c r="D8" s="36" t="s">
        <v>182</v>
      </c>
      <c r="E8" s="38" t="s">
        <v>195</v>
      </c>
      <c r="F8" s="38" t="s">
        <v>438</v>
      </c>
      <c r="G8" s="38" t="s">
        <v>196</v>
      </c>
      <c r="H8" s="38" t="s">
        <v>350</v>
      </c>
      <c r="I8" s="38" t="s">
        <v>1039</v>
      </c>
      <c r="J8" s="38" t="s">
        <v>383</v>
      </c>
      <c r="K8" s="41" t="s">
        <v>820</v>
      </c>
      <c r="L8" s="843"/>
    </row>
    <row r="9" spans="1:24" ht="20.100000000000001" customHeight="1">
      <c r="A9" s="41">
        <v>1</v>
      </c>
      <c r="B9" s="33" t="s">
        <v>157</v>
      </c>
      <c r="C9" s="34">
        <f>'Attachment 4 - Accum Depr'!C8</f>
        <v>2021</v>
      </c>
      <c r="D9" s="36"/>
      <c r="E9" s="56">
        <v>3907718452</v>
      </c>
      <c r="F9" s="56">
        <v>0</v>
      </c>
      <c r="G9" s="56">
        <v>-45050</v>
      </c>
      <c r="H9" s="56">
        <v>-5610636.8999999901</v>
      </c>
      <c r="I9" s="56">
        <v>1810936125</v>
      </c>
      <c r="J9" s="62">
        <f>E9-F9-G9-H9-I9</f>
        <v>2102438013.9000001</v>
      </c>
      <c r="K9" s="56">
        <v>2150000000</v>
      </c>
      <c r="L9" s="843"/>
      <c r="M9" s="790"/>
    </row>
    <row r="10" spans="1:24" ht="20.100000000000001" customHeight="1">
      <c r="A10" s="41">
        <v>2</v>
      </c>
      <c r="B10" s="33" t="s">
        <v>158</v>
      </c>
      <c r="C10" s="34">
        <f>C9+1</f>
        <v>2022</v>
      </c>
      <c r="E10" s="56">
        <v>3923468081.3800001</v>
      </c>
      <c r="F10" s="56"/>
      <c r="G10" s="56">
        <v>-45050</v>
      </c>
      <c r="H10" s="56">
        <v>-5568243.8999999901</v>
      </c>
      <c r="I10" s="56">
        <v>1810936125</v>
      </c>
      <c r="J10" s="62">
        <f t="shared" ref="J10:J20" si="0">E10-F10-G10-H10-I10</f>
        <v>2118145250.2800002</v>
      </c>
      <c r="K10" s="56">
        <v>2150000000</v>
      </c>
      <c r="L10" s="42"/>
      <c r="M10" s="818"/>
    </row>
    <row r="11" spans="1:24" ht="20.100000000000001" customHeight="1">
      <c r="A11" s="41">
        <v>3</v>
      </c>
      <c r="B11" s="33" t="s">
        <v>159</v>
      </c>
      <c r="C11" s="34">
        <f>C10</f>
        <v>2022</v>
      </c>
      <c r="E11" s="56">
        <v>3933321484.8000002</v>
      </c>
      <c r="F11" s="56"/>
      <c r="G11" s="56">
        <v>-45050</v>
      </c>
      <c r="H11" s="56">
        <v>-5549684.23999999</v>
      </c>
      <c r="I11" s="56">
        <v>1810936125</v>
      </c>
      <c r="J11" s="62">
        <f>E11-F11-G11-H11-I11</f>
        <v>2127980094.04</v>
      </c>
      <c r="K11" s="56">
        <v>2150000000</v>
      </c>
      <c r="L11" s="42"/>
      <c r="M11" s="790"/>
      <c r="N11" s="829"/>
      <c r="O11" s="829"/>
      <c r="P11" s="829"/>
      <c r="Q11" s="829"/>
      <c r="R11" s="829"/>
      <c r="S11" s="829"/>
      <c r="T11" s="829"/>
      <c r="U11" s="829"/>
      <c r="V11" s="829"/>
      <c r="W11" s="829"/>
      <c r="X11" s="829"/>
    </row>
    <row r="12" spans="1:24" ht="20.100000000000001" customHeight="1">
      <c r="A12" s="41">
        <v>4</v>
      </c>
      <c r="B12" s="33" t="s">
        <v>160</v>
      </c>
      <c r="C12" s="34">
        <f t="shared" ref="C12:C21" si="1">C11</f>
        <v>2022</v>
      </c>
      <c r="E12" s="56">
        <v>3916311099</v>
      </c>
      <c r="F12" s="56"/>
      <c r="G12" s="56">
        <v>-45050</v>
      </c>
      <c r="H12" s="56">
        <v>-5519207.9199999897</v>
      </c>
      <c r="I12" s="56">
        <v>1810936125</v>
      </c>
      <c r="J12" s="62">
        <f t="shared" si="0"/>
        <v>2110939231.9200001</v>
      </c>
      <c r="K12" s="56">
        <v>2150000000</v>
      </c>
      <c r="L12" s="42"/>
      <c r="M12" s="790"/>
    </row>
    <row r="13" spans="1:24" ht="20.100000000000001" customHeight="1">
      <c r="A13" s="41">
        <v>5</v>
      </c>
      <c r="B13" s="33" t="s">
        <v>161</v>
      </c>
      <c r="C13" s="34">
        <f t="shared" si="1"/>
        <v>2022</v>
      </c>
      <c r="E13" s="56">
        <v>3919312594</v>
      </c>
      <c r="F13" s="56"/>
      <c r="G13" s="56">
        <v>-45050</v>
      </c>
      <c r="H13" s="56">
        <v>-5488731.5800000001</v>
      </c>
      <c r="I13" s="56">
        <v>1810936125</v>
      </c>
      <c r="J13" s="62">
        <f>E13-F13-G13-H13-I13</f>
        <v>2113910250.5799999</v>
      </c>
      <c r="K13" s="56">
        <v>2150000000</v>
      </c>
      <c r="L13" s="42"/>
      <c r="M13" s="790"/>
    </row>
    <row r="14" spans="1:24" ht="20.100000000000001" customHeight="1">
      <c r="A14" s="41">
        <v>6</v>
      </c>
      <c r="B14" s="33" t="s">
        <v>162</v>
      </c>
      <c r="C14" s="34">
        <f t="shared" si="1"/>
        <v>2022</v>
      </c>
      <c r="E14" s="56">
        <v>3929879002.5</v>
      </c>
      <c r="F14" s="56"/>
      <c r="G14" s="56">
        <v>-45050</v>
      </c>
      <c r="H14" s="56">
        <v>-5458255.2599999998</v>
      </c>
      <c r="I14" s="56">
        <v>1810936125</v>
      </c>
      <c r="J14" s="62">
        <f t="shared" si="0"/>
        <v>2124446182.7600002</v>
      </c>
      <c r="K14" s="56">
        <v>2150000000</v>
      </c>
      <c r="L14" s="790"/>
      <c r="M14" s="790"/>
    </row>
    <row r="15" spans="1:24" ht="20.100000000000001" customHeight="1">
      <c r="A15" s="41">
        <v>7</v>
      </c>
      <c r="B15" s="33" t="s">
        <v>173</v>
      </c>
      <c r="C15" s="34">
        <f t="shared" si="1"/>
        <v>2022</v>
      </c>
      <c r="E15" s="56">
        <v>3937957128</v>
      </c>
      <c r="F15" s="56"/>
      <c r="G15" s="56">
        <v>-45050</v>
      </c>
      <c r="H15" s="56">
        <v>-5427778.9399999902</v>
      </c>
      <c r="I15" s="56">
        <v>1810936125</v>
      </c>
      <c r="J15" s="62">
        <f t="shared" si="0"/>
        <v>2132493831.9400001</v>
      </c>
      <c r="K15" s="56">
        <v>2150000000</v>
      </c>
      <c r="L15" s="790"/>
      <c r="M15" s="790"/>
    </row>
    <row r="16" spans="1:24" ht="20.100000000000001" customHeight="1">
      <c r="A16" s="41">
        <v>8</v>
      </c>
      <c r="B16" s="33" t="s">
        <v>163</v>
      </c>
      <c r="C16" s="34">
        <f t="shared" si="1"/>
        <v>2022</v>
      </c>
      <c r="E16" s="56">
        <v>3982784546.4700003</v>
      </c>
      <c r="F16" s="56"/>
      <c r="G16" s="56">
        <v>-45050</v>
      </c>
      <c r="H16" s="56">
        <v>-5397302.5999999903</v>
      </c>
      <c r="I16" s="56">
        <v>1810936125</v>
      </c>
      <c r="J16" s="62">
        <f>E16-F16-G16-H16-I16</f>
        <v>2177290774.0700002</v>
      </c>
      <c r="K16" s="56">
        <v>2150000000</v>
      </c>
      <c r="L16" s="790"/>
      <c r="M16" s="790"/>
    </row>
    <row r="17" spans="1:13" ht="20.100000000000001" customHeight="1">
      <c r="A17" s="41">
        <v>9</v>
      </c>
      <c r="B17" s="33" t="s">
        <v>164</v>
      </c>
      <c r="C17" s="34">
        <f t="shared" si="1"/>
        <v>2022</v>
      </c>
      <c r="E17" s="56">
        <v>4034753763.5799999</v>
      </c>
      <c r="F17" s="56"/>
      <c r="G17" s="56">
        <v>-45050</v>
      </c>
      <c r="H17" s="56">
        <v>-5366826.27999999</v>
      </c>
      <c r="I17" s="56">
        <v>1810936125</v>
      </c>
      <c r="J17" s="62">
        <f t="shared" si="0"/>
        <v>2229229514.8600001</v>
      </c>
      <c r="K17" s="56">
        <v>2150000000</v>
      </c>
      <c r="L17" s="790"/>
      <c r="M17" s="790"/>
    </row>
    <row r="18" spans="1:13" ht="20.100000000000001" customHeight="1">
      <c r="A18" s="41">
        <v>10</v>
      </c>
      <c r="B18" s="33" t="s">
        <v>165</v>
      </c>
      <c r="C18" s="34">
        <f t="shared" si="1"/>
        <v>2022</v>
      </c>
      <c r="E18" s="56">
        <v>3976551987</v>
      </c>
      <c r="F18" s="56"/>
      <c r="G18" s="56">
        <v>-45050</v>
      </c>
      <c r="H18" s="56">
        <v>-5336349.95</v>
      </c>
      <c r="I18" s="56">
        <v>1810936125</v>
      </c>
      <c r="J18" s="62">
        <f t="shared" si="0"/>
        <v>2170997261.9499998</v>
      </c>
      <c r="K18" s="56">
        <v>2150000000</v>
      </c>
      <c r="L18" s="419"/>
    </row>
    <row r="19" spans="1:13" ht="20.100000000000001" customHeight="1">
      <c r="A19" s="41">
        <v>11</v>
      </c>
      <c r="B19" s="33" t="s">
        <v>167</v>
      </c>
      <c r="C19" s="34">
        <f t="shared" si="1"/>
        <v>2022</v>
      </c>
      <c r="E19" s="56">
        <v>3985425039.0500002</v>
      </c>
      <c r="F19" s="56"/>
      <c r="G19" s="56">
        <v>-45050</v>
      </c>
      <c r="H19" s="56">
        <v>-5305873.6199999899</v>
      </c>
      <c r="I19" s="56">
        <v>1810936125</v>
      </c>
      <c r="J19" s="62">
        <f t="shared" si="0"/>
        <v>2179839837.6700001</v>
      </c>
      <c r="K19" s="56">
        <v>2150000000</v>
      </c>
      <c r="L19" s="419"/>
    </row>
    <row r="20" spans="1:13" ht="20.100000000000001" customHeight="1">
      <c r="A20" s="41">
        <v>12</v>
      </c>
      <c r="B20" s="33" t="s">
        <v>166</v>
      </c>
      <c r="C20" s="34">
        <f t="shared" si="1"/>
        <v>2022</v>
      </c>
      <c r="E20" s="56">
        <v>3989360591.7799997</v>
      </c>
      <c r="F20" s="56"/>
      <c r="G20" s="56">
        <v>-45050</v>
      </c>
      <c r="H20" s="56">
        <v>-5275397.3</v>
      </c>
      <c r="I20" s="56">
        <v>1810936125</v>
      </c>
      <c r="J20" s="62">
        <f t="shared" si="0"/>
        <v>2183744914.0799999</v>
      </c>
      <c r="K20" s="56">
        <v>2150000000</v>
      </c>
      <c r="L20" s="419"/>
    </row>
    <row r="21" spans="1:13" ht="20.100000000000001" customHeight="1">
      <c r="A21" s="41">
        <v>13</v>
      </c>
      <c r="B21" s="33" t="s">
        <v>157</v>
      </c>
      <c r="C21" s="34">
        <f t="shared" si="1"/>
        <v>2022</v>
      </c>
      <c r="E21" s="56">
        <v>3965361610</v>
      </c>
      <c r="F21" s="56"/>
      <c r="G21" s="56">
        <v>0</v>
      </c>
      <c r="H21" s="56">
        <v>-5243178.51</v>
      </c>
      <c r="I21" s="56">
        <v>1810936125</v>
      </c>
      <c r="J21" s="62">
        <f>E21-F21-G21-H21-I21</f>
        <v>2159668663.5100002</v>
      </c>
      <c r="K21" s="56">
        <v>2150000000</v>
      </c>
      <c r="L21" s="419"/>
    </row>
    <row r="22" spans="1:13" ht="20.100000000000001" customHeight="1">
      <c r="A22" s="33"/>
      <c r="E22" s="58"/>
      <c r="F22" s="58"/>
      <c r="G22" s="58"/>
      <c r="H22" s="58"/>
      <c r="I22" s="58"/>
      <c r="J22" s="58"/>
      <c r="K22" s="58"/>
    </row>
    <row r="23" spans="1:13" ht="20.100000000000001" customHeight="1">
      <c r="A23" s="41">
        <v>14</v>
      </c>
      <c r="B23" s="33" t="s">
        <v>181</v>
      </c>
      <c r="E23" s="58">
        <f t="shared" ref="E23:K23" si="2">SUM(E9:E21)/13</f>
        <v>3954015798.4276929</v>
      </c>
      <c r="F23" s="58">
        <f t="shared" si="2"/>
        <v>0</v>
      </c>
      <c r="G23" s="58">
        <f t="shared" si="2"/>
        <v>-41584.615384615383</v>
      </c>
      <c r="H23" s="58">
        <f t="shared" si="2"/>
        <v>-5426728.2307692254</v>
      </c>
      <c r="I23" s="58">
        <f t="shared" si="2"/>
        <v>1810936125</v>
      </c>
      <c r="J23" s="58">
        <f t="shared" si="2"/>
        <v>2148547986.2738466</v>
      </c>
      <c r="K23" s="58">
        <f t="shared" si="2"/>
        <v>2150000000</v>
      </c>
    </row>
    <row r="24" spans="1:13" ht="20.100000000000001" customHeight="1">
      <c r="A24" s="41"/>
    </row>
    <row r="25" spans="1:13" ht="20.100000000000001" customHeight="1">
      <c r="I25" s="62"/>
    </row>
    <row r="26" spans="1:13" ht="20.100000000000001" customHeight="1">
      <c r="A26" s="33" t="s">
        <v>183</v>
      </c>
    </row>
    <row r="27" spans="1:13" ht="20.100000000000001" customHeight="1">
      <c r="A27" s="37" t="s">
        <v>182</v>
      </c>
      <c r="B27" s="33" t="s">
        <v>184</v>
      </c>
      <c r="J27" s="44"/>
    </row>
  </sheetData>
  <customSheetViews>
    <customSheetView guid="{E1861F40-EBD5-44AE-868B-FDE0ED504D72}" scale="85">
      <selection activeCell="E9" sqref="E9"/>
      <pageMargins left="0.7" right="0.7" top="0.75" bottom="0.75" header="0.3" footer="0.3"/>
      <pageSetup scale="55" orientation="portrait" r:id="rId1"/>
    </customSheetView>
  </customSheetViews>
  <pageMargins left="0.7" right="0.7" top="0.75" bottom="0.75" header="0.3" footer="0.3"/>
  <pageSetup scale="53" orientation="portrait"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dimension ref="A1:O50"/>
  <sheetViews>
    <sheetView view="pageBreakPreview" zoomScale="85" zoomScaleNormal="100" zoomScaleSheetLayoutView="85" workbookViewId="0">
      <selection activeCell="F22" sqref="F22"/>
    </sheetView>
  </sheetViews>
  <sheetFormatPr defaultColWidth="8.81640625" defaultRowHeight="13.2"/>
  <cols>
    <col min="1" max="1" width="8.81640625" style="63"/>
    <col min="2" max="2" width="15" style="63" customWidth="1"/>
    <col min="3" max="3" width="12.453125" style="63" customWidth="1"/>
    <col min="4" max="4" width="8.81640625" style="63"/>
    <col min="5" max="5" width="13.7265625" style="63" bestFit="1" customWidth="1"/>
    <col min="6" max="16384" width="8.81640625" style="63"/>
  </cols>
  <sheetData>
    <row r="1" spans="1:9" ht="15.6">
      <c r="A1" s="40"/>
      <c r="I1" s="3" t="s">
        <v>456</v>
      </c>
    </row>
    <row r="2" spans="1:9" ht="15.6">
      <c r="A2" s="40"/>
      <c r="I2" s="3" t="s">
        <v>144</v>
      </c>
    </row>
    <row r="3" spans="1:9" ht="15.6">
      <c r="A3" s="40"/>
      <c r="D3" s="64" t="s">
        <v>423</v>
      </c>
      <c r="I3" s="3" t="str">
        <f>'Attachment 1 - Sched 1A'!$J$3</f>
        <v>For the 12 months ended 12/31/2022</v>
      </c>
    </row>
    <row r="4" spans="1:9" ht="15.6">
      <c r="A4" s="40"/>
    </row>
    <row r="5" spans="1:9">
      <c r="A5" s="64"/>
    </row>
    <row r="6" spans="1:9">
      <c r="A6" s="64" t="s">
        <v>222</v>
      </c>
    </row>
    <row r="7" spans="1:9">
      <c r="A7" s="69" t="s">
        <v>228</v>
      </c>
    </row>
    <row r="8" spans="1:9">
      <c r="A8" s="64"/>
    </row>
    <row r="10" spans="1:9">
      <c r="A10" s="64" t="s">
        <v>223</v>
      </c>
    </row>
    <row r="12" spans="1:9" ht="18" customHeight="1">
      <c r="A12" s="1000" t="s">
        <v>947</v>
      </c>
      <c r="B12" s="1001"/>
      <c r="C12" s="1001"/>
      <c r="D12" s="1001"/>
      <c r="E12" s="1001"/>
      <c r="F12" s="1001"/>
      <c r="G12" s="1001"/>
      <c r="H12" s="1001"/>
      <c r="I12" s="1001"/>
    </row>
    <row r="15" spans="1:9">
      <c r="A15" s="64" t="s">
        <v>224</v>
      </c>
    </row>
    <row r="16" spans="1:9">
      <c r="A16" s="64"/>
      <c r="B16" s="310" t="s">
        <v>225</v>
      </c>
    </row>
    <row r="17" spans="1:15" s="65" customFormat="1" ht="15" customHeight="1">
      <c r="A17" s="145" t="s">
        <v>483</v>
      </c>
      <c r="B17" s="145"/>
      <c r="C17" s="197">
        <v>-155537000</v>
      </c>
      <c r="D17" s="145"/>
      <c r="E17" s="145"/>
      <c r="F17" s="197"/>
      <c r="G17" s="145"/>
      <c r="H17" s="145"/>
      <c r="I17" s="197"/>
      <c r="J17" s="66"/>
      <c r="K17" s="66"/>
      <c r="L17" s="70"/>
      <c r="M17" s="66"/>
      <c r="N17" s="66"/>
      <c r="O17" s="66"/>
    </row>
    <row r="18" spans="1:15">
      <c r="A18" s="145" t="s">
        <v>484</v>
      </c>
      <c r="B18" s="145"/>
      <c r="C18" s="197">
        <v>2363633077</v>
      </c>
      <c r="D18" s="145"/>
      <c r="E18" s="145"/>
      <c r="F18" s="197"/>
      <c r="G18" s="145"/>
      <c r="H18" s="145"/>
      <c r="I18" s="197"/>
    </row>
    <row r="19" spans="1:15">
      <c r="A19" s="145" t="s">
        <v>606</v>
      </c>
      <c r="B19" s="145"/>
      <c r="C19" s="600" t="s">
        <v>607</v>
      </c>
      <c r="D19" s="145"/>
      <c r="E19" s="145"/>
      <c r="F19" s="197"/>
      <c r="G19" s="145"/>
      <c r="H19" s="145"/>
      <c r="I19" s="197"/>
    </row>
    <row r="21" spans="1:15">
      <c r="A21" s="64" t="s">
        <v>603</v>
      </c>
    </row>
    <row r="22" spans="1:15">
      <c r="A22" s="64"/>
    </row>
    <row r="23" spans="1:15">
      <c r="A23" s="63" t="s">
        <v>226</v>
      </c>
      <c r="C23" s="312" t="s">
        <v>227</v>
      </c>
    </row>
    <row r="24" spans="1:15" ht="15">
      <c r="A24" s="288">
        <v>350.2</v>
      </c>
      <c r="C24" s="311">
        <v>1.5299999999999999E-2</v>
      </c>
      <c r="J24" s="286"/>
      <c r="K24" s="295"/>
      <c r="L24" s="287"/>
    </row>
    <row r="25" spans="1:15" ht="15">
      <c r="A25" s="288">
        <v>352</v>
      </c>
      <c r="C25" s="311">
        <v>1.14E-2</v>
      </c>
      <c r="J25" s="286"/>
      <c r="K25" s="295"/>
      <c r="L25" s="287"/>
    </row>
    <row r="26" spans="1:15" ht="15">
      <c r="A26" s="288">
        <v>353</v>
      </c>
      <c r="C26" s="317">
        <v>2.2800000000000001E-2</v>
      </c>
      <c r="J26" s="286"/>
      <c r="K26" s="295"/>
      <c r="L26" s="287"/>
    </row>
    <row r="27" spans="1:15" ht="15">
      <c r="A27" s="288">
        <v>354</v>
      </c>
      <c r="C27" s="317">
        <v>8.3000000000000001E-3</v>
      </c>
      <c r="J27" s="286"/>
      <c r="K27" s="295"/>
      <c r="L27" s="287"/>
    </row>
    <row r="28" spans="1:15" ht="15">
      <c r="A28" s="288">
        <v>355</v>
      </c>
      <c r="C28" s="317">
        <v>1.8100000000000002E-2</v>
      </c>
      <c r="J28" s="286"/>
      <c r="K28" s="295"/>
      <c r="L28" s="287"/>
    </row>
    <row r="29" spans="1:15" ht="15">
      <c r="A29" s="288">
        <v>356</v>
      </c>
      <c r="C29" s="317">
        <v>2.1399999999999999E-2</v>
      </c>
      <c r="J29" s="286"/>
      <c r="K29" s="295"/>
      <c r="L29" s="287"/>
    </row>
    <row r="30" spans="1:15" ht="15">
      <c r="A30" s="288">
        <v>356.1</v>
      </c>
      <c r="C30" s="317">
        <v>1.04E-2</v>
      </c>
      <c r="J30" s="286"/>
      <c r="K30" s="295"/>
      <c r="L30" s="287"/>
    </row>
    <row r="31" spans="1:15" ht="15">
      <c r="A31" s="288">
        <v>357</v>
      </c>
      <c r="C31" s="317">
        <v>1.32E-2</v>
      </c>
      <c r="J31" s="286"/>
      <c r="K31" s="295"/>
      <c r="L31" s="287"/>
    </row>
    <row r="32" spans="1:15" ht="15">
      <c r="A32" s="294">
        <v>358</v>
      </c>
      <c r="C32" s="317">
        <v>1.67E-2</v>
      </c>
      <c r="J32" s="286"/>
      <c r="K32" s="295"/>
      <c r="L32" s="287"/>
    </row>
    <row r="33" spans="1:12" ht="15">
      <c r="A33" s="294">
        <v>359</v>
      </c>
      <c r="C33" s="311">
        <v>1.0999999999999999E-2</v>
      </c>
      <c r="J33" s="286"/>
      <c r="K33" s="295"/>
      <c r="L33" s="287"/>
    </row>
    <row r="34" spans="1:12" ht="15">
      <c r="A34" s="294">
        <v>389.2</v>
      </c>
      <c r="C34" s="311">
        <v>3.9199999999999999E-2</v>
      </c>
      <c r="J34" s="286"/>
      <c r="K34" s="295"/>
      <c r="L34" s="287"/>
    </row>
    <row r="35" spans="1:12">
      <c r="A35" s="294">
        <v>390.1</v>
      </c>
      <c r="C35" s="317">
        <v>1.5100000000000001E-2</v>
      </c>
    </row>
    <row r="36" spans="1:12">
      <c r="A36" s="294">
        <v>390.2</v>
      </c>
      <c r="C36" s="317">
        <v>4.5999999999999999E-3</v>
      </c>
    </row>
    <row r="37" spans="1:12">
      <c r="A37" s="294">
        <v>391.1</v>
      </c>
      <c r="C37" s="317">
        <v>0.04</v>
      </c>
    </row>
    <row r="38" spans="1:12" ht="12.75" customHeight="1">
      <c r="A38" s="316">
        <v>391.15</v>
      </c>
      <c r="B38" s="315"/>
      <c r="C38" s="318">
        <v>0.05</v>
      </c>
      <c r="D38" s="315"/>
      <c r="E38" s="315"/>
      <c r="F38" s="315"/>
      <c r="G38" s="315"/>
      <c r="H38" s="315"/>
      <c r="I38" s="315"/>
    </row>
    <row r="39" spans="1:12">
      <c r="A39" s="294">
        <v>391.2</v>
      </c>
      <c r="C39" s="311">
        <v>0.2</v>
      </c>
    </row>
    <row r="40" spans="1:12">
      <c r="A40" s="294">
        <v>391.25</v>
      </c>
      <c r="C40" s="311">
        <v>0.2</v>
      </c>
    </row>
    <row r="41" spans="1:12">
      <c r="A41" s="294">
        <v>392</v>
      </c>
      <c r="C41" s="311">
        <v>3.8399999999999997E-2</v>
      </c>
    </row>
    <row r="42" spans="1:12">
      <c r="A42" s="294">
        <v>393</v>
      </c>
      <c r="C42" s="311">
        <v>3.3300000000000003E-2</v>
      </c>
    </row>
    <row r="43" spans="1:12">
      <c r="A43" s="294">
        <v>394</v>
      </c>
      <c r="C43" s="311">
        <v>0.04</v>
      </c>
    </row>
    <row r="44" spans="1:12">
      <c r="A44" s="294">
        <v>395</v>
      </c>
      <c r="C44" s="311">
        <v>0.05</v>
      </c>
    </row>
    <row r="45" spans="1:12">
      <c r="A45" s="294">
        <v>396</v>
      </c>
      <c r="C45" s="311">
        <v>3.0300000000000001E-2</v>
      </c>
    </row>
    <row r="46" spans="1:12">
      <c r="A46" s="294">
        <v>397</v>
      </c>
      <c r="C46" s="311">
        <v>0.05</v>
      </c>
    </row>
    <row r="47" spans="1:12">
      <c r="A47" s="294">
        <v>398</v>
      </c>
      <c r="C47" s="311">
        <v>0.05</v>
      </c>
    </row>
    <row r="48" spans="1:12" ht="16.05" customHeight="1">
      <c r="A48" s="316" t="s">
        <v>604</v>
      </c>
      <c r="B48" s="599" t="s">
        <v>605</v>
      </c>
      <c r="C48" s="597"/>
      <c r="D48" s="597"/>
      <c r="E48" s="597"/>
      <c r="F48" s="597"/>
      <c r="G48" s="597"/>
      <c r="H48" s="597"/>
    </row>
    <row r="49" spans="1:9" ht="18.600000000000001" customHeight="1">
      <c r="A49" s="598" t="s">
        <v>17</v>
      </c>
      <c r="B49" s="1000" t="s">
        <v>1040</v>
      </c>
      <c r="C49" s="1000"/>
      <c r="D49" s="1000"/>
      <c r="E49" s="1000"/>
      <c r="F49" s="1000"/>
      <c r="G49" s="1000"/>
      <c r="H49" s="1000"/>
      <c r="I49" s="1000"/>
    </row>
    <row r="50" spans="1:9" ht="30.6" customHeight="1">
      <c r="B50" s="1000"/>
      <c r="C50" s="1000"/>
      <c r="D50" s="1000"/>
      <c r="E50" s="1000"/>
      <c r="F50" s="1000"/>
      <c r="G50" s="1000"/>
      <c r="H50" s="1000"/>
      <c r="I50" s="1000"/>
    </row>
  </sheetData>
  <mergeCells count="2">
    <mergeCell ref="A12:I12"/>
    <mergeCell ref="B49:I50"/>
  </mergeCells>
  <pageMargins left="0.7" right="0.7" top="0.75" bottom="0.75" header="0.3" footer="0.3"/>
  <pageSetup scale="6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dimension ref="A1:AU135"/>
  <sheetViews>
    <sheetView view="pageBreakPreview" zoomScale="70" zoomScaleNormal="70" zoomScaleSheetLayoutView="70" workbookViewId="0">
      <selection activeCell="F22" sqref="F22"/>
    </sheetView>
  </sheetViews>
  <sheetFormatPr defaultColWidth="13.26953125" defaultRowHeight="15"/>
  <cols>
    <col min="1" max="1" width="3.26953125" style="319" customWidth="1"/>
    <col min="2" max="2" width="14.453125" style="319" customWidth="1"/>
    <col min="3" max="3" width="13.54296875" style="319" bestFit="1" customWidth="1"/>
    <col min="4" max="4" width="17.7265625" style="319" bestFit="1" customWidth="1"/>
    <col min="5" max="6" width="3.26953125" style="319" customWidth="1"/>
    <col min="7" max="7" width="13.54296875" style="319" bestFit="1" customWidth="1"/>
    <col min="8" max="8" width="4.453125" style="319" customWidth="1"/>
    <col min="9" max="9" width="20.26953125" style="319" customWidth="1"/>
    <col min="10" max="10" width="4.453125" style="319" customWidth="1"/>
    <col min="11" max="11" width="20.7265625" style="319" customWidth="1"/>
    <col min="12" max="12" width="4.453125" style="319" customWidth="1"/>
    <col min="13" max="13" width="19.81640625" style="319" customWidth="1"/>
    <col min="14" max="14" width="4.453125" style="319" customWidth="1"/>
    <col min="15" max="15" width="13.54296875" style="319" bestFit="1" customWidth="1"/>
    <col min="16" max="16" width="4.453125" style="319" customWidth="1"/>
    <col min="17" max="17" width="21.81640625" style="319" customWidth="1"/>
    <col min="18" max="18" width="4.453125" style="319" customWidth="1"/>
    <col min="19" max="19" width="20.81640625" style="319" customWidth="1"/>
    <col min="20" max="20" width="4.453125" style="319" customWidth="1"/>
    <col min="21" max="21" width="14.81640625" style="319" customWidth="1"/>
    <col min="22" max="22" width="4.453125" style="319" customWidth="1"/>
    <col min="23" max="23" width="15.08984375" style="319" customWidth="1"/>
    <col min="24" max="24" width="4.453125" style="319" customWidth="1"/>
    <col min="25" max="25" width="20.08984375" style="319" customWidth="1"/>
    <col min="26" max="26" width="4.453125" style="319" customWidth="1"/>
    <col min="27" max="27" width="16.7265625" style="319" customWidth="1"/>
    <col min="28" max="257" width="13.26953125" style="319"/>
    <col min="258" max="258" width="14.453125" style="319" customWidth="1"/>
    <col min="259" max="259" width="13.453125" style="319" bestFit="1" customWidth="1"/>
    <col min="260" max="260" width="14.26953125" style="319" bestFit="1" customWidth="1"/>
    <col min="261" max="262" width="13.26953125" style="319"/>
    <col min="263" max="263" width="13.453125" style="319" bestFit="1" customWidth="1"/>
    <col min="264" max="264" width="13.26953125" style="319"/>
    <col min="265" max="265" width="13.453125" style="319" bestFit="1" customWidth="1"/>
    <col min="266" max="266" width="13.26953125" style="319"/>
    <col min="267" max="269" width="13.453125" style="319" bestFit="1" customWidth="1"/>
    <col min="270" max="270" width="13.26953125" style="319"/>
    <col min="271" max="271" width="13.453125" style="319" bestFit="1" customWidth="1"/>
    <col min="272" max="272" width="13.26953125" style="319"/>
    <col min="273" max="273" width="14.26953125" style="319" bestFit="1" customWidth="1"/>
    <col min="274" max="274" width="13.26953125" style="319"/>
    <col min="275" max="275" width="13.453125" style="319" bestFit="1" customWidth="1"/>
    <col min="276" max="513" width="13.26953125" style="319"/>
    <col min="514" max="514" width="14.453125" style="319" customWidth="1"/>
    <col min="515" max="515" width="13.453125" style="319" bestFit="1" customWidth="1"/>
    <col min="516" max="516" width="14.26953125" style="319" bestFit="1" customWidth="1"/>
    <col min="517" max="518" width="13.26953125" style="319"/>
    <col min="519" max="519" width="13.453125" style="319" bestFit="1" customWidth="1"/>
    <col min="520" max="520" width="13.26953125" style="319"/>
    <col min="521" max="521" width="13.453125" style="319" bestFit="1" customWidth="1"/>
    <col min="522" max="522" width="13.26953125" style="319"/>
    <col min="523" max="525" width="13.453125" style="319" bestFit="1" customWidth="1"/>
    <col min="526" max="526" width="13.26953125" style="319"/>
    <col min="527" max="527" width="13.453125" style="319" bestFit="1" customWidth="1"/>
    <col min="528" max="528" width="13.26953125" style="319"/>
    <col min="529" max="529" width="14.26953125" style="319" bestFit="1" customWidth="1"/>
    <col min="530" max="530" width="13.26953125" style="319"/>
    <col min="531" max="531" width="13.453125" style="319" bestFit="1" customWidth="1"/>
    <col min="532" max="769" width="13.26953125" style="319"/>
    <col min="770" max="770" width="14.453125" style="319" customWidth="1"/>
    <col min="771" max="771" width="13.453125" style="319" bestFit="1" customWidth="1"/>
    <col min="772" max="772" width="14.26953125" style="319" bestFit="1" customWidth="1"/>
    <col min="773" max="774" width="13.26953125" style="319"/>
    <col min="775" max="775" width="13.453125" style="319" bestFit="1" customWidth="1"/>
    <col min="776" max="776" width="13.26953125" style="319"/>
    <col min="777" max="777" width="13.453125" style="319" bestFit="1" customWidth="1"/>
    <col min="778" max="778" width="13.26953125" style="319"/>
    <col min="779" max="781" width="13.453125" style="319" bestFit="1" customWidth="1"/>
    <col min="782" max="782" width="13.26953125" style="319"/>
    <col min="783" max="783" width="13.453125" style="319" bestFit="1" customWidth="1"/>
    <col min="784" max="784" width="13.26953125" style="319"/>
    <col min="785" max="785" width="14.26953125" style="319" bestFit="1" customWidth="1"/>
    <col min="786" max="786" width="13.26953125" style="319"/>
    <col min="787" max="787" width="13.453125" style="319" bestFit="1" customWidth="1"/>
    <col min="788" max="1025" width="13.26953125" style="319"/>
    <col min="1026" max="1026" width="14.453125" style="319" customWidth="1"/>
    <col min="1027" max="1027" width="13.453125" style="319" bestFit="1" customWidth="1"/>
    <col min="1028" max="1028" width="14.26953125" style="319" bestFit="1" customWidth="1"/>
    <col min="1029" max="1030" width="13.26953125" style="319"/>
    <col min="1031" max="1031" width="13.453125" style="319" bestFit="1" customWidth="1"/>
    <col min="1032" max="1032" width="13.26953125" style="319"/>
    <col min="1033" max="1033" width="13.453125" style="319" bestFit="1" customWidth="1"/>
    <col min="1034" max="1034" width="13.26953125" style="319"/>
    <col min="1035" max="1037" width="13.453125" style="319" bestFit="1" customWidth="1"/>
    <col min="1038" max="1038" width="13.26953125" style="319"/>
    <col min="1039" max="1039" width="13.453125" style="319" bestFit="1" customWidth="1"/>
    <col min="1040" max="1040" width="13.26953125" style="319"/>
    <col min="1041" max="1041" width="14.26953125" style="319" bestFit="1" customWidth="1"/>
    <col min="1042" max="1042" width="13.26953125" style="319"/>
    <col min="1043" max="1043" width="13.453125" style="319" bestFit="1" customWidth="1"/>
    <col min="1044" max="1281" width="13.26953125" style="319"/>
    <col min="1282" max="1282" width="14.453125" style="319" customWidth="1"/>
    <col min="1283" max="1283" width="13.453125" style="319" bestFit="1" customWidth="1"/>
    <col min="1284" max="1284" width="14.26953125" style="319" bestFit="1" customWidth="1"/>
    <col min="1285" max="1286" width="13.26953125" style="319"/>
    <col min="1287" max="1287" width="13.453125" style="319" bestFit="1" customWidth="1"/>
    <col min="1288" max="1288" width="13.26953125" style="319"/>
    <col min="1289" max="1289" width="13.453125" style="319" bestFit="1" customWidth="1"/>
    <col min="1290" max="1290" width="13.26953125" style="319"/>
    <col min="1291" max="1293" width="13.453125" style="319" bestFit="1" customWidth="1"/>
    <col min="1294" max="1294" width="13.26953125" style="319"/>
    <col min="1295" max="1295" width="13.453125" style="319" bestFit="1" customWidth="1"/>
    <col min="1296" max="1296" width="13.26953125" style="319"/>
    <col min="1297" max="1297" width="14.26953125" style="319" bestFit="1" customWidth="1"/>
    <col min="1298" max="1298" width="13.26953125" style="319"/>
    <col min="1299" max="1299" width="13.453125" style="319" bestFit="1" customWidth="1"/>
    <col min="1300" max="1537" width="13.26953125" style="319"/>
    <col min="1538" max="1538" width="14.453125" style="319" customWidth="1"/>
    <col min="1539" max="1539" width="13.453125" style="319" bestFit="1" customWidth="1"/>
    <col min="1540" max="1540" width="14.26953125" style="319" bestFit="1" customWidth="1"/>
    <col min="1541" max="1542" width="13.26953125" style="319"/>
    <col min="1543" max="1543" width="13.453125" style="319" bestFit="1" customWidth="1"/>
    <col min="1544" max="1544" width="13.26953125" style="319"/>
    <col min="1545" max="1545" width="13.453125" style="319" bestFit="1" customWidth="1"/>
    <col min="1546" max="1546" width="13.26953125" style="319"/>
    <col min="1547" max="1549" width="13.453125" style="319" bestFit="1" customWidth="1"/>
    <col min="1550" max="1550" width="13.26953125" style="319"/>
    <col min="1551" max="1551" width="13.453125" style="319" bestFit="1" customWidth="1"/>
    <col min="1552" max="1552" width="13.26953125" style="319"/>
    <col min="1553" max="1553" width="14.26953125" style="319" bestFit="1" customWidth="1"/>
    <col min="1554" max="1554" width="13.26953125" style="319"/>
    <col min="1555" max="1555" width="13.453125" style="319" bestFit="1" customWidth="1"/>
    <col min="1556" max="1793" width="13.26953125" style="319"/>
    <col min="1794" max="1794" width="14.453125" style="319" customWidth="1"/>
    <col min="1795" max="1795" width="13.453125" style="319" bestFit="1" customWidth="1"/>
    <col min="1796" max="1796" width="14.26953125" style="319" bestFit="1" customWidth="1"/>
    <col min="1797" max="1798" width="13.26953125" style="319"/>
    <col min="1799" max="1799" width="13.453125" style="319" bestFit="1" customWidth="1"/>
    <col min="1800" max="1800" width="13.26953125" style="319"/>
    <col min="1801" max="1801" width="13.453125" style="319" bestFit="1" customWidth="1"/>
    <col min="1802" max="1802" width="13.26953125" style="319"/>
    <col min="1803" max="1805" width="13.453125" style="319" bestFit="1" customWidth="1"/>
    <col min="1806" max="1806" width="13.26953125" style="319"/>
    <col min="1807" max="1807" width="13.453125" style="319" bestFit="1" customWidth="1"/>
    <col min="1808" max="1808" width="13.26953125" style="319"/>
    <col min="1809" max="1809" width="14.26953125" style="319" bestFit="1" customWidth="1"/>
    <col min="1810" max="1810" width="13.26953125" style="319"/>
    <col min="1811" max="1811" width="13.453125" style="319" bestFit="1" customWidth="1"/>
    <col min="1812" max="2049" width="13.26953125" style="319"/>
    <col min="2050" max="2050" width="14.453125" style="319" customWidth="1"/>
    <col min="2051" max="2051" width="13.453125" style="319" bestFit="1" customWidth="1"/>
    <col min="2052" max="2052" width="14.26953125" style="319" bestFit="1" customWidth="1"/>
    <col min="2053" max="2054" width="13.26953125" style="319"/>
    <col min="2055" max="2055" width="13.453125" style="319" bestFit="1" customWidth="1"/>
    <col min="2056" max="2056" width="13.26953125" style="319"/>
    <col min="2057" max="2057" width="13.453125" style="319" bestFit="1" customWidth="1"/>
    <col min="2058" max="2058" width="13.26953125" style="319"/>
    <col min="2059" max="2061" width="13.453125" style="319" bestFit="1" customWidth="1"/>
    <col min="2062" max="2062" width="13.26953125" style="319"/>
    <col min="2063" max="2063" width="13.453125" style="319" bestFit="1" customWidth="1"/>
    <col min="2064" max="2064" width="13.26953125" style="319"/>
    <col min="2065" max="2065" width="14.26953125" style="319" bestFit="1" customWidth="1"/>
    <col min="2066" max="2066" width="13.26953125" style="319"/>
    <col min="2067" max="2067" width="13.453125" style="319" bestFit="1" customWidth="1"/>
    <col min="2068" max="2305" width="13.26953125" style="319"/>
    <col min="2306" max="2306" width="14.453125" style="319" customWidth="1"/>
    <col min="2307" max="2307" width="13.453125" style="319" bestFit="1" customWidth="1"/>
    <col min="2308" max="2308" width="14.26953125" style="319" bestFit="1" customWidth="1"/>
    <col min="2309" max="2310" width="13.26953125" style="319"/>
    <col min="2311" max="2311" width="13.453125" style="319" bestFit="1" customWidth="1"/>
    <col min="2312" max="2312" width="13.26953125" style="319"/>
    <col min="2313" max="2313" width="13.453125" style="319" bestFit="1" customWidth="1"/>
    <col min="2314" max="2314" width="13.26953125" style="319"/>
    <col min="2315" max="2317" width="13.453125" style="319" bestFit="1" customWidth="1"/>
    <col min="2318" max="2318" width="13.26953125" style="319"/>
    <col min="2319" max="2319" width="13.453125" style="319" bestFit="1" customWidth="1"/>
    <col min="2320" max="2320" width="13.26953125" style="319"/>
    <col min="2321" max="2321" width="14.26953125" style="319" bestFit="1" customWidth="1"/>
    <col min="2322" max="2322" width="13.26953125" style="319"/>
    <col min="2323" max="2323" width="13.453125" style="319" bestFit="1" customWidth="1"/>
    <col min="2324" max="2561" width="13.26953125" style="319"/>
    <col min="2562" max="2562" width="14.453125" style="319" customWidth="1"/>
    <col min="2563" max="2563" width="13.453125" style="319" bestFit="1" customWidth="1"/>
    <col min="2564" max="2564" width="14.26953125" style="319" bestFit="1" customWidth="1"/>
    <col min="2565" max="2566" width="13.26953125" style="319"/>
    <col min="2567" max="2567" width="13.453125" style="319" bestFit="1" customWidth="1"/>
    <col min="2568" max="2568" width="13.26953125" style="319"/>
    <col min="2569" max="2569" width="13.453125" style="319" bestFit="1" customWidth="1"/>
    <col min="2570" max="2570" width="13.26953125" style="319"/>
    <col min="2571" max="2573" width="13.453125" style="319" bestFit="1" customWidth="1"/>
    <col min="2574" max="2574" width="13.26953125" style="319"/>
    <col min="2575" max="2575" width="13.453125" style="319" bestFit="1" customWidth="1"/>
    <col min="2576" max="2576" width="13.26953125" style="319"/>
    <col min="2577" max="2577" width="14.26953125" style="319" bestFit="1" customWidth="1"/>
    <col min="2578" max="2578" width="13.26953125" style="319"/>
    <col min="2579" max="2579" width="13.453125" style="319" bestFit="1" customWidth="1"/>
    <col min="2580" max="2817" width="13.26953125" style="319"/>
    <col min="2818" max="2818" width="14.453125" style="319" customWidth="1"/>
    <col min="2819" max="2819" width="13.453125" style="319" bestFit="1" customWidth="1"/>
    <col min="2820" max="2820" width="14.26953125" style="319" bestFit="1" customWidth="1"/>
    <col min="2821" max="2822" width="13.26953125" style="319"/>
    <col min="2823" max="2823" width="13.453125" style="319" bestFit="1" customWidth="1"/>
    <col min="2824" max="2824" width="13.26953125" style="319"/>
    <col min="2825" max="2825" width="13.453125" style="319" bestFit="1" customWidth="1"/>
    <col min="2826" max="2826" width="13.26953125" style="319"/>
    <col min="2827" max="2829" width="13.453125" style="319" bestFit="1" customWidth="1"/>
    <col min="2830" max="2830" width="13.26953125" style="319"/>
    <col min="2831" max="2831" width="13.453125" style="319" bestFit="1" customWidth="1"/>
    <col min="2832" max="2832" width="13.26953125" style="319"/>
    <col min="2833" max="2833" width="14.26953125" style="319" bestFit="1" customWidth="1"/>
    <col min="2834" max="2834" width="13.26953125" style="319"/>
    <col min="2835" max="2835" width="13.453125" style="319" bestFit="1" customWidth="1"/>
    <col min="2836" max="3073" width="13.26953125" style="319"/>
    <col min="3074" max="3074" width="14.453125" style="319" customWidth="1"/>
    <col min="3075" max="3075" width="13.453125" style="319" bestFit="1" customWidth="1"/>
    <col min="3076" max="3076" width="14.26953125" style="319" bestFit="1" customWidth="1"/>
    <col min="3077" max="3078" width="13.26953125" style="319"/>
    <col min="3079" max="3079" width="13.453125" style="319" bestFit="1" customWidth="1"/>
    <col min="3080" max="3080" width="13.26953125" style="319"/>
    <col min="3081" max="3081" width="13.453125" style="319" bestFit="1" customWidth="1"/>
    <col min="3082" max="3082" width="13.26953125" style="319"/>
    <col min="3083" max="3085" width="13.453125" style="319" bestFit="1" customWidth="1"/>
    <col min="3086" max="3086" width="13.26953125" style="319"/>
    <col min="3087" max="3087" width="13.453125" style="319" bestFit="1" customWidth="1"/>
    <col min="3088" max="3088" width="13.26953125" style="319"/>
    <col min="3089" max="3089" width="14.26953125" style="319" bestFit="1" customWidth="1"/>
    <col min="3090" max="3090" width="13.26953125" style="319"/>
    <col min="3091" max="3091" width="13.453125" style="319" bestFit="1" customWidth="1"/>
    <col min="3092" max="3329" width="13.26953125" style="319"/>
    <col min="3330" max="3330" width="14.453125" style="319" customWidth="1"/>
    <col min="3331" max="3331" width="13.453125" style="319" bestFit="1" customWidth="1"/>
    <col min="3332" max="3332" width="14.26953125" style="319" bestFit="1" customWidth="1"/>
    <col min="3333" max="3334" width="13.26953125" style="319"/>
    <col min="3335" max="3335" width="13.453125" style="319" bestFit="1" customWidth="1"/>
    <col min="3336" max="3336" width="13.26953125" style="319"/>
    <col min="3337" max="3337" width="13.453125" style="319" bestFit="1" customWidth="1"/>
    <col min="3338" max="3338" width="13.26953125" style="319"/>
    <col min="3339" max="3341" width="13.453125" style="319" bestFit="1" customWidth="1"/>
    <col min="3342" max="3342" width="13.26953125" style="319"/>
    <col min="3343" max="3343" width="13.453125" style="319" bestFit="1" customWidth="1"/>
    <col min="3344" max="3344" width="13.26953125" style="319"/>
    <col min="3345" max="3345" width="14.26953125" style="319" bestFit="1" customWidth="1"/>
    <col min="3346" max="3346" width="13.26953125" style="319"/>
    <col min="3347" max="3347" width="13.453125" style="319" bestFit="1" customWidth="1"/>
    <col min="3348" max="3585" width="13.26953125" style="319"/>
    <col min="3586" max="3586" width="14.453125" style="319" customWidth="1"/>
    <col min="3587" max="3587" width="13.453125" style="319" bestFit="1" customWidth="1"/>
    <col min="3588" max="3588" width="14.26953125" style="319" bestFit="1" customWidth="1"/>
    <col min="3589" max="3590" width="13.26953125" style="319"/>
    <col min="3591" max="3591" width="13.453125" style="319" bestFit="1" customWidth="1"/>
    <col min="3592" max="3592" width="13.26953125" style="319"/>
    <col min="3593" max="3593" width="13.453125" style="319" bestFit="1" customWidth="1"/>
    <col min="3594" max="3594" width="13.26953125" style="319"/>
    <col min="3595" max="3597" width="13.453125" style="319" bestFit="1" customWidth="1"/>
    <col min="3598" max="3598" width="13.26953125" style="319"/>
    <col min="3599" max="3599" width="13.453125" style="319" bestFit="1" customWidth="1"/>
    <col min="3600" max="3600" width="13.26953125" style="319"/>
    <col min="3601" max="3601" width="14.26953125" style="319" bestFit="1" customWidth="1"/>
    <col min="3602" max="3602" width="13.26953125" style="319"/>
    <col min="3603" max="3603" width="13.453125" style="319" bestFit="1" customWidth="1"/>
    <col min="3604" max="3841" width="13.26953125" style="319"/>
    <col min="3842" max="3842" width="14.453125" style="319" customWidth="1"/>
    <col min="3843" max="3843" width="13.453125" style="319" bestFit="1" customWidth="1"/>
    <col min="3844" max="3844" width="14.26953125" style="319" bestFit="1" customWidth="1"/>
    <col min="3845" max="3846" width="13.26953125" style="319"/>
    <col min="3847" max="3847" width="13.453125" style="319" bestFit="1" customWidth="1"/>
    <col min="3848" max="3848" width="13.26953125" style="319"/>
    <col min="3849" max="3849" width="13.453125" style="319" bestFit="1" customWidth="1"/>
    <col min="3850" max="3850" width="13.26953125" style="319"/>
    <col min="3851" max="3853" width="13.453125" style="319" bestFit="1" customWidth="1"/>
    <col min="3854" max="3854" width="13.26953125" style="319"/>
    <col min="3855" max="3855" width="13.453125" style="319" bestFit="1" customWidth="1"/>
    <col min="3856" max="3856" width="13.26953125" style="319"/>
    <col min="3857" max="3857" width="14.26953125" style="319" bestFit="1" customWidth="1"/>
    <col min="3858" max="3858" width="13.26953125" style="319"/>
    <col min="3859" max="3859" width="13.453125" style="319" bestFit="1" customWidth="1"/>
    <col min="3860" max="4097" width="13.26953125" style="319"/>
    <col min="4098" max="4098" width="14.453125" style="319" customWidth="1"/>
    <col min="4099" max="4099" width="13.453125" style="319" bestFit="1" customWidth="1"/>
    <col min="4100" max="4100" width="14.26953125" style="319" bestFit="1" customWidth="1"/>
    <col min="4101" max="4102" width="13.26953125" style="319"/>
    <col min="4103" max="4103" width="13.453125" style="319" bestFit="1" customWidth="1"/>
    <col min="4104" max="4104" width="13.26953125" style="319"/>
    <col min="4105" max="4105" width="13.453125" style="319" bestFit="1" customWidth="1"/>
    <col min="4106" max="4106" width="13.26953125" style="319"/>
    <col min="4107" max="4109" width="13.453125" style="319" bestFit="1" customWidth="1"/>
    <col min="4110" max="4110" width="13.26953125" style="319"/>
    <col min="4111" max="4111" width="13.453125" style="319" bestFit="1" customWidth="1"/>
    <col min="4112" max="4112" width="13.26953125" style="319"/>
    <col min="4113" max="4113" width="14.26953125" style="319" bestFit="1" customWidth="1"/>
    <col min="4114" max="4114" width="13.26953125" style="319"/>
    <col min="4115" max="4115" width="13.453125" style="319" bestFit="1" customWidth="1"/>
    <col min="4116" max="4353" width="13.26953125" style="319"/>
    <col min="4354" max="4354" width="14.453125" style="319" customWidth="1"/>
    <col min="4355" max="4355" width="13.453125" style="319" bestFit="1" customWidth="1"/>
    <col min="4356" max="4356" width="14.26953125" style="319" bestFit="1" customWidth="1"/>
    <col min="4357" max="4358" width="13.26953125" style="319"/>
    <col min="4359" max="4359" width="13.453125" style="319" bestFit="1" customWidth="1"/>
    <col min="4360" max="4360" width="13.26953125" style="319"/>
    <col min="4361" max="4361" width="13.453125" style="319" bestFit="1" customWidth="1"/>
    <col min="4362" max="4362" width="13.26953125" style="319"/>
    <col min="4363" max="4365" width="13.453125" style="319" bestFit="1" customWidth="1"/>
    <col min="4366" max="4366" width="13.26953125" style="319"/>
    <col min="4367" max="4367" width="13.453125" style="319" bestFit="1" customWidth="1"/>
    <col min="4368" max="4368" width="13.26953125" style="319"/>
    <col min="4369" max="4369" width="14.26953125" style="319" bestFit="1" customWidth="1"/>
    <col min="4370" max="4370" width="13.26953125" style="319"/>
    <col min="4371" max="4371" width="13.453125" style="319" bestFit="1" customWidth="1"/>
    <col min="4372" max="4609" width="13.26953125" style="319"/>
    <col min="4610" max="4610" width="14.453125" style="319" customWidth="1"/>
    <col min="4611" max="4611" width="13.453125" style="319" bestFit="1" customWidth="1"/>
    <col min="4612" max="4612" width="14.26953125" style="319" bestFit="1" customWidth="1"/>
    <col min="4613" max="4614" width="13.26953125" style="319"/>
    <col min="4615" max="4615" width="13.453125" style="319" bestFit="1" customWidth="1"/>
    <col min="4616" max="4616" width="13.26953125" style="319"/>
    <col min="4617" max="4617" width="13.453125" style="319" bestFit="1" customWidth="1"/>
    <col min="4618" max="4618" width="13.26953125" style="319"/>
    <col min="4619" max="4621" width="13.453125" style="319" bestFit="1" customWidth="1"/>
    <col min="4622" max="4622" width="13.26953125" style="319"/>
    <col min="4623" max="4623" width="13.453125" style="319" bestFit="1" customWidth="1"/>
    <col min="4624" max="4624" width="13.26953125" style="319"/>
    <col min="4625" max="4625" width="14.26953125" style="319" bestFit="1" customWidth="1"/>
    <col min="4626" max="4626" width="13.26953125" style="319"/>
    <col min="4627" max="4627" width="13.453125" style="319" bestFit="1" customWidth="1"/>
    <col min="4628" max="4865" width="13.26953125" style="319"/>
    <col min="4866" max="4866" width="14.453125" style="319" customWidth="1"/>
    <col min="4867" max="4867" width="13.453125" style="319" bestFit="1" customWidth="1"/>
    <col min="4868" max="4868" width="14.26953125" style="319" bestFit="1" customWidth="1"/>
    <col min="4869" max="4870" width="13.26953125" style="319"/>
    <col min="4871" max="4871" width="13.453125" style="319" bestFit="1" customWidth="1"/>
    <col min="4872" max="4872" width="13.26953125" style="319"/>
    <col min="4873" max="4873" width="13.453125" style="319" bestFit="1" customWidth="1"/>
    <col min="4874" max="4874" width="13.26953125" style="319"/>
    <col min="4875" max="4877" width="13.453125" style="319" bestFit="1" customWidth="1"/>
    <col min="4878" max="4878" width="13.26953125" style="319"/>
    <col min="4879" max="4879" width="13.453125" style="319" bestFit="1" customWidth="1"/>
    <col min="4880" max="4880" width="13.26953125" style="319"/>
    <col min="4881" max="4881" width="14.26953125" style="319" bestFit="1" customWidth="1"/>
    <col min="4882" max="4882" width="13.26953125" style="319"/>
    <col min="4883" max="4883" width="13.453125" style="319" bestFit="1" customWidth="1"/>
    <col min="4884" max="5121" width="13.26953125" style="319"/>
    <col min="5122" max="5122" width="14.453125" style="319" customWidth="1"/>
    <col min="5123" max="5123" width="13.453125" style="319" bestFit="1" customWidth="1"/>
    <col min="5124" max="5124" width="14.26953125" style="319" bestFit="1" customWidth="1"/>
    <col min="5125" max="5126" width="13.26953125" style="319"/>
    <col min="5127" max="5127" width="13.453125" style="319" bestFit="1" customWidth="1"/>
    <col min="5128" max="5128" width="13.26953125" style="319"/>
    <col min="5129" max="5129" width="13.453125" style="319" bestFit="1" customWidth="1"/>
    <col min="5130" max="5130" width="13.26953125" style="319"/>
    <col min="5131" max="5133" width="13.453125" style="319" bestFit="1" customWidth="1"/>
    <col min="5134" max="5134" width="13.26953125" style="319"/>
    <col min="5135" max="5135" width="13.453125" style="319" bestFit="1" customWidth="1"/>
    <col min="5136" max="5136" width="13.26953125" style="319"/>
    <col min="5137" max="5137" width="14.26953125" style="319" bestFit="1" customWidth="1"/>
    <col min="5138" max="5138" width="13.26953125" style="319"/>
    <col min="5139" max="5139" width="13.453125" style="319" bestFit="1" customWidth="1"/>
    <col min="5140" max="5377" width="13.26953125" style="319"/>
    <col min="5378" max="5378" width="14.453125" style="319" customWidth="1"/>
    <col min="5379" max="5379" width="13.453125" style="319" bestFit="1" customWidth="1"/>
    <col min="5380" max="5380" width="14.26953125" style="319" bestFit="1" customWidth="1"/>
    <col min="5381" max="5382" width="13.26953125" style="319"/>
    <col min="5383" max="5383" width="13.453125" style="319" bestFit="1" customWidth="1"/>
    <col min="5384" max="5384" width="13.26953125" style="319"/>
    <col min="5385" max="5385" width="13.453125" style="319" bestFit="1" customWidth="1"/>
    <col min="5386" max="5386" width="13.26953125" style="319"/>
    <col min="5387" max="5389" width="13.453125" style="319" bestFit="1" customWidth="1"/>
    <col min="5390" max="5390" width="13.26953125" style="319"/>
    <col min="5391" max="5391" width="13.453125" style="319" bestFit="1" customWidth="1"/>
    <col min="5392" max="5392" width="13.26953125" style="319"/>
    <col min="5393" max="5393" width="14.26953125" style="319" bestFit="1" customWidth="1"/>
    <col min="5394" max="5394" width="13.26953125" style="319"/>
    <col min="5395" max="5395" width="13.453125" style="319" bestFit="1" customWidth="1"/>
    <col min="5396" max="5633" width="13.26953125" style="319"/>
    <col min="5634" max="5634" width="14.453125" style="319" customWidth="1"/>
    <col min="5635" max="5635" width="13.453125" style="319" bestFit="1" customWidth="1"/>
    <col min="5636" max="5636" width="14.26953125" style="319" bestFit="1" customWidth="1"/>
    <col min="5637" max="5638" width="13.26953125" style="319"/>
    <col min="5639" max="5639" width="13.453125" style="319" bestFit="1" customWidth="1"/>
    <col min="5640" max="5640" width="13.26953125" style="319"/>
    <col min="5641" max="5641" width="13.453125" style="319" bestFit="1" customWidth="1"/>
    <col min="5642" max="5642" width="13.26953125" style="319"/>
    <col min="5643" max="5645" width="13.453125" style="319" bestFit="1" customWidth="1"/>
    <col min="5646" max="5646" width="13.26953125" style="319"/>
    <col min="5647" max="5647" width="13.453125" style="319" bestFit="1" customWidth="1"/>
    <col min="5648" max="5648" width="13.26953125" style="319"/>
    <col min="5649" max="5649" width="14.26953125" style="319" bestFit="1" customWidth="1"/>
    <col min="5650" max="5650" width="13.26953125" style="319"/>
    <col min="5651" max="5651" width="13.453125" style="319" bestFit="1" customWidth="1"/>
    <col min="5652" max="5889" width="13.26953125" style="319"/>
    <col min="5890" max="5890" width="14.453125" style="319" customWidth="1"/>
    <col min="5891" max="5891" width="13.453125" style="319" bestFit="1" customWidth="1"/>
    <col min="5892" max="5892" width="14.26953125" style="319" bestFit="1" customWidth="1"/>
    <col min="5893" max="5894" width="13.26953125" style="319"/>
    <col min="5895" max="5895" width="13.453125" style="319" bestFit="1" customWidth="1"/>
    <col min="5896" max="5896" width="13.26953125" style="319"/>
    <col min="5897" max="5897" width="13.453125" style="319" bestFit="1" customWidth="1"/>
    <col min="5898" max="5898" width="13.26953125" style="319"/>
    <col min="5899" max="5901" width="13.453125" style="319" bestFit="1" customWidth="1"/>
    <col min="5902" max="5902" width="13.26953125" style="319"/>
    <col min="5903" max="5903" width="13.453125" style="319" bestFit="1" customWidth="1"/>
    <col min="5904" max="5904" width="13.26953125" style="319"/>
    <col min="5905" max="5905" width="14.26953125" style="319" bestFit="1" customWidth="1"/>
    <col min="5906" max="5906" width="13.26953125" style="319"/>
    <col min="5907" max="5907" width="13.453125" style="319" bestFit="1" customWidth="1"/>
    <col min="5908" max="6145" width="13.26953125" style="319"/>
    <col min="6146" max="6146" width="14.453125" style="319" customWidth="1"/>
    <col min="6147" max="6147" width="13.453125" style="319" bestFit="1" customWidth="1"/>
    <col min="6148" max="6148" width="14.26953125" style="319" bestFit="1" customWidth="1"/>
    <col min="6149" max="6150" width="13.26953125" style="319"/>
    <col min="6151" max="6151" width="13.453125" style="319" bestFit="1" customWidth="1"/>
    <col min="6152" max="6152" width="13.26953125" style="319"/>
    <col min="6153" max="6153" width="13.453125" style="319" bestFit="1" customWidth="1"/>
    <col min="6154" max="6154" width="13.26953125" style="319"/>
    <col min="6155" max="6157" width="13.453125" style="319" bestFit="1" customWidth="1"/>
    <col min="6158" max="6158" width="13.26953125" style="319"/>
    <col min="6159" max="6159" width="13.453125" style="319" bestFit="1" customWidth="1"/>
    <col min="6160" max="6160" width="13.26953125" style="319"/>
    <col min="6161" max="6161" width="14.26953125" style="319" bestFit="1" customWidth="1"/>
    <col min="6162" max="6162" width="13.26953125" style="319"/>
    <col min="6163" max="6163" width="13.453125" style="319" bestFit="1" customWidth="1"/>
    <col min="6164" max="6401" width="13.26953125" style="319"/>
    <col min="6402" max="6402" width="14.453125" style="319" customWidth="1"/>
    <col min="6403" max="6403" width="13.453125" style="319" bestFit="1" customWidth="1"/>
    <col min="6404" max="6404" width="14.26953125" style="319" bestFit="1" customWidth="1"/>
    <col min="6405" max="6406" width="13.26953125" style="319"/>
    <col min="6407" max="6407" width="13.453125" style="319" bestFit="1" customWidth="1"/>
    <col min="6408" max="6408" width="13.26953125" style="319"/>
    <col min="6409" max="6409" width="13.453125" style="319" bestFit="1" customWidth="1"/>
    <col min="6410" max="6410" width="13.26953125" style="319"/>
    <col min="6411" max="6413" width="13.453125" style="319" bestFit="1" customWidth="1"/>
    <col min="6414" max="6414" width="13.26953125" style="319"/>
    <col min="6415" max="6415" width="13.453125" style="319" bestFit="1" customWidth="1"/>
    <col min="6416" max="6416" width="13.26953125" style="319"/>
    <col min="6417" max="6417" width="14.26953125" style="319" bestFit="1" customWidth="1"/>
    <col min="6418" max="6418" width="13.26953125" style="319"/>
    <col min="6419" max="6419" width="13.453125" style="319" bestFit="1" customWidth="1"/>
    <col min="6420" max="6657" width="13.26953125" style="319"/>
    <col min="6658" max="6658" width="14.453125" style="319" customWidth="1"/>
    <col min="6659" max="6659" width="13.453125" style="319" bestFit="1" customWidth="1"/>
    <col min="6660" max="6660" width="14.26953125" style="319" bestFit="1" customWidth="1"/>
    <col min="6661" max="6662" width="13.26953125" style="319"/>
    <col min="6663" max="6663" width="13.453125" style="319" bestFit="1" customWidth="1"/>
    <col min="6664" max="6664" width="13.26953125" style="319"/>
    <col min="6665" max="6665" width="13.453125" style="319" bestFit="1" customWidth="1"/>
    <col min="6666" max="6666" width="13.26953125" style="319"/>
    <col min="6667" max="6669" width="13.453125" style="319" bestFit="1" customWidth="1"/>
    <col min="6670" max="6670" width="13.26953125" style="319"/>
    <col min="6671" max="6671" width="13.453125" style="319" bestFit="1" customWidth="1"/>
    <col min="6672" max="6672" width="13.26953125" style="319"/>
    <col min="6673" max="6673" width="14.26953125" style="319" bestFit="1" customWidth="1"/>
    <col min="6674" max="6674" width="13.26953125" style="319"/>
    <col min="6675" max="6675" width="13.453125" style="319" bestFit="1" customWidth="1"/>
    <col min="6676" max="6913" width="13.26953125" style="319"/>
    <col min="6914" max="6914" width="14.453125" style="319" customWidth="1"/>
    <col min="6915" max="6915" width="13.453125" style="319" bestFit="1" customWidth="1"/>
    <col min="6916" max="6916" width="14.26953125" style="319" bestFit="1" customWidth="1"/>
    <col min="6917" max="6918" width="13.26953125" style="319"/>
    <col min="6919" max="6919" width="13.453125" style="319" bestFit="1" customWidth="1"/>
    <col min="6920" max="6920" width="13.26953125" style="319"/>
    <col min="6921" max="6921" width="13.453125" style="319" bestFit="1" customWidth="1"/>
    <col min="6922" max="6922" width="13.26953125" style="319"/>
    <col min="6923" max="6925" width="13.453125" style="319" bestFit="1" customWidth="1"/>
    <col min="6926" max="6926" width="13.26953125" style="319"/>
    <col min="6927" max="6927" width="13.453125" style="319" bestFit="1" customWidth="1"/>
    <col min="6928" max="6928" width="13.26953125" style="319"/>
    <col min="6929" max="6929" width="14.26953125" style="319" bestFit="1" customWidth="1"/>
    <col min="6930" max="6930" width="13.26953125" style="319"/>
    <col min="6931" max="6931" width="13.453125" style="319" bestFit="1" customWidth="1"/>
    <col min="6932" max="7169" width="13.26953125" style="319"/>
    <col min="7170" max="7170" width="14.453125" style="319" customWidth="1"/>
    <col min="7171" max="7171" width="13.453125" style="319" bestFit="1" customWidth="1"/>
    <col min="7172" max="7172" width="14.26953125" style="319" bestFit="1" customWidth="1"/>
    <col min="7173" max="7174" width="13.26953125" style="319"/>
    <col min="7175" max="7175" width="13.453125" style="319" bestFit="1" customWidth="1"/>
    <col min="7176" max="7176" width="13.26953125" style="319"/>
    <col min="7177" max="7177" width="13.453125" style="319" bestFit="1" customWidth="1"/>
    <col min="7178" max="7178" width="13.26953125" style="319"/>
    <col min="7179" max="7181" width="13.453125" style="319" bestFit="1" customWidth="1"/>
    <col min="7182" max="7182" width="13.26953125" style="319"/>
    <col min="7183" max="7183" width="13.453125" style="319" bestFit="1" customWidth="1"/>
    <col min="7184" max="7184" width="13.26953125" style="319"/>
    <col min="7185" max="7185" width="14.26953125" style="319" bestFit="1" customWidth="1"/>
    <col min="7186" max="7186" width="13.26953125" style="319"/>
    <col min="7187" max="7187" width="13.453125" style="319" bestFit="1" customWidth="1"/>
    <col min="7188" max="7425" width="13.26953125" style="319"/>
    <col min="7426" max="7426" width="14.453125" style="319" customWidth="1"/>
    <col min="7427" max="7427" width="13.453125" style="319" bestFit="1" customWidth="1"/>
    <col min="7428" max="7428" width="14.26953125" style="319" bestFit="1" customWidth="1"/>
    <col min="7429" max="7430" width="13.26953125" style="319"/>
    <col min="7431" max="7431" width="13.453125" style="319" bestFit="1" customWidth="1"/>
    <col min="7432" max="7432" width="13.26953125" style="319"/>
    <col min="7433" max="7433" width="13.453125" style="319" bestFit="1" customWidth="1"/>
    <col min="7434" max="7434" width="13.26953125" style="319"/>
    <col min="7435" max="7437" width="13.453125" style="319" bestFit="1" customWidth="1"/>
    <col min="7438" max="7438" width="13.26953125" style="319"/>
    <col min="7439" max="7439" width="13.453125" style="319" bestFit="1" customWidth="1"/>
    <col min="7440" max="7440" width="13.26953125" style="319"/>
    <col min="7441" max="7441" width="14.26953125" style="319" bestFit="1" customWidth="1"/>
    <col min="7442" max="7442" width="13.26953125" style="319"/>
    <col min="7443" max="7443" width="13.453125" style="319" bestFit="1" customWidth="1"/>
    <col min="7444" max="7681" width="13.26953125" style="319"/>
    <col min="7682" max="7682" width="14.453125" style="319" customWidth="1"/>
    <col min="7683" max="7683" width="13.453125" style="319" bestFit="1" customWidth="1"/>
    <col min="7684" max="7684" width="14.26953125" style="319" bestFit="1" customWidth="1"/>
    <col min="7685" max="7686" width="13.26953125" style="319"/>
    <col min="7687" max="7687" width="13.453125" style="319" bestFit="1" customWidth="1"/>
    <col min="7688" max="7688" width="13.26953125" style="319"/>
    <col min="7689" max="7689" width="13.453125" style="319" bestFit="1" customWidth="1"/>
    <col min="7690" max="7690" width="13.26953125" style="319"/>
    <col min="7691" max="7693" width="13.453125" style="319" bestFit="1" customWidth="1"/>
    <col min="7694" max="7694" width="13.26953125" style="319"/>
    <col min="7695" max="7695" width="13.453125" style="319" bestFit="1" customWidth="1"/>
    <col min="7696" max="7696" width="13.26953125" style="319"/>
    <col min="7697" max="7697" width="14.26953125" style="319" bestFit="1" customWidth="1"/>
    <col min="7698" max="7698" width="13.26953125" style="319"/>
    <col min="7699" max="7699" width="13.453125" style="319" bestFit="1" customWidth="1"/>
    <col min="7700" max="7937" width="13.26953125" style="319"/>
    <col min="7938" max="7938" width="14.453125" style="319" customWidth="1"/>
    <col min="7939" max="7939" width="13.453125" style="319" bestFit="1" customWidth="1"/>
    <col min="7940" max="7940" width="14.26953125" style="319" bestFit="1" customWidth="1"/>
    <col min="7941" max="7942" width="13.26953125" style="319"/>
    <col min="7943" max="7943" width="13.453125" style="319" bestFit="1" customWidth="1"/>
    <col min="7944" max="7944" width="13.26953125" style="319"/>
    <col min="7945" max="7945" width="13.453125" style="319" bestFit="1" customWidth="1"/>
    <col min="7946" max="7946" width="13.26953125" style="319"/>
    <col min="7947" max="7949" width="13.453125" style="319" bestFit="1" customWidth="1"/>
    <col min="7950" max="7950" width="13.26953125" style="319"/>
    <col min="7951" max="7951" width="13.453125" style="319" bestFit="1" customWidth="1"/>
    <col min="7952" max="7952" width="13.26953125" style="319"/>
    <col min="7953" max="7953" width="14.26953125" style="319" bestFit="1" customWidth="1"/>
    <col min="7954" max="7954" width="13.26953125" style="319"/>
    <col min="7955" max="7955" width="13.453125" style="319" bestFit="1" customWidth="1"/>
    <col min="7956" max="8193" width="13.26953125" style="319"/>
    <col min="8194" max="8194" width="14.453125" style="319" customWidth="1"/>
    <col min="8195" max="8195" width="13.453125" style="319" bestFit="1" customWidth="1"/>
    <col min="8196" max="8196" width="14.26953125" style="319" bestFit="1" customWidth="1"/>
    <col min="8197" max="8198" width="13.26953125" style="319"/>
    <col min="8199" max="8199" width="13.453125" style="319" bestFit="1" customWidth="1"/>
    <col min="8200" max="8200" width="13.26953125" style="319"/>
    <col min="8201" max="8201" width="13.453125" style="319" bestFit="1" customWidth="1"/>
    <col min="8202" max="8202" width="13.26953125" style="319"/>
    <col min="8203" max="8205" width="13.453125" style="319" bestFit="1" customWidth="1"/>
    <col min="8206" max="8206" width="13.26953125" style="319"/>
    <col min="8207" max="8207" width="13.453125" style="319" bestFit="1" customWidth="1"/>
    <col min="8208" max="8208" width="13.26953125" style="319"/>
    <col min="8209" max="8209" width="14.26953125" style="319" bestFit="1" customWidth="1"/>
    <col min="8210" max="8210" width="13.26953125" style="319"/>
    <col min="8211" max="8211" width="13.453125" style="319" bestFit="1" customWidth="1"/>
    <col min="8212" max="8449" width="13.26953125" style="319"/>
    <col min="8450" max="8450" width="14.453125" style="319" customWidth="1"/>
    <col min="8451" max="8451" width="13.453125" style="319" bestFit="1" customWidth="1"/>
    <col min="8452" max="8452" width="14.26953125" style="319" bestFit="1" customWidth="1"/>
    <col min="8453" max="8454" width="13.26953125" style="319"/>
    <col min="8455" max="8455" width="13.453125" style="319" bestFit="1" customWidth="1"/>
    <col min="8456" max="8456" width="13.26953125" style="319"/>
    <col min="8457" max="8457" width="13.453125" style="319" bestFit="1" customWidth="1"/>
    <col min="8458" max="8458" width="13.26953125" style="319"/>
    <col min="8459" max="8461" width="13.453125" style="319" bestFit="1" customWidth="1"/>
    <col min="8462" max="8462" width="13.26953125" style="319"/>
    <col min="8463" max="8463" width="13.453125" style="319" bestFit="1" customWidth="1"/>
    <col min="8464" max="8464" width="13.26953125" style="319"/>
    <col min="8465" max="8465" width="14.26953125" style="319" bestFit="1" customWidth="1"/>
    <col min="8466" max="8466" width="13.26953125" style="319"/>
    <col min="8467" max="8467" width="13.453125" style="319" bestFit="1" customWidth="1"/>
    <col min="8468" max="8705" width="13.26953125" style="319"/>
    <col min="8706" max="8706" width="14.453125" style="319" customWidth="1"/>
    <col min="8707" max="8707" width="13.453125" style="319" bestFit="1" customWidth="1"/>
    <col min="8708" max="8708" width="14.26953125" style="319" bestFit="1" customWidth="1"/>
    <col min="8709" max="8710" width="13.26953125" style="319"/>
    <col min="8711" max="8711" width="13.453125" style="319" bestFit="1" customWidth="1"/>
    <col min="8712" max="8712" width="13.26953125" style="319"/>
    <col min="8713" max="8713" width="13.453125" style="319" bestFit="1" customWidth="1"/>
    <col min="8714" max="8714" width="13.26953125" style="319"/>
    <col min="8715" max="8717" width="13.453125" style="319" bestFit="1" customWidth="1"/>
    <col min="8718" max="8718" width="13.26953125" style="319"/>
    <col min="8719" max="8719" width="13.453125" style="319" bestFit="1" customWidth="1"/>
    <col min="8720" max="8720" width="13.26953125" style="319"/>
    <col min="8721" max="8721" width="14.26953125" style="319" bestFit="1" customWidth="1"/>
    <col min="8722" max="8722" width="13.26953125" style="319"/>
    <col min="8723" max="8723" width="13.453125" style="319" bestFit="1" customWidth="1"/>
    <col min="8724" max="8961" width="13.26953125" style="319"/>
    <col min="8962" max="8962" width="14.453125" style="319" customWidth="1"/>
    <col min="8963" max="8963" width="13.453125" style="319" bestFit="1" customWidth="1"/>
    <col min="8964" max="8964" width="14.26953125" style="319" bestFit="1" customWidth="1"/>
    <col min="8965" max="8966" width="13.26953125" style="319"/>
    <col min="8967" max="8967" width="13.453125" style="319" bestFit="1" customWidth="1"/>
    <col min="8968" max="8968" width="13.26953125" style="319"/>
    <col min="8969" max="8969" width="13.453125" style="319" bestFit="1" customWidth="1"/>
    <col min="8970" max="8970" width="13.26953125" style="319"/>
    <col min="8971" max="8973" width="13.453125" style="319" bestFit="1" customWidth="1"/>
    <col min="8974" max="8974" width="13.26953125" style="319"/>
    <col min="8975" max="8975" width="13.453125" style="319" bestFit="1" customWidth="1"/>
    <col min="8976" max="8976" width="13.26953125" style="319"/>
    <col min="8977" max="8977" width="14.26953125" style="319" bestFit="1" customWidth="1"/>
    <col min="8978" max="8978" width="13.26953125" style="319"/>
    <col min="8979" max="8979" width="13.453125" style="319" bestFit="1" customWidth="1"/>
    <col min="8980" max="9217" width="13.26953125" style="319"/>
    <col min="9218" max="9218" width="14.453125" style="319" customWidth="1"/>
    <col min="9219" max="9219" width="13.453125" style="319" bestFit="1" customWidth="1"/>
    <col min="9220" max="9220" width="14.26953125" style="319" bestFit="1" customWidth="1"/>
    <col min="9221" max="9222" width="13.26953125" style="319"/>
    <col min="9223" max="9223" width="13.453125" style="319" bestFit="1" customWidth="1"/>
    <col min="9224" max="9224" width="13.26953125" style="319"/>
    <col min="9225" max="9225" width="13.453125" style="319" bestFit="1" customWidth="1"/>
    <col min="9226" max="9226" width="13.26953125" style="319"/>
    <col min="9227" max="9229" width="13.453125" style="319" bestFit="1" customWidth="1"/>
    <col min="9230" max="9230" width="13.26953125" style="319"/>
    <col min="9231" max="9231" width="13.453125" style="319" bestFit="1" customWidth="1"/>
    <col min="9232" max="9232" width="13.26953125" style="319"/>
    <col min="9233" max="9233" width="14.26953125" style="319" bestFit="1" customWidth="1"/>
    <col min="9234" max="9234" width="13.26953125" style="319"/>
    <col min="9235" max="9235" width="13.453125" style="319" bestFit="1" customWidth="1"/>
    <col min="9236" max="9473" width="13.26953125" style="319"/>
    <col min="9474" max="9474" width="14.453125" style="319" customWidth="1"/>
    <col min="9475" max="9475" width="13.453125" style="319" bestFit="1" customWidth="1"/>
    <col min="9476" max="9476" width="14.26953125" style="319" bestFit="1" customWidth="1"/>
    <col min="9477" max="9478" width="13.26953125" style="319"/>
    <col min="9479" max="9479" width="13.453125" style="319" bestFit="1" customWidth="1"/>
    <col min="9480" max="9480" width="13.26953125" style="319"/>
    <col min="9481" max="9481" width="13.453125" style="319" bestFit="1" customWidth="1"/>
    <col min="9482" max="9482" width="13.26953125" style="319"/>
    <col min="9483" max="9485" width="13.453125" style="319" bestFit="1" customWidth="1"/>
    <col min="9486" max="9486" width="13.26953125" style="319"/>
    <col min="9487" max="9487" width="13.453125" style="319" bestFit="1" customWidth="1"/>
    <col min="9488" max="9488" width="13.26953125" style="319"/>
    <col min="9489" max="9489" width="14.26953125" style="319" bestFit="1" customWidth="1"/>
    <col min="9490" max="9490" width="13.26953125" style="319"/>
    <col min="9491" max="9491" width="13.453125" style="319" bestFit="1" customWidth="1"/>
    <col min="9492" max="9729" width="13.26953125" style="319"/>
    <col min="9730" max="9730" width="14.453125" style="319" customWidth="1"/>
    <col min="9731" max="9731" width="13.453125" style="319" bestFit="1" customWidth="1"/>
    <col min="9732" max="9732" width="14.26953125" style="319" bestFit="1" customWidth="1"/>
    <col min="9733" max="9734" width="13.26953125" style="319"/>
    <col min="9735" max="9735" width="13.453125" style="319" bestFit="1" customWidth="1"/>
    <col min="9736" max="9736" width="13.26953125" style="319"/>
    <col min="9737" max="9737" width="13.453125" style="319" bestFit="1" customWidth="1"/>
    <col min="9738" max="9738" width="13.26953125" style="319"/>
    <col min="9739" max="9741" width="13.453125" style="319" bestFit="1" customWidth="1"/>
    <col min="9742" max="9742" width="13.26953125" style="319"/>
    <col min="9743" max="9743" width="13.453125" style="319" bestFit="1" customWidth="1"/>
    <col min="9744" max="9744" width="13.26953125" style="319"/>
    <col min="9745" max="9745" width="14.26953125" style="319" bestFit="1" customWidth="1"/>
    <col min="9746" max="9746" width="13.26953125" style="319"/>
    <col min="9747" max="9747" width="13.453125" style="319" bestFit="1" customWidth="1"/>
    <col min="9748" max="9985" width="13.26953125" style="319"/>
    <col min="9986" max="9986" width="14.453125" style="319" customWidth="1"/>
    <col min="9987" max="9987" width="13.453125" style="319" bestFit="1" customWidth="1"/>
    <col min="9988" max="9988" width="14.26953125" style="319" bestFit="1" customWidth="1"/>
    <col min="9989" max="9990" width="13.26953125" style="319"/>
    <col min="9991" max="9991" width="13.453125" style="319" bestFit="1" customWidth="1"/>
    <col min="9992" max="9992" width="13.26953125" style="319"/>
    <col min="9993" max="9993" width="13.453125" style="319" bestFit="1" customWidth="1"/>
    <col min="9994" max="9994" width="13.26953125" style="319"/>
    <col min="9995" max="9997" width="13.453125" style="319" bestFit="1" customWidth="1"/>
    <col min="9998" max="9998" width="13.26953125" style="319"/>
    <col min="9999" max="9999" width="13.453125" style="319" bestFit="1" customWidth="1"/>
    <col min="10000" max="10000" width="13.26953125" style="319"/>
    <col min="10001" max="10001" width="14.26953125" style="319" bestFit="1" customWidth="1"/>
    <col min="10002" max="10002" width="13.26953125" style="319"/>
    <col min="10003" max="10003" width="13.453125" style="319" bestFit="1" customWidth="1"/>
    <col min="10004" max="10241" width="13.26953125" style="319"/>
    <col min="10242" max="10242" width="14.453125" style="319" customWidth="1"/>
    <col min="10243" max="10243" width="13.453125" style="319" bestFit="1" customWidth="1"/>
    <col min="10244" max="10244" width="14.26953125" style="319" bestFit="1" customWidth="1"/>
    <col min="10245" max="10246" width="13.26953125" style="319"/>
    <col min="10247" max="10247" width="13.453125" style="319" bestFit="1" customWidth="1"/>
    <col min="10248" max="10248" width="13.26953125" style="319"/>
    <col min="10249" max="10249" width="13.453125" style="319" bestFit="1" customWidth="1"/>
    <col min="10250" max="10250" width="13.26953125" style="319"/>
    <col min="10251" max="10253" width="13.453125" style="319" bestFit="1" customWidth="1"/>
    <col min="10254" max="10254" width="13.26953125" style="319"/>
    <col min="10255" max="10255" width="13.453125" style="319" bestFit="1" customWidth="1"/>
    <col min="10256" max="10256" width="13.26953125" style="319"/>
    <col min="10257" max="10257" width="14.26953125" style="319" bestFit="1" customWidth="1"/>
    <col min="10258" max="10258" width="13.26953125" style="319"/>
    <col min="10259" max="10259" width="13.453125" style="319" bestFit="1" customWidth="1"/>
    <col min="10260" max="10497" width="13.26953125" style="319"/>
    <col min="10498" max="10498" width="14.453125" style="319" customWidth="1"/>
    <col min="10499" max="10499" width="13.453125" style="319" bestFit="1" customWidth="1"/>
    <col min="10500" max="10500" width="14.26953125" style="319" bestFit="1" customWidth="1"/>
    <col min="10501" max="10502" width="13.26953125" style="319"/>
    <col min="10503" max="10503" width="13.453125" style="319" bestFit="1" customWidth="1"/>
    <col min="10504" max="10504" width="13.26953125" style="319"/>
    <col min="10505" max="10505" width="13.453125" style="319" bestFit="1" customWidth="1"/>
    <col min="10506" max="10506" width="13.26953125" style="319"/>
    <col min="10507" max="10509" width="13.453125" style="319" bestFit="1" customWidth="1"/>
    <col min="10510" max="10510" width="13.26953125" style="319"/>
    <col min="10511" max="10511" width="13.453125" style="319" bestFit="1" customWidth="1"/>
    <col min="10512" max="10512" width="13.26953125" style="319"/>
    <col min="10513" max="10513" width="14.26953125" style="319" bestFit="1" customWidth="1"/>
    <col min="10514" max="10514" width="13.26953125" style="319"/>
    <col min="10515" max="10515" width="13.453125" style="319" bestFit="1" customWidth="1"/>
    <col min="10516" max="10753" width="13.26953125" style="319"/>
    <col min="10754" max="10754" width="14.453125" style="319" customWidth="1"/>
    <col min="10755" max="10755" width="13.453125" style="319" bestFit="1" customWidth="1"/>
    <col min="10756" max="10756" width="14.26953125" style="319" bestFit="1" customWidth="1"/>
    <col min="10757" max="10758" width="13.26953125" style="319"/>
    <col min="10759" max="10759" width="13.453125" style="319" bestFit="1" customWidth="1"/>
    <col min="10760" max="10760" width="13.26953125" style="319"/>
    <col min="10761" max="10761" width="13.453125" style="319" bestFit="1" customWidth="1"/>
    <col min="10762" max="10762" width="13.26953125" style="319"/>
    <col min="10763" max="10765" width="13.453125" style="319" bestFit="1" customWidth="1"/>
    <col min="10766" max="10766" width="13.26953125" style="319"/>
    <col min="10767" max="10767" width="13.453125" style="319" bestFit="1" customWidth="1"/>
    <col min="10768" max="10768" width="13.26953125" style="319"/>
    <col min="10769" max="10769" width="14.26953125" style="319" bestFit="1" customWidth="1"/>
    <col min="10770" max="10770" width="13.26953125" style="319"/>
    <col min="10771" max="10771" width="13.453125" style="319" bestFit="1" customWidth="1"/>
    <col min="10772" max="11009" width="13.26953125" style="319"/>
    <col min="11010" max="11010" width="14.453125" style="319" customWidth="1"/>
    <col min="11011" max="11011" width="13.453125" style="319" bestFit="1" customWidth="1"/>
    <col min="11012" max="11012" width="14.26953125" style="319" bestFit="1" customWidth="1"/>
    <col min="11013" max="11014" width="13.26953125" style="319"/>
    <col min="11015" max="11015" width="13.453125" style="319" bestFit="1" customWidth="1"/>
    <col min="11016" max="11016" width="13.26953125" style="319"/>
    <col min="11017" max="11017" width="13.453125" style="319" bestFit="1" customWidth="1"/>
    <col min="11018" max="11018" width="13.26953125" style="319"/>
    <col min="11019" max="11021" width="13.453125" style="319" bestFit="1" customWidth="1"/>
    <col min="11022" max="11022" width="13.26953125" style="319"/>
    <col min="11023" max="11023" width="13.453125" style="319" bestFit="1" customWidth="1"/>
    <col min="11024" max="11024" width="13.26953125" style="319"/>
    <col min="11025" max="11025" width="14.26953125" style="319" bestFit="1" customWidth="1"/>
    <col min="11026" max="11026" width="13.26953125" style="319"/>
    <col min="11027" max="11027" width="13.453125" style="319" bestFit="1" customWidth="1"/>
    <col min="11028" max="11265" width="13.26953125" style="319"/>
    <col min="11266" max="11266" width="14.453125" style="319" customWidth="1"/>
    <col min="11267" max="11267" width="13.453125" style="319" bestFit="1" customWidth="1"/>
    <col min="11268" max="11268" width="14.26953125" style="319" bestFit="1" customWidth="1"/>
    <col min="11269" max="11270" width="13.26953125" style="319"/>
    <col min="11271" max="11271" width="13.453125" style="319" bestFit="1" customWidth="1"/>
    <col min="11272" max="11272" width="13.26953125" style="319"/>
    <col min="11273" max="11273" width="13.453125" style="319" bestFit="1" customWidth="1"/>
    <col min="11274" max="11274" width="13.26953125" style="319"/>
    <col min="11275" max="11277" width="13.453125" style="319" bestFit="1" customWidth="1"/>
    <col min="11278" max="11278" width="13.26953125" style="319"/>
    <col min="11279" max="11279" width="13.453125" style="319" bestFit="1" customWidth="1"/>
    <col min="11280" max="11280" width="13.26953125" style="319"/>
    <col min="11281" max="11281" width="14.26953125" style="319" bestFit="1" customWidth="1"/>
    <col min="11282" max="11282" width="13.26953125" style="319"/>
    <col min="11283" max="11283" width="13.453125" style="319" bestFit="1" customWidth="1"/>
    <col min="11284" max="11521" width="13.26953125" style="319"/>
    <col min="11522" max="11522" width="14.453125" style="319" customWidth="1"/>
    <col min="11523" max="11523" width="13.453125" style="319" bestFit="1" customWidth="1"/>
    <col min="11524" max="11524" width="14.26953125" style="319" bestFit="1" customWidth="1"/>
    <col min="11525" max="11526" width="13.26953125" style="319"/>
    <col min="11527" max="11527" width="13.453125" style="319" bestFit="1" customWidth="1"/>
    <col min="11528" max="11528" width="13.26953125" style="319"/>
    <col min="11529" max="11529" width="13.453125" style="319" bestFit="1" customWidth="1"/>
    <col min="11530" max="11530" width="13.26953125" style="319"/>
    <col min="11531" max="11533" width="13.453125" style="319" bestFit="1" customWidth="1"/>
    <col min="11534" max="11534" width="13.26953125" style="319"/>
    <col min="11535" max="11535" width="13.453125" style="319" bestFit="1" customWidth="1"/>
    <col min="11536" max="11536" width="13.26953125" style="319"/>
    <col min="11537" max="11537" width="14.26953125" style="319" bestFit="1" customWidth="1"/>
    <col min="11538" max="11538" width="13.26953125" style="319"/>
    <col min="11539" max="11539" width="13.453125" style="319" bestFit="1" customWidth="1"/>
    <col min="11540" max="11777" width="13.26953125" style="319"/>
    <col min="11778" max="11778" width="14.453125" style="319" customWidth="1"/>
    <col min="11779" max="11779" width="13.453125" style="319" bestFit="1" customWidth="1"/>
    <col min="11780" max="11780" width="14.26953125" style="319" bestFit="1" customWidth="1"/>
    <col min="11781" max="11782" width="13.26953125" style="319"/>
    <col min="11783" max="11783" width="13.453125" style="319" bestFit="1" customWidth="1"/>
    <col min="11784" max="11784" width="13.26953125" style="319"/>
    <col min="11785" max="11785" width="13.453125" style="319" bestFit="1" customWidth="1"/>
    <col min="11786" max="11786" width="13.26953125" style="319"/>
    <col min="11787" max="11789" width="13.453125" style="319" bestFit="1" customWidth="1"/>
    <col min="11790" max="11790" width="13.26953125" style="319"/>
    <col min="11791" max="11791" width="13.453125" style="319" bestFit="1" customWidth="1"/>
    <col min="11792" max="11792" width="13.26953125" style="319"/>
    <col min="11793" max="11793" width="14.26953125" style="319" bestFit="1" customWidth="1"/>
    <col min="11794" max="11794" width="13.26953125" style="319"/>
    <col min="11795" max="11795" width="13.453125" style="319" bestFit="1" customWidth="1"/>
    <col min="11796" max="12033" width="13.26953125" style="319"/>
    <col min="12034" max="12034" width="14.453125" style="319" customWidth="1"/>
    <col min="12035" max="12035" width="13.453125" style="319" bestFit="1" customWidth="1"/>
    <col min="12036" max="12036" width="14.26953125" style="319" bestFit="1" customWidth="1"/>
    <col min="12037" max="12038" width="13.26953125" style="319"/>
    <col min="12039" max="12039" width="13.453125" style="319" bestFit="1" customWidth="1"/>
    <col min="12040" max="12040" width="13.26953125" style="319"/>
    <col min="12041" max="12041" width="13.453125" style="319" bestFit="1" customWidth="1"/>
    <col min="12042" max="12042" width="13.26953125" style="319"/>
    <col min="12043" max="12045" width="13.453125" style="319" bestFit="1" customWidth="1"/>
    <col min="12046" max="12046" width="13.26953125" style="319"/>
    <col min="12047" max="12047" width="13.453125" style="319" bestFit="1" customWidth="1"/>
    <col min="12048" max="12048" width="13.26953125" style="319"/>
    <col min="12049" max="12049" width="14.26953125" style="319" bestFit="1" customWidth="1"/>
    <col min="12050" max="12050" width="13.26953125" style="319"/>
    <col min="12051" max="12051" width="13.453125" style="319" bestFit="1" customWidth="1"/>
    <col min="12052" max="12289" width="13.26953125" style="319"/>
    <col min="12290" max="12290" width="14.453125" style="319" customWidth="1"/>
    <col min="12291" max="12291" width="13.453125" style="319" bestFit="1" customWidth="1"/>
    <col min="12292" max="12292" width="14.26953125" style="319" bestFit="1" customWidth="1"/>
    <col min="12293" max="12294" width="13.26953125" style="319"/>
    <col min="12295" max="12295" width="13.453125" style="319" bestFit="1" customWidth="1"/>
    <col min="12296" max="12296" width="13.26953125" style="319"/>
    <col min="12297" max="12297" width="13.453125" style="319" bestFit="1" customWidth="1"/>
    <col min="12298" max="12298" width="13.26953125" style="319"/>
    <col min="12299" max="12301" width="13.453125" style="319" bestFit="1" customWidth="1"/>
    <col min="12302" max="12302" width="13.26953125" style="319"/>
    <col min="12303" max="12303" width="13.453125" style="319" bestFit="1" customWidth="1"/>
    <col min="12304" max="12304" width="13.26953125" style="319"/>
    <col min="12305" max="12305" width="14.26953125" style="319" bestFit="1" customWidth="1"/>
    <col min="12306" max="12306" width="13.26953125" style="319"/>
    <col min="12307" max="12307" width="13.453125" style="319" bestFit="1" customWidth="1"/>
    <col min="12308" max="12545" width="13.26953125" style="319"/>
    <col min="12546" max="12546" width="14.453125" style="319" customWidth="1"/>
    <col min="12547" max="12547" width="13.453125" style="319" bestFit="1" customWidth="1"/>
    <col min="12548" max="12548" width="14.26953125" style="319" bestFit="1" customWidth="1"/>
    <col min="12549" max="12550" width="13.26953125" style="319"/>
    <col min="12551" max="12551" width="13.453125" style="319" bestFit="1" customWidth="1"/>
    <col min="12552" max="12552" width="13.26953125" style="319"/>
    <col min="12553" max="12553" width="13.453125" style="319" bestFit="1" customWidth="1"/>
    <col min="12554" max="12554" width="13.26953125" style="319"/>
    <col min="12555" max="12557" width="13.453125" style="319" bestFit="1" customWidth="1"/>
    <col min="12558" max="12558" width="13.26953125" style="319"/>
    <col min="12559" max="12559" width="13.453125" style="319" bestFit="1" customWidth="1"/>
    <col min="12560" max="12560" width="13.26953125" style="319"/>
    <col min="12561" max="12561" width="14.26953125" style="319" bestFit="1" customWidth="1"/>
    <col min="12562" max="12562" width="13.26953125" style="319"/>
    <col min="12563" max="12563" width="13.453125" style="319" bestFit="1" customWidth="1"/>
    <col min="12564" max="12801" width="13.26953125" style="319"/>
    <col min="12802" max="12802" width="14.453125" style="319" customWidth="1"/>
    <col min="12803" max="12803" width="13.453125" style="319" bestFit="1" customWidth="1"/>
    <col min="12804" max="12804" width="14.26953125" style="319" bestFit="1" customWidth="1"/>
    <col min="12805" max="12806" width="13.26953125" style="319"/>
    <col min="12807" max="12807" width="13.453125" style="319" bestFit="1" customWidth="1"/>
    <col min="12808" max="12808" width="13.26953125" style="319"/>
    <col min="12809" max="12809" width="13.453125" style="319" bestFit="1" customWidth="1"/>
    <col min="12810" max="12810" width="13.26953125" style="319"/>
    <col min="12811" max="12813" width="13.453125" style="319" bestFit="1" customWidth="1"/>
    <col min="12814" max="12814" width="13.26953125" style="319"/>
    <col min="12815" max="12815" width="13.453125" style="319" bestFit="1" customWidth="1"/>
    <col min="12816" max="12816" width="13.26953125" style="319"/>
    <col min="12817" max="12817" width="14.26953125" style="319" bestFit="1" customWidth="1"/>
    <col min="12818" max="12818" width="13.26953125" style="319"/>
    <col min="12819" max="12819" width="13.453125" style="319" bestFit="1" customWidth="1"/>
    <col min="12820" max="13057" width="13.26953125" style="319"/>
    <col min="13058" max="13058" width="14.453125" style="319" customWidth="1"/>
    <col min="13059" max="13059" width="13.453125" style="319" bestFit="1" customWidth="1"/>
    <col min="13060" max="13060" width="14.26953125" style="319" bestFit="1" customWidth="1"/>
    <col min="13061" max="13062" width="13.26953125" style="319"/>
    <col min="13063" max="13063" width="13.453125" style="319" bestFit="1" customWidth="1"/>
    <col min="13064" max="13064" width="13.26953125" style="319"/>
    <col min="13065" max="13065" width="13.453125" style="319" bestFit="1" customWidth="1"/>
    <col min="13066" max="13066" width="13.26953125" style="319"/>
    <col min="13067" max="13069" width="13.453125" style="319" bestFit="1" customWidth="1"/>
    <col min="13070" max="13070" width="13.26953125" style="319"/>
    <col min="13071" max="13071" width="13.453125" style="319" bestFit="1" customWidth="1"/>
    <col min="13072" max="13072" width="13.26953125" style="319"/>
    <col min="13073" max="13073" width="14.26953125" style="319" bestFit="1" customWidth="1"/>
    <col min="13074" max="13074" width="13.26953125" style="319"/>
    <col min="13075" max="13075" width="13.453125" style="319" bestFit="1" customWidth="1"/>
    <col min="13076" max="13313" width="13.26953125" style="319"/>
    <col min="13314" max="13314" width="14.453125" style="319" customWidth="1"/>
    <col min="13315" max="13315" width="13.453125" style="319" bestFit="1" customWidth="1"/>
    <col min="13316" max="13316" width="14.26953125" style="319" bestFit="1" customWidth="1"/>
    <col min="13317" max="13318" width="13.26953125" style="319"/>
    <col min="13319" max="13319" width="13.453125" style="319" bestFit="1" customWidth="1"/>
    <col min="13320" max="13320" width="13.26953125" style="319"/>
    <col min="13321" max="13321" width="13.453125" style="319" bestFit="1" customWidth="1"/>
    <col min="13322" max="13322" width="13.26953125" style="319"/>
    <col min="13323" max="13325" width="13.453125" style="319" bestFit="1" customWidth="1"/>
    <col min="13326" max="13326" width="13.26953125" style="319"/>
    <col min="13327" max="13327" width="13.453125" style="319" bestFit="1" customWidth="1"/>
    <col min="13328" max="13328" width="13.26953125" style="319"/>
    <col min="13329" max="13329" width="14.26953125" style="319" bestFit="1" customWidth="1"/>
    <col min="13330" max="13330" width="13.26953125" style="319"/>
    <col min="13331" max="13331" width="13.453125" style="319" bestFit="1" customWidth="1"/>
    <col min="13332" max="13569" width="13.26953125" style="319"/>
    <col min="13570" max="13570" width="14.453125" style="319" customWidth="1"/>
    <col min="13571" max="13571" width="13.453125" style="319" bestFit="1" customWidth="1"/>
    <col min="13572" max="13572" width="14.26953125" style="319" bestFit="1" customWidth="1"/>
    <col min="13573" max="13574" width="13.26953125" style="319"/>
    <col min="13575" max="13575" width="13.453125" style="319" bestFit="1" customWidth="1"/>
    <col min="13576" max="13576" width="13.26953125" style="319"/>
    <col min="13577" max="13577" width="13.453125" style="319" bestFit="1" customWidth="1"/>
    <col min="13578" max="13578" width="13.26953125" style="319"/>
    <col min="13579" max="13581" width="13.453125" style="319" bestFit="1" customWidth="1"/>
    <col min="13582" max="13582" width="13.26953125" style="319"/>
    <col min="13583" max="13583" width="13.453125" style="319" bestFit="1" customWidth="1"/>
    <col min="13584" max="13584" width="13.26953125" style="319"/>
    <col min="13585" max="13585" width="14.26953125" style="319" bestFit="1" customWidth="1"/>
    <col min="13586" max="13586" width="13.26953125" style="319"/>
    <col min="13587" max="13587" width="13.453125" style="319" bestFit="1" customWidth="1"/>
    <col min="13588" max="13825" width="13.26953125" style="319"/>
    <col min="13826" max="13826" width="14.453125" style="319" customWidth="1"/>
    <col min="13827" max="13827" width="13.453125" style="319" bestFit="1" customWidth="1"/>
    <col min="13828" max="13828" width="14.26953125" style="319" bestFit="1" customWidth="1"/>
    <col min="13829" max="13830" width="13.26953125" style="319"/>
    <col min="13831" max="13831" width="13.453125" style="319" bestFit="1" customWidth="1"/>
    <col min="13832" max="13832" width="13.26953125" style="319"/>
    <col min="13833" max="13833" width="13.453125" style="319" bestFit="1" customWidth="1"/>
    <col min="13834" max="13834" width="13.26953125" style="319"/>
    <col min="13835" max="13837" width="13.453125" style="319" bestFit="1" customWidth="1"/>
    <col min="13838" max="13838" width="13.26953125" style="319"/>
    <col min="13839" max="13839" width="13.453125" style="319" bestFit="1" customWidth="1"/>
    <col min="13840" max="13840" width="13.26953125" style="319"/>
    <col min="13841" max="13841" width="14.26953125" style="319" bestFit="1" customWidth="1"/>
    <col min="13842" max="13842" width="13.26953125" style="319"/>
    <col min="13843" max="13843" width="13.453125" style="319" bestFit="1" customWidth="1"/>
    <col min="13844" max="14081" width="13.26953125" style="319"/>
    <col min="14082" max="14082" width="14.453125" style="319" customWidth="1"/>
    <col min="14083" max="14083" width="13.453125" style="319" bestFit="1" customWidth="1"/>
    <col min="14084" max="14084" width="14.26953125" style="319" bestFit="1" customWidth="1"/>
    <col min="14085" max="14086" width="13.26953125" style="319"/>
    <col min="14087" max="14087" width="13.453125" style="319" bestFit="1" customWidth="1"/>
    <col min="14088" max="14088" width="13.26953125" style="319"/>
    <col min="14089" max="14089" width="13.453125" style="319" bestFit="1" customWidth="1"/>
    <col min="14090" max="14090" width="13.26953125" style="319"/>
    <col min="14091" max="14093" width="13.453125" style="319" bestFit="1" customWidth="1"/>
    <col min="14094" max="14094" width="13.26953125" style="319"/>
    <col min="14095" max="14095" width="13.453125" style="319" bestFit="1" customWidth="1"/>
    <col min="14096" max="14096" width="13.26953125" style="319"/>
    <col min="14097" max="14097" width="14.26953125" style="319" bestFit="1" customWidth="1"/>
    <col min="14098" max="14098" width="13.26953125" style="319"/>
    <col min="14099" max="14099" width="13.453125" style="319" bestFit="1" customWidth="1"/>
    <col min="14100" max="14337" width="13.26953125" style="319"/>
    <col min="14338" max="14338" width="14.453125" style="319" customWidth="1"/>
    <col min="14339" max="14339" width="13.453125" style="319" bestFit="1" customWidth="1"/>
    <col min="14340" max="14340" width="14.26953125" style="319" bestFit="1" customWidth="1"/>
    <col min="14341" max="14342" width="13.26953125" style="319"/>
    <col min="14343" max="14343" width="13.453125" style="319" bestFit="1" customWidth="1"/>
    <col min="14344" max="14344" width="13.26953125" style="319"/>
    <col min="14345" max="14345" width="13.453125" style="319" bestFit="1" customWidth="1"/>
    <col min="14346" max="14346" width="13.26953125" style="319"/>
    <col min="14347" max="14349" width="13.453125" style="319" bestFit="1" customWidth="1"/>
    <col min="14350" max="14350" width="13.26953125" style="319"/>
    <col min="14351" max="14351" width="13.453125" style="319" bestFit="1" customWidth="1"/>
    <col min="14352" max="14352" width="13.26953125" style="319"/>
    <col min="14353" max="14353" width="14.26953125" style="319" bestFit="1" customWidth="1"/>
    <col min="14354" max="14354" width="13.26953125" style="319"/>
    <col min="14355" max="14355" width="13.453125" style="319" bestFit="1" customWidth="1"/>
    <col min="14356" max="14593" width="13.26953125" style="319"/>
    <col min="14594" max="14594" width="14.453125" style="319" customWidth="1"/>
    <col min="14595" max="14595" width="13.453125" style="319" bestFit="1" customWidth="1"/>
    <col min="14596" max="14596" width="14.26953125" style="319" bestFit="1" customWidth="1"/>
    <col min="14597" max="14598" width="13.26953125" style="319"/>
    <col min="14599" max="14599" width="13.453125" style="319" bestFit="1" customWidth="1"/>
    <col min="14600" max="14600" width="13.26953125" style="319"/>
    <col min="14601" max="14601" width="13.453125" style="319" bestFit="1" customWidth="1"/>
    <col min="14602" max="14602" width="13.26953125" style="319"/>
    <col min="14603" max="14605" width="13.453125" style="319" bestFit="1" customWidth="1"/>
    <col min="14606" max="14606" width="13.26953125" style="319"/>
    <col min="14607" max="14607" width="13.453125" style="319" bestFit="1" customWidth="1"/>
    <col min="14608" max="14608" width="13.26953125" style="319"/>
    <col min="14609" max="14609" width="14.26953125" style="319" bestFit="1" customWidth="1"/>
    <col min="14610" max="14610" width="13.26953125" style="319"/>
    <col min="14611" max="14611" width="13.453125" style="319" bestFit="1" customWidth="1"/>
    <col min="14612" max="14849" width="13.26953125" style="319"/>
    <col min="14850" max="14850" width="14.453125" style="319" customWidth="1"/>
    <col min="14851" max="14851" width="13.453125" style="319" bestFit="1" customWidth="1"/>
    <col min="14852" max="14852" width="14.26953125" style="319" bestFit="1" customWidth="1"/>
    <col min="14853" max="14854" width="13.26953125" style="319"/>
    <col min="14855" max="14855" width="13.453125" style="319" bestFit="1" customWidth="1"/>
    <col min="14856" max="14856" width="13.26953125" style="319"/>
    <col min="14857" max="14857" width="13.453125" style="319" bestFit="1" customWidth="1"/>
    <col min="14858" max="14858" width="13.26953125" style="319"/>
    <col min="14859" max="14861" width="13.453125" style="319" bestFit="1" customWidth="1"/>
    <col min="14862" max="14862" width="13.26953125" style="319"/>
    <col min="14863" max="14863" width="13.453125" style="319" bestFit="1" customWidth="1"/>
    <col min="14864" max="14864" width="13.26953125" style="319"/>
    <col min="14865" max="14865" width="14.26953125" style="319" bestFit="1" customWidth="1"/>
    <col min="14866" max="14866" width="13.26953125" style="319"/>
    <col min="14867" max="14867" width="13.453125" style="319" bestFit="1" customWidth="1"/>
    <col min="14868" max="15105" width="13.26953125" style="319"/>
    <col min="15106" max="15106" width="14.453125" style="319" customWidth="1"/>
    <col min="15107" max="15107" width="13.453125" style="319" bestFit="1" customWidth="1"/>
    <col min="15108" max="15108" width="14.26953125" style="319" bestFit="1" customWidth="1"/>
    <col min="15109" max="15110" width="13.26953125" style="319"/>
    <col min="15111" max="15111" width="13.453125" style="319" bestFit="1" customWidth="1"/>
    <col min="15112" max="15112" width="13.26953125" style="319"/>
    <col min="15113" max="15113" width="13.453125" style="319" bestFit="1" customWidth="1"/>
    <col min="15114" max="15114" width="13.26953125" style="319"/>
    <col min="15115" max="15117" width="13.453125" style="319" bestFit="1" customWidth="1"/>
    <col min="15118" max="15118" width="13.26953125" style="319"/>
    <col min="15119" max="15119" width="13.453125" style="319" bestFit="1" customWidth="1"/>
    <col min="15120" max="15120" width="13.26953125" style="319"/>
    <col min="15121" max="15121" width="14.26953125" style="319" bestFit="1" customWidth="1"/>
    <col min="15122" max="15122" width="13.26953125" style="319"/>
    <col min="15123" max="15123" width="13.453125" style="319" bestFit="1" customWidth="1"/>
    <col min="15124" max="15361" width="13.26953125" style="319"/>
    <col min="15362" max="15362" width="14.453125" style="319" customWidth="1"/>
    <col min="15363" max="15363" width="13.453125" style="319" bestFit="1" customWidth="1"/>
    <col min="15364" max="15364" width="14.26953125" style="319" bestFit="1" customWidth="1"/>
    <col min="15365" max="15366" width="13.26953125" style="319"/>
    <col min="15367" max="15367" width="13.453125" style="319" bestFit="1" customWidth="1"/>
    <col min="15368" max="15368" width="13.26953125" style="319"/>
    <col min="15369" max="15369" width="13.453125" style="319" bestFit="1" customWidth="1"/>
    <col min="15370" max="15370" width="13.26953125" style="319"/>
    <col min="15371" max="15373" width="13.453125" style="319" bestFit="1" customWidth="1"/>
    <col min="15374" max="15374" width="13.26953125" style="319"/>
    <col min="15375" max="15375" width="13.453125" style="319" bestFit="1" customWidth="1"/>
    <col min="15376" max="15376" width="13.26953125" style="319"/>
    <col min="15377" max="15377" width="14.26953125" style="319" bestFit="1" customWidth="1"/>
    <col min="15378" max="15378" width="13.26953125" style="319"/>
    <col min="15379" max="15379" width="13.453125" style="319" bestFit="1" customWidth="1"/>
    <col min="15380" max="15617" width="13.26953125" style="319"/>
    <col min="15618" max="15618" width="14.453125" style="319" customWidth="1"/>
    <col min="15619" max="15619" width="13.453125" style="319" bestFit="1" customWidth="1"/>
    <col min="15620" max="15620" width="14.26953125" style="319" bestFit="1" customWidth="1"/>
    <col min="15621" max="15622" width="13.26953125" style="319"/>
    <col min="15623" max="15623" width="13.453125" style="319" bestFit="1" customWidth="1"/>
    <col min="15624" max="15624" width="13.26953125" style="319"/>
    <col min="15625" max="15625" width="13.453125" style="319" bestFit="1" customWidth="1"/>
    <col min="15626" max="15626" width="13.26953125" style="319"/>
    <col min="15627" max="15629" width="13.453125" style="319" bestFit="1" customWidth="1"/>
    <col min="15630" max="15630" width="13.26953125" style="319"/>
    <col min="15631" max="15631" width="13.453125" style="319" bestFit="1" customWidth="1"/>
    <col min="15632" max="15632" width="13.26953125" style="319"/>
    <col min="15633" max="15633" width="14.26953125" style="319" bestFit="1" customWidth="1"/>
    <col min="15634" max="15634" width="13.26953125" style="319"/>
    <col min="15635" max="15635" width="13.453125" style="319" bestFit="1" customWidth="1"/>
    <col min="15636" max="15873" width="13.26953125" style="319"/>
    <col min="15874" max="15874" width="14.453125" style="319" customWidth="1"/>
    <col min="15875" max="15875" width="13.453125" style="319" bestFit="1" customWidth="1"/>
    <col min="15876" max="15876" width="14.26953125" style="319" bestFit="1" customWidth="1"/>
    <col min="15877" max="15878" width="13.26953125" style="319"/>
    <col min="15879" max="15879" width="13.453125" style="319" bestFit="1" customWidth="1"/>
    <col min="15880" max="15880" width="13.26953125" style="319"/>
    <col min="15881" max="15881" width="13.453125" style="319" bestFit="1" customWidth="1"/>
    <col min="15882" max="15882" width="13.26953125" style="319"/>
    <col min="15883" max="15885" width="13.453125" style="319" bestFit="1" customWidth="1"/>
    <col min="15886" max="15886" width="13.26953125" style="319"/>
    <col min="15887" max="15887" width="13.453125" style="319" bestFit="1" customWidth="1"/>
    <col min="15888" max="15888" width="13.26953125" style="319"/>
    <col min="15889" max="15889" width="14.26953125" style="319" bestFit="1" customWidth="1"/>
    <col min="15890" max="15890" width="13.26953125" style="319"/>
    <col min="15891" max="15891" width="13.453125" style="319" bestFit="1" customWidth="1"/>
    <col min="15892" max="16129" width="13.26953125" style="319"/>
    <col min="16130" max="16130" width="14.453125" style="319" customWidth="1"/>
    <col min="16131" max="16131" width="13.453125" style="319" bestFit="1" customWidth="1"/>
    <col min="16132" max="16132" width="14.26953125" style="319" bestFit="1" customWidth="1"/>
    <col min="16133" max="16134" width="13.26953125" style="319"/>
    <col min="16135" max="16135" width="13.453125" style="319" bestFit="1" customWidth="1"/>
    <col min="16136" max="16136" width="13.26953125" style="319"/>
    <col min="16137" max="16137" width="13.453125" style="319" bestFit="1" customWidth="1"/>
    <col min="16138" max="16138" width="13.26953125" style="319"/>
    <col min="16139" max="16141" width="13.453125" style="319" bestFit="1" customWidth="1"/>
    <col min="16142" max="16142" width="13.26953125" style="319"/>
    <col min="16143" max="16143" width="13.453125" style="319" bestFit="1" customWidth="1"/>
    <col min="16144" max="16144" width="13.26953125" style="319"/>
    <col min="16145" max="16145" width="14.26953125" style="319" bestFit="1" customWidth="1"/>
    <col min="16146" max="16146" width="13.26953125" style="319"/>
    <col min="16147" max="16147" width="13.453125" style="319" bestFit="1" customWidth="1"/>
    <col min="16148" max="16384" width="13.26953125" style="319"/>
  </cols>
  <sheetData>
    <row r="1" spans="1:47" ht="15.6">
      <c r="B1" s="175"/>
      <c r="AA1" s="3" t="s">
        <v>457</v>
      </c>
    </row>
    <row r="2" spans="1:47" ht="15.6">
      <c r="B2" s="175"/>
      <c r="AA2" s="16" t="s">
        <v>144</v>
      </c>
    </row>
    <row r="3" spans="1:47" ht="17.399999999999999">
      <c r="B3" s="175"/>
      <c r="M3" s="174" t="s">
        <v>424</v>
      </c>
      <c r="AA3" s="16" t="str">
        <f>'Attachment 1 - Sched 1A'!J3</f>
        <v>For the 12 months ended 12/31/2022</v>
      </c>
    </row>
    <row r="4" spans="1:47" ht="15.6">
      <c r="B4" s="176"/>
    </row>
    <row r="5" spans="1:47" ht="15.6">
      <c r="A5" s="320"/>
      <c r="B5" s="177" t="s">
        <v>282</v>
      </c>
      <c r="C5" s="177"/>
      <c r="D5" s="177"/>
      <c r="E5" s="177"/>
      <c r="F5" s="177"/>
      <c r="G5" s="177"/>
      <c r="H5" s="177"/>
      <c r="I5" s="177"/>
      <c r="J5" s="177"/>
      <c r="K5" s="177"/>
      <c r="L5" s="177"/>
      <c r="M5" s="177"/>
      <c r="N5" s="177"/>
      <c r="O5" s="177"/>
      <c r="P5" s="177"/>
      <c r="Q5" s="177"/>
      <c r="R5" s="177"/>
      <c r="S5" s="177"/>
      <c r="T5" s="177"/>
      <c r="U5" s="177"/>
      <c r="V5" s="177"/>
      <c r="W5" s="177"/>
      <c r="X5" s="177"/>
      <c r="Y5" s="321"/>
      <c r="Z5" s="176"/>
    </row>
    <row r="6" spans="1:47" ht="15.6">
      <c r="A6" s="322"/>
      <c r="C6" s="176"/>
      <c r="D6" s="176"/>
      <c r="E6" s="176"/>
      <c r="F6" s="176"/>
      <c r="G6" s="323"/>
      <c r="H6" s="323"/>
      <c r="I6" s="323"/>
      <c r="J6" s="323"/>
      <c r="K6" s="176"/>
      <c r="L6" s="176"/>
      <c r="M6" s="176"/>
      <c r="N6" s="176"/>
      <c r="O6" s="176"/>
      <c r="P6" s="176"/>
      <c r="Q6" s="176"/>
      <c r="R6" s="176"/>
      <c r="S6" s="176"/>
      <c r="T6" s="176"/>
      <c r="U6" s="176"/>
      <c r="V6" s="176"/>
      <c r="W6" s="176"/>
      <c r="X6" s="176"/>
      <c r="Y6" s="324"/>
      <c r="Z6" s="176"/>
    </row>
    <row r="7" spans="1:47" ht="15.6">
      <c r="A7" s="322"/>
      <c r="B7" s="176" t="s">
        <v>283</v>
      </c>
      <c r="C7" s="176"/>
      <c r="D7" s="176"/>
      <c r="E7" s="176"/>
      <c r="F7" s="176"/>
      <c r="G7" s="323"/>
      <c r="H7" s="323"/>
      <c r="I7" s="323"/>
      <c r="J7" s="323"/>
      <c r="K7" s="176"/>
      <c r="L7" s="176"/>
      <c r="M7" s="176"/>
      <c r="N7" s="176"/>
      <c r="O7" s="176"/>
      <c r="P7" s="176"/>
      <c r="Q7" s="176"/>
      <c r="R7" s="176"/>
      <c r="S7" s="176"/>
      <c r="T7" s="176"/>
      <c r="U7" s="176"/>
      <c r="V7" s="176"/>
      <c r="W7" s="176"/>
      <c r="X7" s="176"/>
      <c r="Y7" s="324"/>
      <c r="Z7" s="176"/>
    </row>
    <row r="8" spans="1:47" ht="16.2" thickBot="1">
      <c r="A8" s="322"/>
      <c r="D8" s="176"/>
      <c r="E8" s="176"/>
      <c r="F8" s="176"/>
      <c r="G8" s="323"/>
      <c r="H8" s="323"/>
      <c r="I8" s="323"/>
      <c r="J8" s="323"/>
      <c r="K8" s="176"/>
      <c r="L8" s="176"/>
      <c r="M8" s="176"/>
      <c r="N8" s="176"/>
      <c r="O8" s="176"/>
      <c r="P8" s="176"/>
      <c r="Q8" s="176"/>
      <c r="R8" s="176"/>
      <c r="S8" s="176"/>
      <c r="T8" s="176"/>
      <c r="U8" s="176"/>
      <c r="V8" s="176"/>
      <c r="W8" s="176"/>
      <c r="X8" s="176"/>
      <c r="Y8" s="324"/>
      <c r="Z8" s="176"/>
    </row>
    <row r="9" spans="1:47" ht="16.2" thickBot="1">
      <c r="A9" s="322"/>
      <c r="B9" s="325" t="s">
        <v>284</v>
      </c>
      <c r="C9" s="591">
        <v>44926</v>
      </c>
      <c r="D9" s="176"/>
      <c r="E9" s="176"/>
      <c r="F9" s="176"/>
      <c r="G9" s="176"/>
      <c r="H9" s="176"/>
      <c r="J9" s="176"/>
      <c r="K9" s="327"/>
      <c r="L9" s="176"/>
      <c r="M9" s="176"/>
      <c r="N9" s="176"/>
      <c r="O9" s="176"/>
      <c r="P9" s="176"/>
      <c r="Q9" s="176"/>
      <c r="R9" s="176"/>
      <c r="S9" s="176"/>
      <c r="T9" s="176"/>
      <c r="U9" s="176"/>
      <c r="V9" s="176"/>
      <c r="W9" s="176"/>
      <c r="X9" s="176"/>
      <c r="Y9" s="324"/>
      <c r="Z9" s="176"/>
    </row>
    <row r="10" spans="1:47" ht="15.6">
      <c r="A10" s="322"/>
      <c r="B10" s="323"/>
      <c r="C10" s="176"/>
      <c r="E10" s="176"/>
      <c r="F10" s="176"/>
      <c r="H10" s="176"/>
      <c r="I10" s="176"/>
      <c r="J10" s="176"/>
      <c r="K10" s="327"/>
      <c r="L10" s="176"/>
      <c r="M10" s="176"/>
      <c r="N10" s="176"/>
      <c r="O10" s="176"/>
      <c r="P10" s="176"/>
      <c r="Q10" s="176"/>
      <c r="R10" s="176"/>
      <c r="S10" s="176"/>
      <c r="T10" s="176"/>
      <c r="U10" s="176"/>
      <c r="V10" s="176"/>
      <c r="W10" s="176"/>
      <c r="X10" s="176"/>
      <c r="Y10" s="324"/>
      <c r="Z10" s="176"/>
    </row>
    <row r="11" spans="1:47" s="178" customFormat="1" ht="15.6">
      <c r="A11" s="328"/>
      <c r="D11" s="178" t="s">
        <v>202</v>
      </c>
      <c r="G11" s="178" t="s">
        <v>203</v>
      </c>
      <c r="I11" s="178" t="s">
        <v>285</v>
      </c>
      <c r="K11" s="178" t="s">
        <v>205</v>
      </c>
      <c r="M11" s="329" t="s">
        <v>206</v>
      </c>
      <c r="O11" s="329" t="s">
        <v>207</v>
      </c>
      <c r="Q11" s="178" t="s">
        <v>208</v>
      </c>
      <c r="S11" s="178" t="s">
        <v>209</v>
      </c>
      <c r="U11" s="178" t="s">
        <v>210</v>
      </c>
      <c r="W11" s="178" t="s">
        <v>211</v>
      </c>
      <c r="Y11" s="330"/>
    </row>
    <row r="12" spans="1:47" ht="15.6">
      <c r="A12" s="322"/>
      <c r="B12" s="331"/>
      <c r="N12" s="331"/>
      <c r="S12" s="332"/>
      <c r="X12" s="332"/>
      <c r="Y12" s="333"/>
      <c r="AE12" s="334"/>
      <c r="AK12" s="335"/>
      <c r="AL12" s="331"/>
      <c r="AM12" s="331"/>
      <c r="AN12" s="331"/>
      <c r="AO12" s="331"/>
      <c r="AP12" s="331"/>
      <c r="AQ12" s="331"/>
      <c r="AR12" s="331"/>
      <c r="AS12" s="331"/>
      <c r="AT12" s="1002"/>
      <c r="AU12" s="1002"/>
    </row>
    <row r="13" spans="1:47" ht="15.6">
      <c r="A13" s="322"/>
      <c r="M13" s="331" t="s">
        <v>286</v>
      </c>
      <c r="N13" s="331"/>
      <c r="Q13" s="331" t="s">
        <v>287</v>
      </c>
      <c r="S13" s="332"/>
      <c r="W13" s="331" t="s">
        <v>65</v>
      </c>
      <c r="X13" s="332"/>
      <c r="Y13" s="333"/>
      <c r="AE13" s="334"/>
      <c r="AK13" s="335"/>
      <c r="AL13" s="331"/>
      <c r="AM13" s="331"/>
      <c r="AN13" s="331"/>
      <c r="AO13" s="331"/>
      <c r="AP13" s="331"/>
      <c r="AQ13" s="331"/>
      <c r="AR13" s="331"/>
      <c r="AS13" s="331"/>
      <c r="AT13" s="331"/>
      <c r="AU13" s="331"/>
    </row>
    <row r="14" spans="1:47" ht="15.6">
      <c r="A14" s="322"/>
      <c r="B14" s="176"/>
      <c r="G14" s="331"/>
      <c r="H14" s="331"/>
      <c r="I14" s="331"/>
      <c r="J14" s="331"/>
      <c r="K14" s="331"/>
      <c r="L14" s="331"/>
      <c r="M14" s="331" t="s">
        <v>8</v>
      </c>
      <c r="N14" s="331"/>
      <c r="O14" s="331" t="s">
        <v>217</v>
      </c>
      <c r="P14" s="331"/>
      <c r="Q14" s="331" t="s">
        <v>288</v>
      </c>
      <c r="R14" s="331"/>
      <c r="S14" s="331" t="s">
        <v>65</v>
      </c>
      <c r="T14" s="331"/>
      <c r="U14" s="331" t="s">
        <v>289</v>
      </c>
      <c r="V14" s="331"/>
      <c r="W14" s="331" t="s">
        <v>290</v>
      </c>
      <c r="Y14" s="333"/>
      <c r="AE14" s="334"/>
      <c r="AK14" s="336"/>
      <c r="AL14" s="337"/>
      <c r="AM14" s="337"/>
      <c r="AN14" s="337"/>
      <c r="AO14" s="337"/>
      <c r="AP14" s="337"/>
      <c r="AQ14" s="337"/>
      <c r="AR14" s="337"/>
      <c r="AS14" s="337"/>
      <c r="AT14" s="337"/>
      <c r="AU14" s="337"/>
    </row>
    <row r="15" spans="1:47" ht="15.6">
      <c r="A15" s="322"/>
      <c r="B15" s="176"/>
      <c r="E15" s="331"/>
      <c r="F15" s="331"/>
      <c r="G15" s="331"/>
      <c r="H15" s="331"/>
      <c r="I15" s="331" t="s">
        <v>291</v>
      </c>
      <c r="J15" s="331"/>
      <c r="K15" s="331" t="s">
        <v>292</v>
      </c>
      <c r="L15" s="331"/>
      <c r="M15" s="331" t="s">
        <v>288</v>
      </c>
      <c r="N15" s="331"/>
      <c r="O15" s="331" t="s">
        <v>288</v>
      </c>
      <c r="P15" s="331"/>
      <c r="Q15" s="331" t="s">
        <v>293</v>
      </c>
      <c r="R15" s="331"/>
      <c r="S15" s="331" t="s">
        <v>288</v>
      </c>
      <c r="T15" s="331"/>
      <c r="U15" s="331" t="s">
        <v>294</v>
      </c>
      <c r="V15" s="331"/>
      <c r="W15" s="331" t="s">
        <v>295</v>
      </c>
      <c r="Y15" s="333"/>
      <c r="AE15" s="334"/>
      <c r="AK15" s="338"/>
      <c r="AL15" s="339"/>
      <c r="AM15" s="339"/>
      <c r="AN15" s="339"/>
      <c r="AO15" s="339"/>
      <c r="AP15" s="339"/>
      <c r="AQ15" s="339"/>
      <c r="AR15" s="339"/>
      <c r="AS15" s="339"/>
      <c r="AT15" s="339"/>
      <c r="AU15" s="339"/>
    </row>
    <row r="16" spans="1:47" ht="15.6">
      <c r="A16" s="322"/>
      <c r="C16" s="178" t="s">
        <v>296</v>
      </c>
      <c r="D16" s="331" t="s">
        <v>297</v>
      </c>
      <c r="E16" s="331"/>
      <c r="F16" s="331"/>
      <c r="G16" s="331" t="s">
        <v>298</v>
      </c>
      <c r="H16" s="331"/>
      <c r="I16" s="331" t="s">
        <v>299</v>
      </c>
      <c r="J16" s="331"/>
      <c r="K16" s="331" t="s">
        <v>300</v>
      </c>
      <c r="L16" s="331"/>
      <c r="M16" s="331" t="s">
        <v>301</v>
      </c>
      <c r="N16" s="331"/>
      <c r="O16" s="331" t="s">
        <v>301</v>
      </c>
      <c r="P16" s="331"/>
      <c r="Q16" s="331" t="s">
        <v>302</v>
      </c>
      <c r="R16" s="331"/>
      <c r="S16" s="331" t="s">
        <v>303</v>
      </c>
      <c r="T16" s="331"/>
      <c r="U16" s="319" t="s">
        <v>1042</v>
      </c>
      <c r="V16" s="331"/>
      <c r="W16" s="331" t="s">
        <v>304</v>
      </c>
      <c r="Y16" s="333"/>
      <c r="AK16" s="338"/>
      <c r="AL16" s="339"/>
      <c r="AM16" s="339"/>
      <c r="AN16" s="339"/>
      <c r="AO16" s="339"/>
      <c r="AP16" s="339"/>
      <c r="AQ16" s="339"/>
      <c r="AR16" s="339"/>
      <c r="AS16" s="339"/>
      <c r="AT16" s="339"/>
      <c r="AU16" s="339"/>
    </row>
    <row r="17" spans="1:47" ht="15.6">
      <c r="A17" s="322"/>
      <c r="B17" s="179" t="s">
        <v>305</v>
      </c>
      <c r="C17" s="340">
        <f>C39</f>
        <v>44926</v>
      </c>
      <c r="E17" s="331"/>
      <c r="F17" s="331"/>
      <c r="G17" s="331"/>
      <c r="H17" s="331"/>
      <c r="I17" s="331" t="s">
        <v>469</v>
      </c>
      <c r="J17" s="331"/>
      <c r="K17" s="331" t="s">
        <v>1041</v>
      </c>
      <c r="L17" s="331"/>
      <c r="M17" s="331"/>
      <c r="N17" s="331"/>
      <c r="O17" s="331"/>
      <c r="P17" s="331"/>
      <c r="Q17" s="331" t="s">
        <v>471</v>
      </c>
      <c r="R17" s="331"/>
      <c r="S17" s="331" t="s">
        <v>470</v>
      </c>
      <c r="T17" s="331"/>
      <c r="U17" s="331"/>
      <c r="V17" s="331"/>
      <c r="Y17" s="333"/>
      <c r="AK17" s="338"/>
      <c r="AL17" s="339"/>
      <c r="AM17" s="339"/>
      <c r="AN17" s="339"/>
      <c r="AO17" s="339"/>
      <c r="AP17" s="339"/>
      <c r="AQ17" s="339"/>
      <c r="AR17" s="339"/>
      <c r="AS17" s="339"/>
      <c r="AT17" s="339"/>
      <c r="AU17" s="339"/>
    </row>
    <row r="18" spans="1:47">
      <c r="A18" s="322"/>
      <c r="B18" s="341" t="s">
        <v>306</v>
      </c>
      <c r="E18" s="342"/>
      <c r="F18" s="342"/>
      <c r="G18" s="342"/>
      <c r="H18" s="342"/>
      <c r="I18" s="342"/>
      <c r="J18" s="342"/>
      <c r="K18" s="342"/>
      <c r="L18" s="342"/>
      <c r="M18" s="342"/>
      <c r="N18" s="342"/>
      <c r="O18" s="331"/>
      <c r="P18" s="342"/>
      <c r="Q18" s="342"/>
      <c r="R18" s="342"/>
      <c r="S18" s="331"/>
      <c r="T18" s="331"/>
      <c r="U18" s="331"/>
      <c r="V18" s="331"/>
      <c r="Y18" s="333"/>
      <c r="AK18" s="338"/>
      <c r="AL18" s="339"/>
      <c r="AM18" s="339"/>
      <c r="AN18" s="339"/>
      <c r="AO18" s="339"/>
      <c r="AP18" s="339"/>
      <c r="AQ18" s="339"/>
      <c r="AR18" s="339"/>
      <c r="AS18" s="339"/>
      <c r="AT18" s="339"/>
      <c r="AU18" s="339"/>
    </row>
    <row r="19" spans="1:47">
      <c r="A19" s="584" t="s">
        <v>16</v>
      </c>
      <c r="B19" s="404" t="s">
        <v>1073</v>
      </c>
      <c r="C19" s="410"/>
      <c r="D19" s="409">
        <v>38849</v>
      </c>
      <c r="E19" s="411"/>
      <c r="F19" s="411"/>
      <c r="G19" s="409">
        <v>49810</v>
      </c>
      <c r="H19" s="342"/>
      <c r="I19" s="344">
        <f>I46</f>
        <v>200000000</v>
      </c>
      <c r="J19" s="344"/>
      <c r="K19" s="344">
        <f>Q46</f>
        <v>196437127</v>
      </c>
      <c r="L19" s="344"/>
      <c r="M19" s="345">
        <v>198385034.32907796</v>
      </c>
      <c r="N19" s="411"/>
      <c r="O19" s="413">
        <v>12</v>
      </c>
      <c r="P19" s="342"/>
      <c r="Q19" s="346">
        <f>M19*O19/12</f>
        <v>198385034.32907796</v>
      </c>
      <c r="R19" s="342"/>
      <c r="S19" s="347">
        <f t="shared" ref="S19:S23" si="0">+Q19/$Q$25</f>
        <v>9.2658565239955956E-2</v>
      </c>
      <c r="U19" s="347">
        <f>Y46</f>
        <v>6.5361422441773148E-2</v>
      </c>
      <c r="W19" s="347">
        <f>+S19*U19</f>
        <v>6.0562956254973585E-3</v>
      </c>
      <c r="Y19" s="333"/>
      <c r="Z19" s="348"/>
      <c r="AK19" s="338"/>
      <c r="AL19" s="339"/>
      <c r="AM19" s="339"/>
      <c r="AN19" s="339"/>
      <c r="AO19" s="339"/>
      <c r="AP19" s="339"/>
      <c r="AQ19" s="339"/>
      <c r="AR19" s="339"/>
      <c r="AS19" s="339"/>
      <c r="AT19" s="339"/>
      <c r="AU19" s="339"/>
    </row>
    <row r="20" spans="1:47">
      <c r="A20" s="584" t="s">
        <v>17</v>
      </c>
      <c r="B20" s="404" t="s">
        <v>1074</v>
      </c>
      <c r="C20" s="412"/>
      <c r="D20" s="409">
        <v>39218</v>
      </c>
      <c r="E20" s="350"/>
      <c r="F20" s="350"/>
      <c r="G20" s="409">
        <v>50192</v>
      </c>
      <c r="H20" s="350"/>
      <c r="I20" s="354">
        <f t="shared" ref="I20:I22" si="1">I47</f>
        <v>300000000</v>
      </c>
      <c r="J20" s="354"/>
      <c r="K20" s="344">
        <f>Q47</f>
        <v>295979779</v>
      </c>
      <c r="L20" s="354"/>
      <c r="M20" s="416">
        <v>298069971.39338136</v>
      </c>
      <c r="N20" s="414"/>
      <c r="O20" s="413">
        <v>12</v>
      </c>
      <c r="P20" s="351"/>
      <c r="Q20" s="346">
        <f t="shared" ref="Q20:Q22" si="2">M20*O20/12</f>
        <v>298069971.39338136</v>
      </c>
      <c r="R20" s="351"/>
      <c r="S20" s="347">
        <f t="shared" si="0"/>
        <v>0.13921783961088471</v>
      </c>
      <c r="T20" s="349"/>
      <c r="U20" s="347">
        <f>Y47</f>
        <v>6.2491237156340793E-2</v>
      </c>
      <c r="V20" s="349"/>
      <c r="W20" s="347">
        <f t="shared" ref="W20:W22" si="3">+S20*U20</f>
        <v>8.6998950315172116E-3</v>
      </c>
      <c r="X20" s="349"/>
      <c r="Y20" s="333"/>
      <c r="Z20" s="348"/>
      <c r="AK20" s="338"/>
      <c r="AL20" s="339"/>
      <c r="AM20" s="339"/>
      <c r="AN20" s="339"/>
      <c r="AO20" s="339"/>
      <c r="AP20" s="339"/>
      <c r="AQ20" s="339"/>
      <c r="AR20" s="339"/>
      <c r="AS20" s="339"/>
      <c r="AT20" s="339"/>
      <c r="AU20" s="339"/>
    </row>
    <row r="21" spans="1:47">
      <c r="A21" s="584" t="s">
        <v>18</v>
      </c>
      <c r="B21" s="404" t="s">
        <v>1075</v>
      </c>
      <c r="C21" s="408"/>
      <c r="D21" s="409">
        <v>43504</v>
      </c>
      <c r="E21" s="408"/>
      <c r="F21" s="408"/>
      <c r="G21" s="409">
        <v>46037</v>
      </c>
      <c r="H21" s="353"/>
      <c r="I21" s="354">
        <f>I48</f>
        <v>400000000</v>
      </c>
      <c r="J21" s="354"/>
      <c r="K21" s="344">
        <f t="shared" ref="K21:K23" si="4">Q48</f>
        <v>402863753</v>
      </c>
      <c r="L21" s="354"/>
      <c r="M21" s="345">
        <v>401256071.6869325</v>
      </c>
      <c r="N21" s="411"/>
      <c r="O21" s="413">
        <v>12</v>
      </c>
      <c r="P21" s="355"/>
      <c r="Q21" s="346">
        <f>M21*O21/12</f>
        <v>401256071.6869325</v>
      </c>
      <c r="R21" s="355"/>
      <c r="S21" s="347">
        <f t="shared" si="0"/>
        <v>0.18741238230026361</v>
      </c>
      <c r="U21" s="347">
        <f>Y48</f>
        <v>4.1796158261677333E-2</v>
      </c>
      <c r="W21" s="347">
        <f t="shared" si="3"/>
        <v>7.8331175908197929E-3</v>
      </c>
      <c r="Y21" s="333"/>
      <c r="AK21" s="338"/>
      <c r="AL21" s="339"/>
      <c r="AM21" s="339"/>
      <c r="AN21" s="339"/>
      <c r="AO21" s="339"/>
      <c r="AP21" s="339"/>
      <c r="AQ21" s="339"/>
      <c r="AR21" s="339"/>
      <c r="AS21" s="339"/>
      <c r="AT21" s="339"/>
      <c r="AU21" s="339"/>
    </row>
    <row r="22" spans="1:47">
      <c r="A22" s="584" t="s">
        <v>19</v>
      </c>
      <c r="B22" s="404" t="s">
        <v>1076</v>
      </c>
      <c r="C22" s="408"/>
      <c r="D22" s="409">
        <v>41507</v>
      </c>
      <c r="E22" s="408"/>
      <c r="F22" s="408"/>
      <c r="G22" s="409">
        <v>45383</v>
      </c>
      <c r="H22" s="348"/>
      <c r="I22" s="354">
        <f t="shared" si="1"/>
        <v>500000000</v>
      </c>
      <c r="J22" s="354"/>
      <c r="K22" s="344">
        <f>Q49</f>
        <v>493197650</v>
      </c>
      <c r="L22" s="354"/>
      <c r="M22" s="345">
        <v>499197968.53715169</v>
      </c>
      <c r="N22" s="414"/>
      <c r="O22" s="413">
        <v>12</v>
      </c>
      <c r="P22" s="342"/>
      <c r="Q22" s="346">
        <f t="shared" si="2"/>
        <v>499197968.53715163</v>
      </c>
      <c r="R22" s="342"/>
      <c r="S22" s="347">
        <f t="shared" si="0"/>
        <v>0.23315754483085724</v>
      </c>
      <c r="U22" s="347">
        <f t="shared" ref="U22" si="5">Y49</f>
        <v>4.8650643693493568E-2</v>
      </c>
      <c r="W22" s="347">
        <f t="shared" si="3"/>
        <v>1.1343264638015788E-2</v>
      </c>
      <c r="Y22" s="333"/>
      <c r="AK22" s="338"/>
      <c r="AL22" s="339"/>
      <c r="AM22" s="339"/>
      <c r="AN22" s="339"/>
      <c r="AO22" s="339"/>
      <c r="AP22" s="339"/>
      <c r="AQ22" s="339"/>
      <c r="AR22" s="339"/>
      <c r="AS22" s="339"/>
      <c r="AT22" s="339"/>
      <c r="AU22" s="339"/>
    </row>
    <row r="23" spans="1:47">
      <c r="A23" s="584" t="s">
        <v>20</v>
      </c>
      <c r="B23" s="404" t="s">
        <v>1075</v>
      </c>
      <c r="C23" s="408"/>
      <c r="D23" s="409">
        <v>42234</v>
      </c>
      <c r="E23" s="408"/>
      <c r="F23" s="408"/>
      <c r="G23" s="409">
        <v>46037</v>
      </c>
      <c r="H23" s="348"/>
      <c r="I23" s="354">
        <f>I50</f>
        <v>250000000</v>
      </c>
      <c r="J23" s="354"/>
      <c r="K23" s="344">
        <f t="shared" si="4"/>
        <v>247086511.59</v>
      </c>
      <c r="L23" s="354"/>
      <c r="M23" s="416">
        <v>249148859.94648698</v>
      </c>
      <c r="N23" s="408"/>
      <c r="O23" s="413">
        <v>12</v>
      </c>
      <c r="P23" s="355"/>
      <c r="Q23" s="346">
        <f>M23*O23/12</f>
        <v>249148859.94648698</v>
      </c>
      <c r="R23" s="355"/>
      <c r="S23" s="347">
        <f t="shared" si="0"/>
        <v>0.11636853541844236</v>
      </c>
      <c r="U23" s="347">
        <f>Y50</f>
        <v>4.440619198748836E-2</v>
      </c>
      <c r="W23" s="347">
        <f>+S23*U23</f>
        <v>5.1674835250941908E-3</v>
      </c>
      <c r="Y23" s="333"/>
      <c r="AQ23" s="339"/>
      <c r="AS23" s="339"/>
    </row>
    <row r="24" spans="1:47" ht="16.8">
      <c r="A24" s="584" t="s">
        <v>21</v>
      </c>
      <c r="B24" s="404" t="s">
        <v>1155</v>
      </c>
      <c r="C24" s="408"/>
      <c r="D24" s="409">
        <v>44357</v>
      </c>
      <c r="E24" s="408"/>
      <c r="F24" s="408"/>
      <c r="G24" s="409">
        <v>48274</v>
      </c>
      <c r="H24" s="348"/>
      <c r="I24" s="417">
        <f>I51</f>
        <v>500000000</v>
      </c>
      <c r="J24" s="354"/>
      <c r="K24" s="344">
        <f>Q51</f>
        <v>494120954</v>
      </c>
      <c r="L24" s="354"/>
      <c r="M24" s="356">
        <v>494974969.10696959</v>
      </c>
      <c r="N24" s="408"/>
      <c r="O24" s="962">
        <v>12</v>
      </c>
      <c r="P24" s="355"/>
      <c r="Q24" s="357">
        <f>M24*O24/12</f>
        <v>494974969.10696959</v>
      </c>
      <c r="R24" s="355"/>
      <c r="S24" s="358">
        <f>+Q24/$Q$25</f>
        <v>0.23118513259959617</v>
      </c>
      <c r="U24" s="347">
        <f>Y51</f>
        <v>2.8779367069923484E-2</v>
      </c>
      <c r="W24" s="358">
        <f>+S24*U24</f>
        <v>6.6533617921927116E-3</v>
      </c>
      <c r="Y24" s="333"/>
      <c r="AQ24" s="339"/>
      <c r="AS24" s="339"/>
    </row>
    <row r="25" spans="1:47" ht="15.6" thickBot="1">
      <c r="A25" s="343"/>
      <c r="B25" s="403"/>
      <c r="C25" s="348"/>
      <c r="E25" s="348"/>
      <c r="F25" s="348"/>
      <c r="G25" s="334"/>
      <c r="H25" s="348"/>
      <c r="I25" s="359">
        <f>SUM(I19:I24)</f>
        <v>2150000000</v>
      </c>
      <c r="J25" s="359"/>
      <c r="K25" s="359"/>
      <c r="L25" s="359"/>
      <c r="M25" s="359">
        <f>SUM(M19:M24)</f>
        <v>2141032875.0000002</v>
      </c>
      <c r="N25" s="334"/>
      <c r="O25" s="348"/>
      <c r="P25" s="334"/>
      <c r="Q25" s="354">
        <f>SUM(Q19:Q24)</f>
        <v>2141032875</v>
      </c>
      <c r="R25" s="334"/>
      <c r="S25" s="360">
        <f>SUM(S19:S24)</f>
        <v>1</v>
      </c>
      <c r="T25" s="348"/>
      <c r="V25" s="348"/>
      <c r="W25" s="533">
        <f>ROUND(SUM(W19:W24),4)</f>
        <v>4.58E-2</v>
      </c>
      <c r="X25" s="592" t="s">
        <v>307</v>
      </c>
      <c r="Y25" s="333"/>
      <c r="AQ25" s="339"/>
      <c r="AS25" s="339"/>
    </row>
    <row r="26" spans="1:47" ht="15.6" thickTop="1">
      <c r="A26" s="322"/>
      <c r="C26" s="348"/>
      <c r="D26" s="348"/>
      <c r="E26" s="348"/>
      <c r="F26" s="348"/>
      <c r="G26" s="348"/>
      <c r="H26" s="348"/>
      <c r="I26" s="348"/>
      <c r="J26" s="348"/>
      <c r="K26" s="348"/>
      <c r="L26" s="348"/>
      <c r="M26" s="348"/>
      <c r="N26" s="348"/>
      <c r="O26" s="348"/>
      <c r="P26" s="348"/>
      <c r="Q26" s="361"/>
      <c r="R26" s="348"/>
      <c r="S26" s="348"/>
      <c r="T26" s="348"/>
      <c r="U26" s="348"/>
      <c r="V26" s="348"/>
      <c r="W26" s="360"/>
      <c r="X26" s="348"/>
      <c r="Y26" s="362"/>
      <c r="Z26" s="348"/>
      <c r="AA26" s="333"/>
      <c r="AQ26" s="339"/>
      <c r="AS26" s="339"/>
    </row>
    <row r="27" spans="1:47">
      <c r="A27" s="322"/>
      <c r="C27" s="348"/>
      <c r="D27" s="348"/>
      <c r="E27" s="348"/>
      <c r="F27" s="348"/>
      <c r="G27" s="348"/>
      <c r="H27" s="348"/>
      <c r="I27" s="348"/>
      <c r="J27" s="348"/>
      <c r="K27" s="348"/>
      <c r="L27" s="348"/>
      <c r="M27" s="348"/>
      <c r="N27" s="348"/>
      <c r="O27" s="348"/>
      <c r="P27" s="348"/>
      <c r="Q27" s="361"/>
      <c r="R27" s="348"/>
      <c r="S27" s="348"/>
      <c r="T27" s="348"/>
      <c r="U27" s="348"/>
      <c r="V27" s="348"/>
      <c r="W27" s="360"/>
      <c r="X27" s="348"/>
      <c r="Y27" s="362"/>
      <c r="Z27" s="348"/>
      <c r="AQ27" s="339"/>
      <c r="AS27" s="339"/>
    </row>
    <row r="28" spans="1:47">
      <c r="A28" s="322"/>
      <c r="B28" s="180" t="s">
        <v>308</v>
      </c>
      <c r="C28" s="348"/>
      <c r="D28" s="348"/>
      <c r="E28" s="348"/>
      <c r="F28" s="348"/>
      <c r="G28" s="348"/>
      <c r="H28" s="348"/>
      <c r="I28" s="348"/>
      <c r="J28" s="348"/>
      <c r="K28" s="348"/>
      <c r="L28" s="348"/>
      <c r="M28" s="348"/>
      <c r="N28" s="348"/>
      <c r="O28" s="348"/>
      <c r="P28" s="348"/>
      <c r="Q28" s="348"/>
      <c r="R28" s="348"/>
      <c r="S28" s="348"/>
      <c r="T28" s="348"/>
      <c r="U28" s="348"/>
      <c r="V28" s="348"/>
      <c r="W28" s="360"/>
      <c r="X28" s="348"/>
      <c r="Y28" s="362"/>
      <c r="Z28" s="348"/>
      <c r="AQ28" s="339"/>
      <c r="AS28" s="339"/>
    </row>
    <row r="29" spans="1:47">
      <c r="A29" s="322"/>
      <c r="B29" s="180" t="s">
        <v>309</v>
      </c>
      <c r="C29" s="348"/>
      <c r="D29" s="348"/>
      <c r="E29" s="348"/>
      <c r="F29" s="348"/>
      <c r="G29" s="348"/>
      <c r="H29" s="348"/>
      <c r="I29" s="348"/>
      <c r="J29" s="348"/>
      <c r="K29" s="348"/>
      <c r="L29" s="348"/>
      <c r="M29" s="348"/>
      <c r="N29" s="348"/>
      <c r="O29" s="348"/>
      <c r="P29" s="348"/>
      <c r="Q29" s="348"/>
      <c r="R29" s="348"/>
      <c r="S29" s="348"/>
      <c r="T29" s="348"/>
      <c r="U29" s="348"/>
      <c r="V29" s="348"/>
      <c r="W29" s="360"/>
      <c r="X29" s="348"/>
      <c r="Y29" s="362"/>
      <c r="Z29" s="348"/>
      <c r="AQ29" s="339"/>
      <c r="AS29" s="339"/>
    </row>
    <row r="30" spans="1:47">
      <c r="A30" s="322"/>
      <c r="B30" s="401" t="s">
        <v>310</v>
      </c>
      <c r="C30" s="348"/>
      <c r="D30" s="348"/>
      <c r="E30" s="348"/>
      <c r="F30" s="348"/>
      <c r="G30" s="348"/>
      <c r="H30" s="348"/>
      <c r="I30" s="348"/>
      <c r="J30" s="348"/>
      <c r="K30" s="348"/>
      <c r="L30" s="348"/>
      <c r="M30" s="348"/>
      <c r="N30" s="348"/>
      <c r="O30" s="348"/>
      <c r="P30" s="348"/>
      <c r="Q30" s="348"/>
      <c r="R30" s="348"/>
      <c r="S30" s="348"/>
      <c r="T30" s="348"/>
      <c r="U30" s="348"/>
      <c r="V30" s="348"/>
      <c r="W30" s="348"/>
      <c r="X30" s="348"/>
      <c r="Y30" s="362"/>
      <c r="Z30" s="348"/>
    </row>
    <row r="31" spans="1:47">
      <c r="A31" s="322"/>
      <c r="B31" s="401" t="s">
        <v>311</v>
      </c>
      <c r="C31" s="348"/>
      <c r="D31" s="348"/>
      <c r="E31" s="348"/>
      <c r="F31" s="348"/>
      <c r="G31" s="348"/>
      <c r="H31" s="348"/>
      <c r="I31" s="348"/>
      <c r="J31" s="348"/>
      <c r="K31" s="348"/>
      <c r="L31" s="348"/>
      <c r="M31" s="348"/>
      <c r="N31" s="348"/>
      <c r="O31" s="348"/>
      <c r="P31" s="348"/>
      <c r="Q31" s="348"/>
      <c r="R31" s="348"/>
      <c r="S31" s="348"/>
      <c r="T31" s="348"/>
      <c r="U31" s="348"/>
      <c r="V31" s="348"/>
      <c r="W31" s="348"/>
      <c r="X31" s="348"/>
      <c r="Y31" s="362"/>
      <c r="Z31" s="348"/>
    </row>
    <row r="32" spans="1:47">
      <c r="A32" s="363"/>
      <c r="B32" s="402" t="s">
        <v>312</v>
      </c>
      <c r="C32" s="364"/>
      <c r="D32" s="364"/>
      <c r="E32" s="364"/>
      <c r="F32" s="364"/>
      <c r="G32" s="364"/>
      <c r="H32" s="364"/>
      <c r="I32" s="364"/>
      <c r="J32" s="364"/>
      <c r="K32" s="364"/>
      <c r="L32" s="364"/>
      <c r="M32" s="364"/>
      <c r="N32" s="364"/>
      <c r="O32" s="364"/>
      <c r="P32" s="364"/>
      <c r="Q32" s="364"/>
      <c r="R32" s="364"/>
      <c r="S32" s="364"/>
      <c r="T32" s="364"/>
      <c r="U32" s="364"/>
      <c r="V32" s="364"/>
      <c r="W32" s="364"/>
      <c r="X32" s="364"/>
      <c r="Y32" s="365"/>
      <c r="Z32" s="348"/>
    </row>
    <row r="33" spans="1:43">
      <c r="A33" s="363"/>
      <c r="B33" s="402" t="s">
        <v>928</v>
      </c>
      <c r="C33" s="364"/>
      <c r="D33" s="364"/>
      <c r="E33" s="364"/>
      <c r="F33" s="364"/>
      <c r="G33" s="364"/>
      <c r="H33" s="364"/>
      <c r="I33" s="364"/>
      <c r="J33" s="364"/>
      <c r="K33" s="364"/>
      <c r="L33" s="364"/>
      <c r="M33" s="364"/>
      <c r="N33" s="364"/>
      <c r="O33" s="364"/>
      <c r="P33" s="364"/>
      <c r="Q33" s="364"/>
      <c r="R33" s="364"/>
      <c r="S33" s="364"/>
      <c r="T33" s="364"/>
      <c r="U33" s="364"/>
      <c r="V33" s="364"/>
      <c r="W33" s="364"/>
      <c r="X33" s="364"/>
      <c r="Y33" s="365"/>
      <c r="Z33" s="348"/>
    </row>
    <row r="34" spans="1:43">
      <c r="B34" s="360"/>
      <c r="C34" s="348"/>
      <c r="D34" s="348"/>
      <c r="E34" s="348"/>
      <c r="F34" s="348"/>
      <c r="G34" s="348"/>
      <c r="H34" s="348"/>
      <c r="I34" s="348"/>
      <c r="J34" s="348"/>
      <c r="K34" s="348"/>
      <c r="L34" s="348"/>
      <c r="M34" s="348"/>
      <c r="N34" s="348"/>
      <c r="O34" s="348"/>
      <c r="P34" s="348"/>
      <c r="Q34" s="348"/>
      <c r="R34" s="348"/>
      <c r="S34" s="348"/>
      <c r="T34" s="348"/>
      <c r="U34" s="348"/>
      <c r="V34" s="348"/>
      <c r="W34" s="348"/>
      <c r="X34" s="348"/>
      <c r="Y34" s="348"/>
      <c r="Z34" s="348"/>
    </row>
    <row r="35" spans="1:43">
      <c r="B35" s="360"/>
      <c r="C35" s="348"/>
      <c r="D35" s="348"/>
      <c r="E35" s="348"/>
      <c r="F35" s="348"/>
      <c r="G35" s="348"/>
      <c r="H35" s="348"/>
      <c r="I35" s="348"/>
      <c r="J35" s="348"/>
      <c r="K35" s="348"/>
      <c r="L35" s="348"/>
      <c r="M35" s="348"/>
      <c r="N35" s="348"/>
      <c r="O35" s="348"/>
      <c r="P35" s="348"/>
      <c r="Q35" s="348"/>
      <c r="R35" s="348"/>
      <c r="S35" s="348"/>
      <c r="T35" s="348"/>
      <c r="U35" s="348"/>
      <c r="V35" s="348"/>
      <c r="W35" s="348"/>
      <c r="X35" s="348"/>
      <c r="Y35" s="348"/>
      <c r="Z35" s="348"/>
    </row>
    <row r="36" spans="1:43" ht="15.6">
      <c r="B36" s="181"/>
      <c r="C36" s="348"/>
      <c r="D36" s="348"/>
      <c r="E36" s="348"/>
      <c r="F36" s="348"/>
      <c r="G36" s="348"/>
      <c r="H36" s="348"/>
      <c r="I36" s="348"/>
      <c r="J36" s="348"/>
      <c r="K36" s="348"/>
      <c r="L36" s="348"/>
      <c r="M36" s="348"/>
      <c r="N36" s="348"/>
      <c r="O36" s="348"/>
      <c r="P36" s="348"/>
      <c r="Q36" s="348"/>
      <c r="R36" s="348"/>
      <c r="S36" s="348"/>
      <c r="T36" s="348"/>
      <c r="U36" s="348"/>
      <c r="V36" s="348"/>
      <c r="W36" s="348"/>
      <c r="X36" s="348"/>
      <c r="Y36" s="348"/>
      <c r="Z36" s="364"/>
      <c r="AA36" s="366"/>
    </row>
    <row r="37" spans="1:43" ht="15.6">
      <c r="A37" s="320"/>
      <c r="B37" s="182" t="s">
        <v>313</v>
      </c>
      <c r="C37" s="367"/>
      <c r="D37" s="367"/>
      <c r="E37" s="367"/>
      <c r="F37" s="367"/>
      <c r="G37" s="367"/>
      <c r="H37" s="367"/>
      <c r="I37" s="367"/>
      <c r="J37" s="367"/>
      <c r="K37" s="367"/>
      <c r="L37" s="367"/>
      <c r="M37" s="367"/>
      <c r="N37" s="367"/>
      <c r="O37" s="367"/>
      <c r="P37" s="367"/>
      <c r="Q37" s="368"/>
      <c r="R37" s="367"/>
      <c r="S37" s="367"/>
      <c r="T37" s="367"/>
      <c r="U37" s="367"/>
      <c r="V37" s="367"/>
      <c r="W37" s="367"/>
      <c r="X37" s="348"/>
      <c r="Y37" s="369"/>
    </row>
    <row r="38" spans="1:43" ht="16.2" thickBot="1">
      <c r="A38" s="322"/>
      <c r="B38" s="179"/>
      <c r="C38" s="348"/>
      <c r="D38" s="348"/>
      <c r="E38" s="348"/>
      <c r="F38" s="348"/>
      <c r="G38" s="348"/>
      <c r="H38" s="348"/>
      <c r="I38" s="348"/>
      <c r="J38" s="348"/>
      <c r="K38" s="348"/>
      <c r="L38" s="348"/>
      <c r="M38" s="348"/>
      <c r="N38" s="348"/>
      <c r="O38" s="348"/>
      <c r="P38" s="348"/>
      <c r="Q38" s="362"/>
      <c r="R38" s="348"/>
      <c r="S38" s="348"/>
      <c r="T38" s="348"/>
      <c r="U38" s="348"/>
      <c r="V38" s="348"/>
      <c r="W38" s="348"/>
      <c r="X38" s="348"/>
      <c r="Y38" s="333"/>
    </row>
    <row r="39" spans="1:43" ht="16.2" thickBot="1">
      <c r="A39" s="322"/>
      <c r="B39" s="325" t="s">
        <v>284</v>
      </c>
      <c r="C39" s="326">
        <f>C9</f>
        <v>44926</v>
      </c>
      <c r="D39" s="348"/>
      <c r="E39" s="348"/>
      <c r="F39" s="348"/>
      <c r="G39" s="348"/>
      <c r="H39" s="348"/>
      <c r="I39" s="348"/>
      <c r="J39" s="348"/>
      <c r="K39" s="348"/>
      <c r="L39" s="348"/>
      <c r="M39" s="348"/>
      <c r="N39" s="348"/>
      <c r="O39" s="348"/>
      <c r="P39" s="348"/>
      <c r="Q39" s="362"/>
      <c r="R39" s="348"/>
      <c r="S39" s="348"/>
      <c r="T39" s="348"/>
      <c r="U39" s="348"/>
      <c r="V39" s="348"/>
      <c r="W39" s="348"/>
      <c r="X39" s="348"/>
      <c r="Y39" s="333"/>
    </row>
    <row r="40" spans="1:43" s="178" customFormat="1" ht="15.6">
      <c r="A40" s="328"/>
      <c r="D40" s="329" t="s">
        <v>314</v>
      </c>
      <c r="G40" s="329" t="s">
        <v>315</v>
      </c>
      <c r="I40" s="329" t="s">
        <v>316</v>
      </c>
      <c r="K40" s="329" t="s">
        <v>317</v>
      </c>
      <c r="M40" s="329" t="s">
        <v>318</v>
      </c>
      <c r="O40" s="329" t="s">
        <v>319</v>
      </c>
      <c r="Q40" s="330" t="s">
        <v>320</v>
      </c>
      <c r="S40" s="329" t="s">
        <v>321</v>
      </c>
      <c r="U40" s="329" t="s">
        <v>322</v>
      </c>
      <c r="W40" s="178" t="s">
        <v>323</v>
      </c>
      <c r="Y40" s="330" t="s">
        <v>324</v>
      </c>
      <c r="AO40" s="370"/>
      <c r="AQ40" s="370"/>
    </row>
    <row r="41" spans="1:43" ht="15.6">
      <c r="A41" s="322"/>
      <c r="B41" s="181"/>
      <c r="K41" s="331" t="s">
        <v>325</v>
      </c>
      <c r="L41" s="331"/>
      <c r="O41" s="331" t="s">
        <v>326</v>
      </c>
      <c r="Q41" s="333"/>
      <c r="S41" s="331" t="s">
        <v>286</v>
      </c>
      <c r="Y41" s="371" t="s">
        <v>327</v>
      </c>
      <c r="Z41" s="331"/>
      <c r="AB41" s="331"/>
      <c r="AC41" s="331"/>
      <c r="AD41" s="331"/>
      <c r="AE41" s="331"/>
    </row>
    <row r="42" spans="1:43">
      <c r="A42" s="322"/>
      <c r="D42" s="331" t="s">
        <v>328</v>
      </c>
      <c r="E42" s="331"/>
      <c r="F42" s="331"/>
      <c r="G42" s="331" t="s">
        <v>329</v>
      </c>
      <c r="H42" s="331"/>
      <c r="I42" s="331" t="s">
        <v>8</v>
      </c>
      <c r="J42" s="331"/>
      <c r="K42" s="331" t="s">
        <v>330</v>
      </c>
      <c r="L42" s="331"/>
      <c r="M42" s="331" t="s">
        <v>331</v>
      </c>
      <c r="N42" s="331"/>
      <c r="O42" s="331" t="s">
        <v>332</v>
      </c>
      <c r="Q42" s="371" t="s">
        <v>286</v>
      </c>
      <c r="R42" s="331"/>
      <c r="S42" s="331" t="s">
        <v>333</v>
      </c>
      <c r="T42" s="331"/>
      <c r="U42" s="331" t="s">
        <v>334</v>
      </c>
      <c r="V42" s="331"/>
      <c r="W42" s="331" t="s">
        <v>335</v>
      </c>
      <c r="X42" s="331"/>
      <c r="Y42" s="371" t="s">
        <v>336</v>
      </c>
      <c r="Z42" s="331"/>
      <c r="AB42" s="331"/>
      <c r="AD42" s="331"/>
      <c r="AE42" s="332"/>
      <c r="AF42" s="331"/>
    </row>
    <row r="43" spans="1:43" ht="15.6">
      <c r="A43" s="322"/>
      <c r="B43" s="179" t="s">
        <v>337</v>
      </c>
      <c r="C43" s="319" t="s">
        <v>338</v>
      </c>
      <c r="D43" s="331" t="s">
        <v>339</v>
      </c>
      <c r="E43" s="337"/>
      <c r="F43" s="337"/>
      <c r="G43" s="331" t="s">
        <v>339</v>
      </c>
      <c r="H43" s="337"/>
      <c r="I43" s="331" t="s">
        <v>340</v>
      </c>
      <c r="J43" s="337"/>
      <c r="K43" s="331" t="s">
        <v>341</v>
      </c>
      <c r="L43" s="337"/>
      <c r="M43" s="331" t="s">
        <v>342</v>
      </c>
      <c r="N43" s="331"/>
      <c r="O43" s="331" t="s">
        <v>343</v>
      </c>
      <c r="Q43" s="371" t="s">
        <v>333</v>
      </c>
      <c r="R43" s="331"/>
      <c r="S43" s="331" t="s">
        <v>344</v>
      </c>
      <c r="T43" s="337"/>
      <c r="U43" s="331" t="s">
        <v>345</v>
      </c>
      <c r="V43" s="337"/>
      <c r="W43" s="331" t="s">
        <v>346</v>
      </c>
      <c r="X43" s="337"/>
      <c r="Y43" s="371" t="s">
        <v>347</v>
      </c>
      <c r="Z43" s="331"/>
      <c r="AB43" s="331"/>
      <c r="AD43" s="331"/>
      <c r="AE43" s="332"/>
      <c r="AF43" s="331"/>
    </row>
    <row r="44" spans="1:43" ht="37.5" customHeight="1">
      <c r="A44" s="322"/>
      <c r="D44" s="331"/>
      <c r="E44" s="337"/>
      <c r="F44" s="337"/>
      <c r="G44" s="331"/>
      <c r="H44" s="337"/>
      <c r="I44" s="331"/>
      <c r="J44" s="337"/>
      <c r="K44" s="331"/>
      <c r="L44" s="337"/>
      <c r="M44" s="331"/>
      <c r="N44" s="331"/>
      <c r="O44" s="331"/>
      <c r="Q44" s="582" t="s">
        <v>1029</v>
      </c>
      <c r="R44" s="331"/>
      <c r="S44" s="951" t="s">
        <v>1043</v>
      </c>
      <c r="T44" s="337"/>
      <c r="U44" s="331" t="s">
        <v>1057</v>
      </c>
      <c r="V44" s="337"/>
      <c r="W44" s="331" t="s">
        <v>1044</v>
      </c>
      <c r="X44" s="337"/>
      <c r="Y44" s="371"/>
      <c r="Z44" s="331"/>
      <c r="AB44" s="331"/>
      <c r="AD44" s="331"/>
      <c r="AE44" s="332"/>
      <c r="AF44" s="331"/>
    </row>
    <row r="45" spans="1:43">
      <c r="A45" s="322"/>
      <c r="B45" s="352"/>
      <c r="D45" s="331"/>
      <c r="E45" s="337"/>
      <c r="F45" s="337"/>
      <c r="G45" s="331"/>
      <c r="H45" s="337"/>
      <c r="I45" s="331"/>
      <c r="J45" s="337"/>
      <c r="K45" s="331"/>
      <c r="L45" s="337"/>
      <c r="M45" s="331"/>
      <c r="N45" s="331"/>
      <c r="O45" s="331"/>
      <c r="Q45" s="372"/>
      <c r="R45" s="331"/>
      <c r="S45" s="331"/>
      <c r="T45" s="337"/>
      <c r="U45" s="331"/>
      <c r="V45" s="337"/>
      <c r="W45" s="331"/>
      <c r="X45" s="337"/>
      <c r="Y45" s="371"/>
      <c r="Z45" s="331"/>
      <c r="AB45" s="331"/>
      <c r="AD45" s="331"/>
      <c r="AE45" s="331"/>
      <c r="AF45" s="331"/>
    </row>
    <row r="46" spans="1:43">
      <c r="A46" s="373" t="str">
        <f t="shared" ref="A46:B51" si="6">A19</f>
        <v>(1)</v>
      </c>
      <c r="B46" s="947" t="str">
        <f t="shared" si="6"/>
        <v>6.40% Series</v>
      </c>
      <c r="C46" s="408"/>
      <c r="D46" s="948">
        <f>D19</f>
        <v>38849</v>
      </c>
      <c r="E46" s="408"/>
      <c r="F46" s="408"/>
      <c r="G46" s="948">
        <f>G19</f>
        <v>49810</v>
      </c>
      <c r="H46" s="408"/>
      <c r="I46" s="345">
        <v>200000000</v>
      </c>
      <c r="J46" s="408"/>
      <c r="K46" s="345">
        <v>-1216000</v>
      </c>
      <c r="L46" s="408"/>
      <c r="M46" s="345">
        <v>2346873</v>
      </c>
      <c r="N46" s="374"/>
      <c r="O46" s="949"/>
      <c r="Q46" s="375">
        <f t="shared" ref="Q46:Q51" si="7">+I46+K46-M46-O46</f>
        <v>196437127</v>
      </c>
      <c r="R46" s="374"/>
      <c r="S46" s="376">
        <f t="shared" ref="S46:S51" si="8">(Q46/I46)*100</f>
        <v>98.218563500000002</v>
      </c>
      <c r="U46" s="954">
        <v>6.4000000000000001E-2</v>
      </c>
      <c r="W46" s="334">
        <f t="shared" ref="W46:W51" si="9">U46*I46</f>
        <v>12800000</v>
      </c>
      <c r="Y46" s="377">
        <f t="shared" ref="Y46:Y51" si="10">YIELD(D46,G46,U46,S46,100,2,0)</f>
        <v>6.5361422441773148E-2</v>
      </c>
      <c r="Z46" s="378"/>
      <c r="AB46" s="378"/>
      <c r="AD46" s="379"/>
      <c r="AE46" s="360"/>
      <c r="AF46" s="360"/>
    </row>
    <row r="47" spans="1:43">
      <c r="A47" s="373" t="str">
        <f t="shared" si="6"/>
        <v>(2)</v>
      </c>
      <c r="B47" s="947" t="str">
        <f t="shared" si="6"/>
        <v>6.15% Series</v>
      </c>
      <c r="C47" s="408"/>
      <c r="D47" s="948">
        <f>D20</f>
        <v>39218</v>
      </c>
      <c r="E47" s="408"/>
      <c r="F47" s="408"/>
      <c r="G47" s="948">
        <f>G20</f>
        <v>50192</v>
      </c>
      <c r="H47" s="408"/>
      <c r="I47" s="345">
        <v>300000000</v>
      </c>
      <c r="J47" s="408"/>
      <c r="K47" s="345">
        <v>-3693000</v>
      </c>
      <c r="L47" s="408"/>
      <c r="M47" s="345">
        <v>327221</v>
      </c>
      <c r="O47" s="950"/>
      <c r="Q47" s="375">
        <f t="shared" si="7"/>
        <v>295979779</v>
      </c>
      <c r="S47" s="376">
        <f t="shared" si="8"/>
        <v>98.659926333333331</v>
      </c>
      <c r="U47" s="954">
        <v>6.1499999999999999E-2</v>
      </c>
      <c r="W47" s="334">
        <f t="shared" si="9"/>
        <v>18450000</v>
      </c>
      <c r="Y47" s="377">
        <f t="shared" si="10"/>
        <v>6.2491237156340793E-2</v>
      </c>
    </row>
    <row r="48" spans="1:43">
      <c r="A48" s="373" t="str">
        <f t="shared" si="6"/>
        <v>(3)</v>
      </c>
      <c r="B48" s="947" t="str">
        <f t="shared" si="6"/>
        <v>4.30% Series</v>
      </c>
      <c r="C48" s="408"/>
      <c r="D48" s="948">
        <f t="shared" ref="D48" si="11">D21</f>
        <v>43504</v>
      </c>
      <c r="E48" s="408"/>
      <c r="F48" s="408"/>
      <c r="G48" s="948">
        <f t="shared" ref="G48" si="12">G21</f>
        <v>46037</v>
      </c>
      <c r="H48" s="408"/>
      <c r="I48" s="345">
        <v>400000000</v>
      </c>
      <c r="J48" s="408"/>
      <c r="K48" s="345">
        <v>5884000</v>
      </c>
      <c r="L48" s="408"/>
      <c r="M48" s="345">
        <v>3020247</v>
      </c>
      <c r="O48" s="950"/>
      <c r="Q48" s="375">
        <f t="shared" si="7"/>
        <v>402863753</v>
      </c>
      <c r="S48" s="376">
        <f t="shared" si="8"/>
        <v>100.71593825000001</v>
      </c>
      <c r="U48" s="954">
        <v>4.2999999999999997E-2</v>
      </c>
      <c r="W48" s="334">
        <f t="shared" si="9"/>
        <v>17200000</v>
      </c>
      <c r="Y48" s="377">
        <f t="shared" si="10"/>
        <v>4.1796158261677333E-2</v>
      </c>
    </row>
    <row r="49" spans="1:33">
      <c r="A49" s="373" t="str">
        <f t="shared" si="6"/>
        <v>(4)</v>
      </c>
      <c r="B49" s="947" t="str">
        <f t="shared" si="6"/>
        <v>4.70% Series</v>
      </c>
      <c r="C49" s="408"/>
      <c r="D49" s="948">
        <f>D22</f>
        <v>41507</v>
      </c>
      <c r="E49" s="408"/>
      <c r="F49" s="408"/>
      <c r="G49" s="948">
        <f>G22</f>
        <v>45383</v>
      </c>
      <c r="H49" s="408"/>
      <c r="I49" s="345">
        <v>500000000</v>
      </c>
      <c r="J49" s="408"/>
      <c r="K49" s="345">
        <v>-2595000</v>
      </c>
      <c r="L49" s="408"/>
      <c r="M49" s="345">
        <v>4207350</v>
      </c>
      <c r="N49" s="380"/>
      <c r="O49" s="949"/>
      <c r="Q49" s="375">
        <f t="shared" si="7"/>
        <v>493197650</v>
      </c>
      <c r="R49" s="380"/>
      <c r="S49" s="376">
        <f t="shared" si="8"/>
        <v>98.639529999999993</v>
      </c>
      <c r="U49" s="954">
        <v>4.7E-2</v>
      </c>
      <c r="W49" s="334">
        <f t="shared" si="9"/>
        <v>23500000</v>
      </c>
      <c r="Y49" s="377">
        <f t="shared" si="10"/>
        <v>4.8650643693493568E-2</v>
      </c>
      <c r="AE49" s="360"/>
    </row>
    <row r="50" spans="1:33">
      <c r="A50" s="373" t="str">
        <f>A23</f>
        <v>(5)</v>
      </c>
      <c r="B50" s="947" t="str">
        <f t="shared" si="6"/>
        <v>4.30% Series</v>
      </c>
      <c r="C50" s="408"/>
      <c r="D50" s="948">
        <f>D23</f>
        <v>42234</v>
      </c>
      <c r="E50" s="408"/>
      <c r="F50" s="408"/>
      <c r="G50" s="948">
        <f>G23</f>
        <v>46037</v>
      </c>
      <c r="H50" s="408"/>
      <c r="I50" s="345">
        <v>250000000</v>
      </c>
      <c r="J50" s="408"/>
      <c r="K50" s="345">
        <v>-800000</v>
      </c>
      <c r="L50" s="408"/>
      <c r="M50" s="345">
        <v>2113488.41</v>
      </c>
      <c r="N50" s="380"/>
      <c r="O50" s="949"/>
      <c r="Q50" s="375">
        <f t="shared" si="7"/>
        <v>247086511.59</v>
      </c>
      <c r="R50" s="380"/>
      <c r="S50" s="376">
        <f t="shared" si="8"/>
        <v>98.834604635999995</v>
      </c>
      <c r="U50" s="954">
        <v>4.2999999999999997E-2</v>
      </c>
      <c r="W50" s="334">
        <f t="shared" si="9"/>
        <v>10750000</v>
      </c>
      <c r="Y50" s="377">
        <f t="shared" si="10"/>
        <v>4.440619198748836E-2</v>
      </c>
      <c r="AE50" s="360"/>
    </row>
    <row r="51" spans="1:33" ht="16.8">
      <c r="A51" s="373" t="str">
        <f>A24</f>
        <v>(6)</v>
      </c>
      <c r="B51" s="947" t="str">
        <f t="shared" si="6"/>
        <v>2.75% Series</v>
      </c>
      <c r="C51" s="408"/>
      <c r="D51" s="948">
        <f>D24</f>
        <v>44357</v>
      </c>
      <c r="E51" s="408"/>
      <c r="F51" s="408"/>
      <c r="G51" s="948">
        <f>G24</f>
        <v>48274</v>
      </c>
      <c r="H51" s="408"/>
      <c r="I51" s="381">
        <v>500000000</v>
      </c>
      <c r="J51" s="408"/>
      <c r="K51" s="381">
        <v>-1370000</v>
      </c>
      <c r="L51" s="408"/>
      <c r="M51" s="381">
        <v>4509046</v>
      </c>
      <c r="N51" s="380"/>
      <c r="O51" s="949"/>
      <c r="Q51" s="561">
        <f t="shared" si="7"/>
        <v>494120954</v>
      </c>
      <c r="R51" s="380"/>
      <c r="S51" s="376">
        <f t="shared" si="8"/>
        <v>98.824190799999997</v>
      </c>
      <c r="U51" s="954">
        <v>2.75E-2</v>
      </c>
      <c r="W51" s="418">
        <f t="shared" si="9"/>
        <v>13750000</v>
      </c>
      <c r="Y51" s="377">
        <f t="shared" si="10"/>
        <v>2.8779367069923484E-2</v>
      </c>
      <c r="AE51" s="360"/>
    </row>
    <row r="52" spans="1:33">
      <c r="A52" s="322"/>
      <c r="B52" s="382" t="s">
        <v>348</v>
      </c>
      <c r="D52" s="383"/>
      <c r="G52" s="384"/>
      <c r="I52" s="385">
        <f>SUM(I46:I51)</f>
        <v>2150000000</v>
      </c>
      <c r="K52" s="380">
        <f>SUM(K46:K51)</f>
        <v>-3790000</v>
      </c>
      <c r="M52" s="385">
        <f>SUM(M46:M51)</f>
        <v>16524225.41</v>
      </c>
      <c r="N52" s="385"/>
      <c r="O52" s="380">
        <f>SUM(O46:O50)</f>
        <v>0</v>
      </c>
      <c r="Q52" s="386">
        <f>SUM(Q46:Q51)</f>
        <v>2129685774.5899999</v>
      </c>
      <c r="R52" s="385"/>
      <c r="W52" s="385">
        <f>SUM(W46:W51)</f>
        <v>96450000</v>
      </c>
      <c r="Y52" s="377"/>
      <c r="AC52" s="379"/>
      <c r="AE52" s="360"/>
    </row>
    <row r="53" spans="1:33">
      <c r="A53" s="322"/>
      <c r="B53" s="180" t="s">
        <v>349</v>
      </c>
      <c r="D53" s="383"/>
      <c r="G53" s="384"/>
      <c r="I53" s="380"/>
      <c r="K53" s="380"/>
      <c r="M53" s="380"/>
      <c r="N53" s="380"/>
      <c r="O53" s="380"/>
      <c r="P53" s="380"/>
      <c r="Q53" s="333"/>
      <c r="U53" s="380"/>
      <c r="W53" s="380"/>
      <c r="Y53" s="387"/>
      <c r="AC53" s="379"/>
      <c r="AE53" s="360"/>
      <c r="AG53" s="334"/>
    </row>
    <row r="54" spans="1:33" ht="16.2">
      <c r="A54" s="363"/>
      <c r="B54" s="402" t="s">
        <v>509</v>
      </c>
      <c r="C54" s="366"/>
      <c r="D54" s="366"/>
      <c r="E54" s="366"/>
      <c r="F54" s="366"/>
      <c r="G54" s="366"/>
      <c r="H54" s="366"/>
      <c r="I54" s="366"/>
      <c r="J54" s="366"/>
      <c r="K54" s="366"/>
      <c r="L54" s="366"/>
      <c r="M54" s="388"/>
      <c r="N54" s="388"/>
      <c r="O54" s="388"/>
      <c r="P54" s="388"/>
      <c r="Q54" s="389"/>
      <c r="R54" s="366"/>
      <c r="S54" s="366"/>
      <c r="T54" s="366"/>
      <c r="U54" s="366"/>
      <c r="V54" s="366"/>
      <c r="W54" s="366"/>
      <c r="X54" s="366"/>
      <c r="Y54" s="390"/>
    </row>
    <row r="55" spans="1:33">
      <c r="A55" s="363"/>
      <c r="B55" s="402"/>
      <c r="C55" s="366"/>
      <c r="D55" s="366"/>
      <c r="E55" s="366"/>
      <c r="F55" s="366"/>
      <c r="G55" s="366"/>
      <c r="H55" s="366"/>
      <c r="I55" s="366"/>
      <c r="J55" s="366"/>
      <c r="K55" s="366"/>
      <c r="L55" s="366"/>
      <c r="M55" s="388"/>
      <c r="N55" s="388"/>
      <c r="O55" s="388"/>
      <c r="P55" s="388"/>
      <c r="Q55" s="389"/>
      <c r="Y55" s="378"/>
    </row>
    <row r="56" spans="1:33">
      <c r="B56" s="360"/>
      <c r="M56" s="391"/>
      <c r="N56" s="391"/>
      <c r="O56" s="391"/>
      <c r="P56" s="391"/>
      <c r="Q56" s="391"/>
      <c r="R56" s="391"/>
      <c r="Y56" s="355"/>
    </row>
    <row r="57" spans="1:33" ht="17.399999999999999">
      <c r="B57" s="392"/>
      <c r="M57" s="393"/>
      <c r="N57" s="393"/>
      <c r="O57" s="393"/>
      <c r="P57" s="393"/>
      <c r="Q57" s="393"/>
      <c r="R57" s="393"/>
      <c r="Y57" s="380"/>
    </row>
    <row r="58" spans="1:33">
      <c r="Y58" s="380"/>
      <c r="AA58" s="355"/>
    </row>
    <row r="59" spans="1:33">
      <c r="D59" s="380"/>
      <c r="G59" s="380"/>
      <c r="M59" s="380"/>
      <c r="N59" s="380"/>
      <c r="O59" s="380"/>
      <c r="P59" s="380"/>
      <c r="Q59" s="380"/>
      <c r="R59" s="380"/>
      <c r="W59" s="394"/>
      <c r="Y59" s="380"/>
    </row>
    <row r="60" spans="1:33">
      <c r="W60" s="394"/>
    </row>
    <row r="61" spans="1:33">
      <c r="D61" s="395"/>
      <c r="G61" s="395"/>
      <c r="M61" s="395"/>
      <c r="N61" s="395"/>
      <c r="O61" s="395"/>
      <c r="P61" s="395"/>
      <c r="Q61" s="395"/>
      <c r="R61" s="395"/>
      <c r="W61" s="394"/>
      <c r="Y61" s="395"/>
    </row>
    <row r="62" spans="1:33">
      <c r="B62" s="360"/>
    </row>
    <row r="63" spans="1:33">
      <c r="B63" s="360"/>
    </row>
    <row r="65" spans="2:26">
      <c r="B65" s="396"/>
      <c r="D65" s="374"/>
    </row>
    <row r="66" spans="2:26">
      <c r="B66" s="396"/>
      <c r="D66" s="374"/>
    </row>
    <row r="67" spans="2:26" ht="15.6">
      <c r="B67" s="397"/>
      <c r="C67" s="176"/>
      <c r="D67" s="176"/>
      <c r="E67" s="176"/>
      <c r="F67" s="176"/>
      <c r="G67" s="176"/>
      <c r="H67" s="176"/>
      <c r="I67" s="176"/>
      <c r="J67" s="176"/>
      <c r="K67" s="176"/>
    </row>
    <row r="68" spans="2:26">
      <c r="D68" s="331"/>
      <c r="G68" s="331"/>
      <c r="I68" s="331"/>
      <c r="K68" s="331"/>
    </row>
    <row r="69" spans="2:26">
      <c r="D69" s="331"/>
      <c r="G69" s="331"/>
      <c r="I69" s="331"/>
      <c r="K69" s="331"/>
    </row>
    <row r="70" spans="2:26">
      <c r="D70" s="374"/>
      <c r="G70" s="398"/>
      <c r="I70" s="398"/>
      <c r="K70" s="398"/>
    </row>
    <row r="71" spans="2:26">
      <c r="D71" s="374"/>
      <c r="G71" s="398"/>
      <c r="I71" s="398"/>
    </row>
    <row r="72" spans="2:26">
      <c r="D72" s="374"/>
      <c r="G72" s="398"/>
      <c r="I72" s="398"/>
      <c r="K72" s="398"/>
    </row>
    <row r="73" spans="2:26">
      <c r="D73" s="374"/>
      <c r="G73" s="398"/>
      <c r="I73" s="398"/>
    </row>
    <row r="74" spans="2:26">
      <c r="D74" s="374"/>
      <c r="G74" s="398"/>
      <c r="I74" s="398"/>
      <c r="K74" s="398"/>
    </row>
    <row r="75" spans="2:26">
      <c r="D75" s="374"/>
      <c r="G75" s="398"/>
      <c r="I75" s="398"/>
    </row>
    <row r="76" spans="2:26" ht="15.6">
      <c r="D76" s="374"/>
      <c r="G76" s="398"/>
      <c r="K76" s="398"/>
      <c r="L76" s="176"/>
      <c r="M76" s="176"/>
      <c r="N76" s="176"/>
      <c r="O76" s="176"/>
      <c r="P76" s="176"/>
      <c r="Q76" s="176"/>
      <c r="R76" s="176"/>
      <c r="S76" s="176"/>
      <c r="T76" s="176"/>
      <c r="U76" s="176"/>
      <c r="V76" s="176"/>
      <c r="W76" s="176"/>
      <c r="X76" s="176"/>
      <c r="Y76" s="176"/>
      <c r="Z76" s="176"/>
    </row>
    <row r="77" spans="2:26" ht="15.6">
      <c r="D77" s="374"/>
      <c r="G77" s="398"/>
      <c r="K77" s="398"/>
      <c r="L77" s="176"/>
      <c r="M77" s="176"/>
      <c r="N77" s="176"/>
      <c r="O77" s="176"/>
      <c r="P77" s="176"/>
      <c r="Q77" s="176"/>
      <c r="R77" s="176"/>
      <c r="S77" s="176"/>
      <c r="T77" s="176"/>
      <c r="U77" s="176"/>
      <c r="V77" s="176"/>
      <c r="W77" s="176"/>
      <c r="X77" s="176"/>
      <c r="Y77" s="176"/>
      <c r="Z77" s="176"/>
    </row>
    <row r="78" spans="2:26" ht="15.6">
      <c r="D78" s="374"/>
      <c r="G78" s="398"/>
      <c r="K78" s="398"/>
      <c r="L78" s="176"/>
      <c r="M78" s="176"/>
      <c r="N78" s="176"/>
      <c r="O78" s="176"/>
      <c r="P78" s="176"/>
      <c r="Q78" s="176"/>
      <c r="R78" s="176"/>
      <c r="S78" s="176"/>
      <c r="T78" s="176"/>
      <c r="U78" s="176"/>
      <c r="V78" s="176"/>
      <c r="W78" s="176"/>
      <c r="X78" s="176"/>
      <c r="Y78" s="176"/>
      <c r="Z78" s="176"/>
    </row>
    <row r="79" spans="2:26" ht="15.6">
      <c r="D79" s="374"/>
      <c r="G79" s="398"/>
      <c r="K79" s="398"/>
      <c r="L79" s="176"/>
      <c r="M79" s="176"/>
      <c r="N79" s="176"/>
      <c r="O79" s="176"/>
      <c r="P79" s="176"/>
      <c r="Q79" s="176"/>
      <c r="R79" s="176"/>
      <c r="S79" s="176"/>
      <c r="T79" s="176"/>
      <c r="U79" s="176"/>
      <c r="V79" s="176"/>
      <c r="W79" s="176"/>
      <c r="X79" s="176"/>
      <c r="Y79" s="176"/>
      <c r="Z79" s="176"/>
    </row>
    <row r="80" spans="2:26" ht="15.6">
      <c r="B80" s="176"/>
      <c r="C80" s="176"/>
      <c r="D80" s="176"/>
      <c r="E80" s="176"/>
      <c r="F80" s="176"/>
      <c r="G80" s="176"/>
      <c r="H80" s="176"/>
      <c r="I80" s="176"/>
      <c r="J80" s="176"/>
      <c r="K80" s="176"/>
      <c r="L80" s="176"/>
      <c r="M80" s="176"/>
      <c r="N80" s="176"/>
      <c r="O80" s="176"/>
      <c r="P80" s="176"/>
      <c r="Q80" s="176"/>
      <c r="R80" s="176"/>
      <c r="S80" s="176"/>
      <c r="T80" s="176"/>
      <c r="U80" s="176"/>
      <c r="V80" s="176"/>
      <c r="W80" s="176"/>
      <c r="X80" s="176"/>
      <c r="Y80" s="176"/>
      <c r="Z80" s="176"/>
    </row>
    <row r="81" spans="2:26" ht="15.6">
      <c r="B81" s="175"/>
    </row>
    <row r="82" spans="2:26" ht="15.6">
      <c r="B82" s="179"/>
      <c r="G82" s="331"/>
      <c r="H82" s="331"/>
      <c r="I82" s="331"/>
      <c r="J82" s="331"/>
      <c r="K82" s="331"/>
      <c r="L82" s="331"/>
      <c r="M82" s="331"/>
      <c r="N82" s="331"/>
      <c r="O82" s="331"/>
      <c r="P82" s="331"/>
      <c r="Q82" s="331"/>
      <c r="R82" s="331"/>
      <c r="S82" s="331"/>
      <c r="T82" s="331"/>
      <c r="U82" s="331"/>
      <c r="V82" s="331"/>
    </row>
    <row r="83" spans="2:26">
      <c r="D83" s="331"/>
      <c r="E83" s="331"/>
      <c r="F83" s="331"/>
      <c r="G83" s="331"/>
      <c r="H83" s="331"/>
      <c r="I83" s="331"/>
      <c r="J83" s="331"/>
      <c r="K83" s="331"/>
      <c r="L83" s="331"/>
      <c r="M83" s="331"/>
      <c r="N83" s="331"/>
      <c r="O83" s="331"/>
      <c r="P83" s="331"/>
      <c r="Q83" s="331"/>
      <c r="R83" s="331"/>
      <c r="S83" s="331"/>
      <c r="T83" s="331"/>
      <c r="U83" s="331"/>
      <c r="V83" s="331"/>
      <c r="W83" s="331"/>
      <c r="Y83" s="331"/>
      <c r="Z83" s="331"/>
    </row>
    <row r="84" spans="2:26">
      <c r="B84" s="341"/>
      <c r="D84" s="331"/>
      <c r="E84" s="331"/>
      <c r="F84" s="331"/>
      <c r="G84" s="331"/>
      <c r="H84" s="331"/>
      <c r="I84" s="331"/>
      <c r="J84" s="331"/>
      <c r="K84" s="331"/>
      <c r="L84" s="331"/>
      <c r="M84" s="331"/>
      <c r="N84" s="331"/>
      <c r="O84" s="331"/>
      <c r="P84" s="331"/>
      <c r="Q84" s="331"/>
      <c r="R84" s="331"/>
      <c r="S84" s="331"/>
      <c r="T84" s="331"/>
      <c r="U84" s="331"/>
      <c r="V84" s="331"/>
      <c r="W84" s="331"/>
      <c r="Y84" s="331"/>
      <c r="Z84" s="331"/>
    </row>
    <row r="85" spans="2:26">
      <c r="B85" s="341"/>
      <c r="D85" s="331"/>
      <c r="E85" s="331"/>
      <c r="F85" s="331"/>
      <c r="G85" s="331"/>
      <c r="H85" s="331"/>
      <c r="I85" s="331"/>
      <c r="J85" s="331"/>
      <c r="K85" s="331"/>
      <c r="L85" s="331"/>
      <c r="M85" s="331"/>
      <c r="N85" s="331"/>
      <c r="O85" s="331"/>
      <c r="P85" s="331"/>
      <c r="Q85" s="331"/>
      <c r="R85" s="331"/>
      <c r="S85" s="331"/>
      <c r="T85" s="331"/>
      <c r="U85" s="331"/>
      <c r="V85" s="331"/>
      <c r="W85" s="331"/>
      <c r="Y85" s="331"/>
      <c r="Z85" s="331"/>
    </row>
    <row r="86" spans="2:26">
      <c r="B86" s="360"/>
      <c r="D86" s="334"/>
      <c r="E86" s="334"/>
      <c r="F86" s="334"/>
      <c r="G86" s="334"/>
      <c r="H86" s="348"/>
      <c r="I86" s="334"/>
      <c r="J86" s="348"/>
      <c r="K86" s="348"/>
      <c r="L86" s="348"/>
      <c r="M86" s="348"/>
      <c r="N86" s="348"/>
      <c r="O86" s="348"/>
      <c r="P86" s="348"/>
      <c r="Q86" s="348"/>
      <c r="R86" s="348"/>
      <c r="W86" s="360"/>
      <c r="Y86" s="348"/>
      <c r="Z86" s="331"/>
    </row>
    <row r="87" spans="2:26">
      <c r="B87" s="360"/>
      <c r="D87" s="334"/>
      <c r="E87" s="334"/>
      <c r="F87" s="334"/>
      <c r="G87" s="334"/>
      <c r="H87" s="348"/>
      <c r="I87" s="334"/>
      <c r="J87" s="348"/>
      <c r="K87" s="348"/>
      <c r="L87" s="348"/>
      <c r="M87" s="348"/>
      <c r="N87" s="348"/>
      <c r="O87" s="348"/>
      <c r="P87" s="348"/>
      <c r="Q87" s="348"/>
      <c r="R87" s="348"/>
      <c r="W87" s="360"/>
      <c r="Y87" s="348"/>
      <c r="Z87" s="331"/>
    </row>
    <row r="88" spans="2:26">
      <c r="B88" s="360"/>
      <c r="D88" s="334"/>
      <c r="E88" s="334"/>
      <c r="F88" s="334"/>
      <c r="G88" s="334"/>
      <c r="H88" s="348"/>
      <c r="I88" s="334"/>
      <c r="J88" s="348"/>
      <c r="K88" s="348"/>
      <c r="L88" s="348"/>
      <c r="M88" s="348"/>
      <c r="N88" s="348"/>
      <c r="O88" s="348"/>
      <c r="P88" s="348"/>
      <c r="Q88" s="348"/>
      <c r="R88" s="348"/>
      <c r="W88" s="360"/>
      <c r="Y88" s="348"/>
      <c r="Z88" s="331"/>
    </row>
    <row r="89" spans="2:26">
      <c r="B89" s="327"/>
      <c r="D89" s="334"/>
      <c r="E89" s="334"/>
      <c r="F89" s="334"/>
      <c r="G89" s="334"/>
      <c r="H89" s="348"/>
      <c r="I89" s="334"/>
      <c r="J89" s="348"/>
      <c r="K89" s="348"/>
      <c r="L89" s="348"/>
      <c r="M89" s="348"/>
      <c r="N89" s="348"/>
      <c r="O89" s="348"/>
      <c r="P89" s="348"/>
      <c r="Q89" s="348"/>
      <c r="R89" s="348"/>
      <c r="W89" s="360"/>
      <c r="Y89" s="348"/>
      <c r="Z89" s="331"/>
    </row>
    <row r="90" spans="2:26">
      <c r="B90" s="327"/>
      <c r="D90" s="334"/>
      <c r="E90" s="334"/>
      <c r="F90" s="334"/>
      <c r="G90" s="334"/>
      <c r="H90" s="348"/>
      <c r="I90" s="334"/>
      <c r="J90" s="348"/>
      <c r="K90" s="348"/>
      <c r="L90" s="348"/>
      <c r="M90" s="348"/>
      <c r="N90" s="348"/>
      <c r="O90" s="348"/>
      <c r="P90" s="348"/>
      <c r="Q90" s="348"/>
      <c r="R90" s="348"/>
      <c r="W90" s="360"/>
      <c r="Y90" s="348"/>
      <c r="Z90" s="331"/>
    </row>
    <row r="91" spans="2:26">
      <c r="B91" s="352"/>
      <c r="D91" s="334"/>
      <c r="E91" s="334"/>
      <c r="F91" s="334"/>
      <c r="G91" s="334"/>
      <c r="H91" s="348"/>
      <c r="I91" s="334"/>
      <c r="J91" s="348"/>
      <c r="K91" s="348"/>
      <c r="L91" s="348"/>
      <c r="M91" s="348"/>
      <c r="N91" s="348"/>
      <c r="O91" s="348"/>
      <c r="P91" s="348"/>
      <c r="Q91" s="348"/>
      <c r="R91" s="348"/>
      <c r="W91" s="360"/>
      <c r="Y91" s="348"/>
      <c r="Z91" s="331"/>
    </row>
    <row r="92" spans="2:26">
      <c r="B92" s="360"/>
      <c r="D92" s="334"/>
      <c r="E92" s="334"/>
      <c r="F92" s="334"/>
      <c r="G92" s="334"/>
      <c r="H92" s="348"/>
      <c r="I92" s="334"/>
      <c r="J92" s="348"/>
      <c r="K92" s="348"/>
      <c r="L92" s="348"/>
      <c r="M92" s="348"/>
      <c r="N92" s="348"/>
      <c r="O92" s="348"/>
      <c r="P92" s="348"/>
      <c r="Q92" s="348"/>
      <c r="R92" s="348"/>
      <c r="W92" s="360"/>
      <c r="Y92" s="348"/>
      <c r="Z92" s="331"/>
    </row>
    <row r="93" spans="2:26">
      <c r="B93" s="360"/>
      <c r="D93" s="334"/>
      <c r="E93" s="334"/>
      <c r="F93" s="334"/>
      <c r="G93" s="334"/>
      <c r="H93" s="348"/>
      <c r="I93" s="334"/>
      <c r="J93" s="348"/>
      <c r="K93" s="348"/>
      <c r="L93" s="348"/>
      <c r="M93" s="348"/>
      <c r="N93" s="348"/>
      <c r="O93" s="348"/>
      <c r="P93" s="348"/>
      <c r="Q93" s="348"/>
      <c r="R93" s="348"/>
      <c r="W93" s="360"/>
      <c r="Y93" s="348"/>
      <c r="Z93" s="331"/>
    </row>
    <row r="94" spans="2:26">
      <c r="B94" s="360"/>
      <c r="D94" s="334"/>
      <c r="E94" s="334"/>
      <c r="F94" s="334"/>
      <c r="G94" s="334"/>
      <c r="H94" s="348"/>
      <c r="I94" s="334"/>
      <c r="J94" s="348"/>
      <c r="K94" s="348"/>
      <c r="L94" s="348"/>
      <c r="M94" s="348"/>
      <c r="N94" s="348"/>
      <c r="O94" s="348"/>
      <c r="P94" s="348"/>
      <c r="Q94" s="348"/>
      <c r="R94" s="348"/>
      <c r="W94" s="360"/>
      <c r="Y94" s="348"/>
      <c r="Z94" s="331"/>
    </row>
    <row r="95" spans="2:26">
      <c r="B95" s="360"/>
      <c r="D95" s="334"/>
      <c r="E95" s="334"/>
      <c r="F95" s="334"/>
      <c r="G95" s="334"/>
      <c r="H95" s="348"/>
      <c r="I95" s="334"/>
      <c r="J95" s="348"/>
      <c r="K95" s="348"/>
      <c r="L95" s="348"/>
      <c r="M95" s="348"/>
      <c r="N95" s="348"/>
      <c r="O95" s="348"/>
      <c r="P95" s="348"/>
      <c r="Q95" s="348"/>
      <c r="R95" s="348"/>
      <c r="W95" s="360"/>
      <c r="Y95" s="348"/>
      <c r="Z95" s="331"/>
    </row>
    <row r="96" spans="2:26">
      <c r="B96" s="360"/>
      <c r="D96" s="334"/>
      <c r="E96" s="334"/>
      <c r="F96" s="334"/>
      <c r="G96" s="334"/>
      <c r="H96" s="348"/>
      <c r="I96" s="334"/>
      <c r="J96" s="348"/>
      <c r="K96" s="348"/>
      <c r="L96" s="348"/>
      <c r="M96" s="348"/>
      <c r="N96" s="348"/>
      <c r="O96" s="348"/>
      <c r="P96" s="348"/>
      <c r="Q96" s="348"/>
      <c r="R96" s="348"/>
      <c r="W96" s="360"/>
      <c r="Y96" s="348"/>
      <c r="Z96" s="331"/>
    </row>
    <row r="97" spans="2:26">
      <c r="B97" s="360"/>
      <c r="D97" s="334"/>
      <c r="E97" s="334"/>
      <c r="F97" s="334"/>
      <c r="G97" s="334"/>
      <c r="H97" s="348"/>
      <c r="I97" s="334"/>
      <c r="J97" s="348"/>
      <c r="K97" s="348"/>
      <c r="L97" s="348"/>
      <c r="M97" s="348"/>
      <c r="N97" s="348"/>
      <c r="O97" s="348"/>
      <c r="P97" s="348"/>
      <c r="Q97" s="348"/>
      <c r="R97" s="348"/>
      <c r="W97" s="360"/>
      <c r="Y97" s="348"/>
      <c r="Z97" s="331"/>
    </row>
    <row r="98" spans="2:26">
      <c r="B98" s="360"/>
      <c r="D98" s="334"/>
      <c r="E98" s="334"/>
      <c r="F98" s="334"/>
      <c r="G98" s="334"/>
      <c r="H98" s="348"/>
      <c r="I98" s="334"/>
      <c r="J98" s="348"/>
      <c r="K98" s="348"/>
      <c r="L98" s="348"/>
      <c r="M98" s="348"/>
      <c r="N98" s="348"/>
      <c r="O98" s="348"/>
      <c r="P98" s="348"/>
      <c r="Q98" s="348"/>
      <c r="R98" s="348"/>
      <c r="W98" s="360"/>
      <c r="Y98" s="348"/>
      <c r="Z98" s="331"/>
    </row>
    <row r="99" spans="2:26">
      <c r="B99" s="360"/>
      <c r="D99" s="334"/>
      <c r="E99" s="334"/>
      <c r="F99" s="334"/>
      <c r="G99" s="334"/>
      <c r="H99" s="348"/>
      <c r="I99" s="334"/>
      <c r="J99" s="348"/>
      <c r="K99" s="348"/>
      <c r="L99" s="348"/>
      <c r="M99" s="348"/>
      <c r="N99" s="348"/>
      <c r="O99" s="348"/>
      <c r="P99" s="348"/>
      <c r="Q99" s="348"/>
      <c r="R99" s="348"/>
      <c r="W99" s="360"/>
      <c r="Y99" s="348"/>
      <c r="Z99" s="331"/>
    </row>
    <row r="100" spans="2:26">
      <c r="B100" s="360"/>
      <c r="D100" s="334"/>
      <c r="E100" s="334"/>
      <c r="F100" s="334"/>
      <c r="G100" s="334"/>
      <c r="H100" s="348"/>
      <c r="I100" s="334"/>
      <c r="J100" s="348"/>
      <c r="K100" s="348"/>
      <c r="L100" s="348"/>
      <c r="M100" s="348"/>
      <c r="N100" s="348"/>
      <c r="O100" s="348"/>
      <c r="P100" s="348"/>
      <c r="Q100" s="348"/>
      <c r="R100" s="348"/>
      <c r="W100" s="360"/>
      <c r="Y100" s="348"/>
      <c r="Z100" s="331"/>
    </row>
    <row r="101" spans="2:26">
      <c r="B101" s="360"/>
      <c r="D101" s="334"/>
      <c r="E101" s="334"/>
      <c r="F101" s="334"/>
      <c r="G101" s="334"/>
      <c r="H101" s="348"/>
      <c r="I101" s="334"/>
      <c r="J101" s="348"/>
      <c r="K101" s="348"/>
      <c r="L101" s="348"/>
      <c r="M101" s="348"/>
      <c r="N101" s="348"/>
      <c r="O101" s="348"/>
      <c r="P101" s="348"/>
      <c r="Q101" s="348"/>
      <c r="R101" s="348"/>
      <c r="W101" s="360"/>
      <c r="Y101" s="348"/>
      <c r="Z101" s="331"/>
    </row>
    <row r="102" spans="2:26">
      <c r="B102" s="360"/>
      <c r="D102" s="334"/>
      <c r="E102" s="334"/>
      <c r="F102" s="334"/>
      <c r="G102" s="334"/>
      <c r="H102" s="348"/>
      <c r="I102" s="334"/>
      <c r="J102" s="348"/>
      <c r="K102" s="348"/>
      <c r="L102" s="348"/>
      <c r="M102" s="348"/>
      <c r="N102" s="348"/>
      <c r="O102" s="348"/>
      <c r="P102" s="348"/>
      <c r="Q102" s="348"/>
      <c r="R102" s="348"/>
      <c r="W102" s="360"/>
      <c r="Y102" s="348"/>
      <c r="Z102" s="331"/>
    </row>
    <row r="103" spans="2:26">
      <c r="D103" s="334"/>
      <c r="E103" s="334"/>
      <c r="F103" s="334"/>
      <c r="G103" s="334"/>
      <c r="I103" s="334"/>
      <c r="M103" s="348"/>
      <c r="N103" s="348"/>
      <c r="O103" s="348"/>
      <c r="P103" s="348"/>
      <c r="Q103" s="348"/>
      <c r="R103" s="348"/>
    </row>
    <row r="104" spans="2:26">
      <c r="B104" s="348"/>
      <c r="C104" s="348"/>
      <c r="D104" s="334"/>
      <c r="E104" s="334"/>
      <c r="F104" s="334"/>
      <c r="G104" s="334"/>
      <c r="H104" s="348"/>
      <c r="I104" s="334"/>
      <c r="J104" s="348"/>
      <c r="K104" s="334"/>
      <c r="L104" s="348"/>
      <c r="M104" s="348"/>
      <c r="N104" s="348"/>
      <c r="O104" s="348"/>
      <c r="P104" s="348"/>
      <c r="Q104" s="348"/>
      <c r="R104" s="348"/>
      <c r="S104" s="348"/>
      <c r="T104" s="348"/>
      <c r="U104" s="348"/>
      <c r="V104" s="348"/>
      <c r="W104" s="360"/>
      <c r="X104" s="348"/>
      <c r="Y104" s="348"/>
      <c r="Z104" s="348"/>
    </row>
    <row r="105" spans="2:26">
      <c r="B105" s="348"/>
      <c r="C105" s="348"/>
      <c r="D105" s="348"/>
      <c r="E105" s="348"/>
      <c r="F105" s="348"/>
      <c r="G105" s="348"/>
      <c r="H105" s="348"/>
      <c r="I105" s="348"/>
      <c r="J105" s="348"/>
      <c r="K105" s="348"/>
      <c r="L105" s="348"/>
      <c r="M105" s="348"/>
      <c r="N105" s="348"/>
      <c r="O105" s="348"/>
      <c r="P105" s="348"/>
      <c r="Q105" s="348"/>
      <c r="R105" s="348"/>
      <c r="S105" s="348"/>
      <c r="T105" s="348"/>
      <c r="U105" s="348"/>
      <c r="V105" s="348"/>
      <c r="W105" s="360"/>
      <c r="X105" s="348"/>
      <c r="Y105" s="348"/>
      <c r="Z105" s="348"/>
    </row>
    <row r="106" spans="2:26" ht="15.6">
      <c r="B106" s="181"/>
      <c r="C106" s="348"/>
      <c r="D106" s="348"/>
      <c r="E106" s="348"/>
      <c r="F106" s="348"/>
      <c r="G106" s="348"/>
      <c r="H106" s="348"/>
      <c r="I106" s="348"/>
      <c r="J106" s="348"/>
      <c r="K106" s="348"/>
      <c r="L106" s="348"/>
      <c r="M106" s="348"/>
      <c r="N106" s="348"/>
      <c r="O106" s="348"/>
      <c r="P106" s="348"/>
      <c r="Q106" s="348"/>
      <c r="R106" s="348"/>
      <c r="S106" s="348"/>
      <c r="T106" s="348"/>
      <c r="U106" s="348"/>
      <c r="V106" s="348"/>
      <c r="W106" s="348"/>
      <c r="X106" s="348"/>
      <c r="Y106" s="348"/>
      <c r="Z106" s="348"/>
    </row>
    <row r="107" spans="2:26" ht="15.6">
      <c r="B107" s="179"/>
    </row>
    <row r="108" spans="2:26">
      <c r="D108" s="395"/>
      <c r="K108" s="395"/>
      <c r="M108" s="334"/>
      <c r="N108" s="334"/>
      <c r="O108" s="334"/>
      <c r="P108" s="334"/>
      <c r="Q108" s="334"/>
      <c r="R108" s="334"/>
      <c r="W108" s="394"/>
      <c r="Y108" s="334"/>
    </row>
    <row r="109" spans="2:26">
      <c r="D109" s="380"/>
      <c r="K109" s="380"/>
      <c r="M109" s="380"/>
      <c r="N109" s="380"/>
      <c r="O109" s="380"/>
      <c r="P109" s="380"/>
      <c r="Q109" s="380"/>
      <c r="R109" s="380"/>
      <c r="W109" s="394"/>
      <c r="Y109" s="380"/>
    </row>
    <row r="110" spans="2:26">
      <c r="D110" s="380"/>
      <c r="K110" s="380"/>
      <c r="M110" s="380"/>
      <c r="N110" s="380"/>
      <c r="O110" s="380"/>
      <c r="P110" s="380"/>
      <c r="Q110" s="380"/>
      <c r="R110" s="380"/>
      <c r="W110" s="394"/>
      <c r="Y110" s="380"/>
    </row>
    <row r="111" spans="2:26">
      <c r="D111" s="380"/>
      <c r="K111" s="380"/>
      <c r="M111" s="380"/>
      <c r="N111" s="380"/>
      <c r="O111" s="380"/>
      <c r="P111" s="380"/>
      <c r="Q111" s="380"/>
      <c r="R111" s="380"/>
      <c r="W111" s="394"/>
      <c r="Y111" s="380"/>
    </row>
    <row r="112" spans="2:26">
      <c r="D112" s="380"/>
      <c r="K112" s="380"/>
      <c r="M112" s="380"/>
      <c r="N112" s="380"/>
      <c r="O112" s="380"/>
      <c r="P112" s="380"/>
      <c r="Q112" s="380"/>
      <c r="R112" s="380"/>
      <c r="W112" s="394"/>
      <c r="Y112" s="380"/>
    </row>
    <row r="113" spans="2:25">
      <c r="B113" s="360"/>
      <c r="W113" s="394"/>
    </row>
    <row r="114" spans="2:25">
      <c r="B114" s="360"/>
      <c r="D114" s="395"/>
      <c r="K114" s="395"/>
      <c r="M114" s="395"/>
      <c r="N114" s="395"/>
      <c r="O114" s="395"/>
      <c r="P114" s="395"/>
      <c r="Q114" s="395"/>
      <c r="R114" s="395"/>
      <c r="W114" s="394"/>
      <c r="Y114" s="395"/>
    </row>
    <row r="116" spans="2:25" ht="15.6">
      <c r="B116" s="179"/>
    </row>
    <row r="117" spans="2:25" ht="15.6">
      <c r="B117" s="175"/>
    </row>
    <row r="118" spans="2:25">
      <c r="D118" s="374"/>
    </row>
    <row r="119" spans="2:25">
      <c r="D119" s="339"/>
    </row>
    <row r="120" spans="2:25">
      <c r="D120" s="339"/>
    </row>
    <row r="121" spans="2:25">
      <c r="D121" s="399"/>
    </row>
    <row r="122" spans="2:25">
      <c r="D122" s="339"/>
    </row>
    <row r="123" spans="2:25">
      <c r="D123" s="339"/>
    </row>
    <row r="124" spans="2:25">
      <c r="B124" s="396"/>
      <c r="D124" s="374"/>
    </row>
    <row r="125" spans="2:25">
      <c r="B125" s="396"/>
    </row>
    <row r="126" spans="2:25" ht="15.6">
      <c r="C126" s="176"/>
    </row>
    <row r="127" spans="2:25" ht="15.6">
      <c r="B127" s="397"/>
      <c r="D127" s="331"/>
      <c r="G127" s="331"/>
      <c r="I127" s="331"/>
      <c r="K127" s="331"/>
    </row>
    <row r="128" spans="2:25">
      <c r="D128" s="331"/>
      <c r="G128" s="331"/>
      <c r="I128" s="331"/>
      <c r="K128" s="331"/>
    </row>
    <row r="129" spans="4:11">
      <c r="D129" s="374"/>
      <c r="G129" s="360"/>
      <c r="I129" s="360"/>
      <c r="K129" s="400"/>
    </row>
    <row r="130" spans="4:11">
      <c r="D130" s="374"/>
      <c r="G130" s="360"/>
      <c r="I130" s="360"/>
      <c r="K130" s="360"/>
    </row>
    <row r="131" spans="4:11">
      <c r="D131" s="374"/>
      <c r="G131" s="360"/>
      <c r="I131" s="360"/>
      <c r="K131" s="360"/>
    </row>
    <row r="132" spans="4:11">
      <c r="D132" s="374"/>
      <c r="G132" s="360"/>
      <c r="I132" s="360"/>
      <c r="K132" s="360"/>
    </row>
    <row r="133" spans="4:11">
      <c r="D133" s="374"/>
      <c r="G133" s="360"/>
      <c r="I133" s="360"/>
      <c r="K133" s="360"/>
    </row>
    <row r="134" spans="4:11">
      <c r="D134" s="374"/>
      <c r="G134" s="360"/>
      <c r="I134" s="360"/>
      <c r="K134" s="360"/>
    </row>
    <row r="135" spans="4:11">
      <c r="D135" s="374"/>
      <c r="G135" s="360"/>
      <c r="I135" s="360"/>
      <c r="K135" s="360"/>
    </row>
  </sheetData>
  <mergeCells count="1">
    <mergeCell ref="AT12:AU12"/>
  </mergeCells>
  <phoneticPr fontId="114" type="noConversion"/>
  <pageMargins left="0.17" right="0.16" top="1" bottom="1" header="0.5" footer="0.5"/>
  <pageSetup scale="29" orientation="landscape" r:id="rId1"/>
  <headerFooter alignWithMargins="0"/>
  <colBreaks count="1" manualBreakCount="1">
    <brk id="27" max="54"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pageSetUpPr fitToPage="1"/>
  </sheetPr>
  <dimension ref="A1:S287"/>
  <sheetViews>
    <sheetView view="pageBreakPreview" topLeftCell="D1" zoomScale="60" zoomScaleNormal="85" workbookViewId="0">
      <selection activeCell="I76" sqref="I76"/>
    </sheetView>
  </sheetViews>
  <sheetFormatPr defaultColWidth="8.81640625" defaultRowHeight="15"/>
  <cols>
    <col min="1" max="1" width="6" style="159" customWidth="1"/>
    <col min="2" max="2" width="1.453125" style="159" customWidth="1"/>
    <col min="3" max="3" width="62.08984375" style="159" customWidth="1"/>
    <col min="4" max="4" width="33" style="159" customWidth="1"/>
    <col min="5" max="5" width="14.453125" style="159" customWidth="1"/>
    <col min="6" max="6" width="18.26953125" style="159" customWidth="1"/>
    <col min="7" max="7" width="18" style="159" customWidth="1"/>
    <col min="8" max="8" width="15.81640625" style="159" customWidth="1"/>
    <col min="9" max="9" width="14.26953125" style="159" customWidth="1"/>
    <col min="10" max="10" width="12.7265625" style="159" customWidth="1"/>
    <col min="11" max="11" width="15.26953125" style="159" customWidth="1"/>
    <col min="12" max="12" width="15.81640625" style="159" customWidth="1"/>
    <col min="13" max="13" width="18" style="159" customWidth="1"/>
    <col min="14" max="14" width="16.08984375" style="159" customWidth="1"/>
    <col min="15" max="15" width="14.7265625" style="159" customWidth="1"/>
    <col min="16" max="16" width="13.54296875" style="159" customWidth="1"/>
    <col min="17" max="17" width="16.26953125" style="159" customWidth="1"/>
    <col min="18" max="18" width="8.81640625" style="159"/>
    <col min="19" max="19" width="14.26953125" style="159" customWidth="1"/>
    <col min="20" max="16384" width="8.81640625" style="159"/>
  </cols>
  <sheetData>
    <row r="1" spans="1:19">
      <c r="N1" s="199"/>
      <c r="Q1" s="199"/>
      <c r="S1" s="199" t="s">
        <v>458</v>
      </c>
    </row>
    <row r="2" spans="1:19" ht="15.6">
      <c r="G2" s="200"/>
      <c r="N2" s="199"/>
      <c r="Q2" s="199"/>
      <c r="S2" s="199" t="s">
        <v>147</v>
      </c>
    </row>
    <row r="3" spans="1:19">
      <c r="N3" s="199"/>
      <c r="Q3" s="199"/>
      <c r="S3" s="199" t="str">
        <f>'Attachment H-4A JCP&amp;L '!K4</f>
        <v>For the 12 months ended 12/31/2022</v>
      </c>
    </row>
    <row r="5" spans="1:19" ht="15.6">
      <c r="A5" s="1006" t="s">
        <v>511</v>
      </c>
      <c r="B5" s="1006"/>
      <c r="C5" s="1006"/>
      <c r="D5" s="1006"/>
      <c r="E5" s="1006"/>
      <c r="F5" s="1006"/>
      <c r="G5" s="1006"/>
      <c r="H5" s="1006"/>
      <c r="I5" s="1006"/>
      <c r="J5" s="1006"/>
      <c r="K5" s="1006"/>
      <c r="L5" s="1006"/>
      <c r="M5" s="1006"/>
      <c r="N5" s="1006"/>
    </row>
    <row r="6" spans="1:19">
      <c r="A6" s="1007" t="s">
        <v>459</v>
      </c>
      <c r="B6" s="1007"/>
      <c r="C6" s="1007"/>
      <c r="D6" s="1007"/>
      <c r="E6" s="1007"/>
      <c r="F6" s="1007"/>
      <c r="G6" s="1007"/>
      <c r="H6" s="1007"/>
      <c r="I6" s="1007"/>
      <c r="J6" s="1007"/>
      <c r="K6" s="1007"/>
      <c r="L6" s="1007"/>
      <c r="M6" s="1007"/>
      <c r="N6" s="1007"/>
    </row>
    <row r="7" spans="1:19">
      <c r="A7" s="1007"/>
      <c r="B7" s="1007"/>
      <c r="C7" s="1007"/>
      <c r="D7" s="1007"/>
      <c r="E7" s="1007"/>
      <c r="F7" s="1007"/>
      <c r="G7" s="1007"/>
      <c r="H7" s="1007"/>
      <c r="I7" s="1007"/>
      <c r="J7" s="1007"/>
      <c r="K7" s="1007"/>
      <c r="L7" s="1007"/>
    </row>
    <row r="8" spans="1:19">
      <c r="A8" s="201"/>
      <c r="C8" s="160"/>
      <c r="D8" s="160"/>
      <c r="F8" s="160"/>
      <c r="H8" s="160"/>
      <c r="I8" s="160"/>
      <c r="J8" s="160"/>
      <c r="K8" s="160"/>
      <c r="L8" s="160"/>
    </row>
    <row r="9" spans="1:19">
      <c r="A9" s="201"/>
      <c r="C9" s="160"/>
      <c r="D9" s="160"/>
      <c r="E9" s="160"/>
      <c r="F9" s="160"/>
      <c r="G9" s="202"/>
      <c r="H9" s="160"/>
      <c r="I9" s="160"/>
      <c r="J9" s="160"/>
      <c r="K9" s="160"/>
      <c r="L9" s="160"/>
    </row>
    <row r="10" spans="1:19">
      <c r="A10" s="201"/>
      <c r="D10" s="160"/>
      <c r="E10" s="160"/>
      <c r="F10" s="160"/>
      <c r="G10" s="202"/>
      <c r="H10" s="160"/>
      <c r="I10" s="160"/>
      <c r="J10" s="160"/>
      <c r="K10" s="160"/>
      <c r="L10" s="160"/>
    </row>
    <row r="11" spans="1:19">
      <c r="A11" s="201"/>
      <c r="C11" s="160"/>
      <c r="D11" s="160"/>
      <c r="E11" s="819"/>
      <c r="F11" s="160"/>
      <c r="G11" s="202"/>
      <c r="K11" s="1009" t="s">
        <v>425</v>
      </c>
      <c r="L11" s="1010"/>
      <c r="M11" s="1010"/>
      <c r="N11" s="1010"/>
      <c r="O11" s="1010"/>
      <c r="P11" s="1010"/>
      <c r="Q11" s="1010"/>
      <c r="R11" s="1010"/>
      <c r="S11" s="1011"/>
    </row>
    <row r="12" spans="1:19" ht="15.6">
      <c r="A12" s="201"/>
      <c r="C12" s="160"/>
      <c r="D12" s="160"/>
      <c r="E12" s="1012"/>
      <c r="F12" s="1012"/>
      <c r="G12" s="1012"/>
      <c r="K12" s="203"/>
      <c r="L12" s="204"/>
      <c r="S12" s="205"/>
    </row>
    <row r="13" spans="1:19">
      <c r="C13" s="206" t="s">
        <v>16</v>
      </c>
      <c r="D13" s="206"/>
      <c r="E13" s="206" t="s">
        <v>17</v>
      </c>
      <c r="F13" s="206"/>
      <c r="G13" s="206" t="s">
        <v>18</v>
      </c>
      <c r="I13" s="207" t="s">
        <v>19</v>
      </c>
      <c r="K13" s="208" t="s">
        <v>20</v>
      </c>
      <c r="L13" s="207" t="s">
        <v>21</v>
      </c>
      <c r="O13" s="207" t="s">
        <v>273</v>
      </c>
      <c r="Q13" s="207" t="s">
        <v>274</v>
      </c>
      <c r="S13" s="209" t="s">
        <v>275</v>
      </c>
    </row>
    <row r="14" spans="1:19" ht="15.6">
      <c r="C14" s="160"/>
      <c r="D14" s="160"/>
      <c r="E14" s="210"/>
      <c r="F14" s="210"/>
      <c r="G14" s="204"/>
      <c r="K14" s="203"/>
      <c r="S14" s="205"/>
    </row>
    <row r="15" spans="1:19" ht="15.6">
      <c r="A15" s="201" t="s">
        <v>5</v>
      </c>
      <c r="C15" s="160"/>
      <c r="D15" s="160"/>
      <c r="E15" s="211" t="s">
        <v>146</v>
      </c>
      <c r="F15" s="211"/>
      <c r="G15" s="212" t="s">
        <v>22</v>
      </c>
      <c r="I15" s="212" t="s">
        <v>10</v>
      </c>
      <c r="K15" s="213" t="s">
        <v>5</v>
      </c>
      <c r="L15" s="211"/>
      <c r="O15" s="211" t="s">
        <v>146</v>
      </c>
      <c r="Q15" s="211" t="s">
        <v>276</v>
      </c>
      <c r="S15" s="214" t="s">
        <v>10</v>
      </c>
    </row>
    <row r="16" spans="1:19" ht="15.6">
      <c r="A16" s="201" t="s">
        <v>7</v>
      </c>
      <c r="C16" s="215"/>
      <c r="D16" s="215"/>
      <c r="E16" s="204"/>
      <c r="F16" s="204"/>
      <c r="G16" s="204"/>
      <c r="I16" s="204"/>
      <c r="K16" s="213" t="s">
        <v>7</v>
      </c>
      <c r="S16" s="205"/>
    </row>
    <row r="17" spans="1:19" ht="15.6">
      <c r="A17" s="216"/>
      <c r="C17" s="160"/>
      <c r="D17" s="160"/>
      <c r="E17" s="204"/>
      <c r="F17" s="204"/>
      <c r="G17" s="204"/>
      <c r="I17" s="204"/>
      <c r="K17" s="203"/>
      <c r="S17" s="205"/>
    </row>
    <row r="18" spans="1:19">
      <c r="A18" s="217">
        <v>1</v>
      </c>
      <c r="C18" s="160" t="s">
        <v>115</v>
      </c>
      <c r="D18" s="160"/>
      <c r="E18" s="217" t="s">
        <v>460</v>
      </c>
      <c r="F18" s="217"/>
      <c r="G18" s="218">
        <f>'Attachment H-4A JCP&amp;L '!I54</f>
        <v>1837954138.8076925</v>
      </c>
      <c r="K18" s="203"/>
      <c r="S18" s="205"/>
    </row>
    <row r="19" spans="1:19">
      <c r="A19" s="217">
        <v>2</v>
      </c>
      <c r="C19" s="160" t="s">
        <v>116</v>
      </c>
      <c r="D19" s="160"/>
      <c r="E19" s="217" t="s">
        <v>461</v>
      </c>
      <c r="F19" s="217"/>
      <c r="G19" s="218">
        <f>'Attachment H-4A JCP&amp;L '!I68</f>
        <v>1378677843.6883488</v>
      </c>
      <c r="K19" s="203"/>
      <c r="S19" s="205"/>
    </row>
    <row r="20" spans="1:19">
      <c r="A20" s="217"/>
      <c r="E20" s="217"/>
      <c r="F20" s="217"/>
      <c r="K20" s="203"/>
      <c r="S20" s="205"/>
    </row>
    <row r="21" spans="1:19">
      <c r="A21" s="217"/>
      <c r="C21" s="160" t="s">
        <v>117</v>
      </c>
      <c r="D21" s="160"/>
      <c r="E21" s="217"/>
      <c r="F21" s="217"/>
      <c r="G21" s="204"/>
      <c r="I21" s="204"/>
      <c r="K21" s="203"/>
      <c r="S21" s="205"/>
    </row>
    <row r="22" spans="1:19">
      <c r="A22" s="217">
        <v>3</v>
      </c>
      <c r="C22" s="160" t="s">
        <v>118</v>
      </c>
      <c r="D22" s="160"/>
      <c r="E22" s="217" t="s">
        <v>810</v>
      </c>
      <c r="F22" s="217"/>
      <c r="G22" s="218">
        <f>'Attachment H-4A JCP&amp;L '!I124</f>
        <v>71672587.055480421</v>
      </c>
      <c r="K22" s="203"/>
      <c r="S22" s="205"/>
    </row>
    <row r="23" spans="1:19">
      <c r="A23" s="217">
        <v>4</v>
      </c>
      <c r="C23" s="160" t="s">
        <v>119</v>
      </c>
      <c r="D23" s="160"/>
      <c r="E23" s="217" t="s">
        <v>148</v>
      </c>
      <c r="F23" s="217"/>
      <c r="G23" s="219">
        <f>IF(G22=0,0,G22/G18)</f>
        <v>3.8995851714763385E-2</v>
      </c>
      <c r="I23" s="220">
        <f>G23</f>
        <v>3.8995851714763385E-2</v>
      </c>
      <c r="K23" s="203"/>
      <c r="S23" s="205"/>
    </row>
    <row r="24" spans="1:19">
      <c r="A24" s="217"/>
      <c r="C24" s="160"/>
      <c r="D24" s="160"/>
      <c r="E24" s="217"/>
      <c r="F24" s="217"/>
      <c r="G24" s="219"/>
      <c r="I24" s="220"/>
      <c r="K24" s="203"/>
      <c r="S24" s="205"/>
    </row>
    <row r="25" spans="1:19">
      <c r="A25" s="217"/>
      <c r="C25" s="160" t="s">
        <v>790</v>
      </c>
      <c r="D25" s="160"/>
      <c r="E25" s="217"/>
      <c r="F25" s="217"/>
      <c r="G25" s="219"/>
      <c r="I25" s="220"/>
      <c r="K25" s="203"/>
      <c r="S25" s="205"/>
    </row>
    <row r="26" spans="1:19">
      <c r="A26" s="217">
        <v>5</v>
      </c>
      <c r="C26" s="160" t="s">
        <v>769</v>
      </c>
      <c r="D26" s="160"/>
      <c r="E26" s="217" t="s">
        <v>771</v>
      </c>
      <c r="F26" s="217"/>
      <c r="G26" s="218">
        <f>'Attachment H-4A JCP&amp;L '!I128</f>
        <v>1877862.060235264</v>
      </c>
      <c r="I26" s="220"/>
      <c r="K26" s="203"/>
      <c r="S26" s="205"/>
    </row>
    <row r="27" spans="1:19">
      <c r="A27" s="217">
        <v>6</v>
      </c>
      <c r="C27" s="160" t="s">
        <v>770</v>
      </c>
      <c r="D27" s="160"/>
      <c r="E27" s="217" t="s">
        <v>149</v>
      </c>
      <c r="F27" s="217"/>
      <c r="G27" s="219">
        <f>G26/G18</f>
        <v>1.0217132302623505E-3</v>
      </c>
      <c r="I27" s="220">
        <f>G27</f>
        <v>1.0217132302623505E-3</v>
      </c>
      <c r="K27" s="203"/>
      <c r="S27" s="205"/>
    </row>
    <row r="28" spans="1:19">
      <c r="A28" s="217"/>
      <c r="C28" s="160"/>
      <c r="D28" s="160"/>
      <c r="E28" s="217"/>
      <c r="F28" s="217"/>
      <c r="G28" s="219"/>
      <c r="I28" s="220"/>
      <c r="K28" s="203"/>
      <c r="S28" s="205"/>
    </row>
    <row r="29" spans="1:19">
      <c r="A29" s="207"/>
      <c r="C29" s="160" t="s">
        <v>120</v>
      </c>
      <c r="D29" s="160"/>
      <c r="E29" s="221"/>
      <c r="F29" s="221"/>
      <c r="G29" s="204"/>
      <c r="I29" s="219"/>
      <c r="K29" s="203"/>
      <c r="S29" s="205"/>
    </row>
    <row r="30" spans="1:19">
      <c r="A30" s="207" t="s">
        <v>123</v>
      </c>
      <c r="C30" s="160" t="s">
        <v>121</v>
      </c>
      <c r="D30" s="160"/>
      <c r="E30" s="217" t="s">
        <v>811</v>
      </c>
      <c r="F30" s="217"/>
      <c r="G30" s="218">
        <f ca="1">'Attachment H-4A JCP&amp;L '!I132</f>
        <v>1602306.3479800201</v>
      </c>
      <c r="I30" s="219"/>
      <c r="K30" s="203"/>
      <c r="S30" s="205"/>
    </row>
    <row r="31" spans="1:19">
      <c r="A31" s="207" t="s">
        <v>126</v>
      </c>
      <c r="C31" s="160" t="s">
        <v>122</v>
      </c>
      <c r="D31" s="160"/>
      <c r="E31" s="217" t="s">
        <v>247</v>
      </c>
      <c r="F31" s="217"/>
      <c r="G31" s="219">
        <f ca="1">IF(G30=0,0,G30/G18)</f>
        <v>8.7178799195689364E-4</v>
      </c>
      <c r="I31" s="220">
        <f ca="1">G31</f>
        <v>8.7178799195689364E-4</v>
      </c>
      <c r="K31" s="203"/>
      <c r="S31" s="205"/>
    </row>
    <row r="32" spans="1:19">
      <c r="A32" s="207"/>
      <c r="C32" s="160"/>
      <c r="D32" s="160"/>
      <c r="E32" s="217"/>
      <c r="F32" s="217"/>
      <c r="G32" s="219"/>
      <c r="I32" s="220"/>
      <c r="K32" s="203"/>
      <c r="S32" s="205"/>
    </row>
    <row r="33" spans="1:19" ht="15.6">
      <c r="A33" s="222" t="s">
        <v>127</v>
      </c>
      <c r="B33" s="200"/>
      <c r="C33" s="215" t="s">
        <v>124</v>
      </c>
      <c r="D33" s="215"/>
      <c r="E33" s="210" t="s">
        <v>374</v>
      </c>
      <c r="F33" s="210"/>
      <c r="G33" s="223"/>
      <c r="I33" s="224">
        <f ca="1">I23+I27+I31</f>
        <v>4.0889352936982627E-2</v>
      </c>
      <c r="K33" s="203"/>
      <c r="S33" s="205"/>
    </row>
    <row r="34" spans="1:19">
      <c r="A34" s="207"/>
      <c r="C34" s="160"/>
      <c r="D34" s="160"/>
      <c r="E34" s="217"/>
      <c r="F34" s="217"/>
      <c r="G34" s="204"/>
      <c r="I34" s="219"/>
      <c r="K34" s="203"/>
      <c r="S34" s="205"/>
    </row>
    <row r="35" spans="1:19">
      <c r="A35" s="207"/>
      <c r="C35" s="204" t="s">
        <v>125</v>
      </c>
      <c r="D35" s="204"/>
      <c r="E35" s="217"/>
      <c r="F35" s="217"/>
      <c r="G35" s="204"/>
      <c r="I35" s="219"/>
      <c r="K35" s="208"/>
      <c r="L35" s="204" t="s">
        <v>125</v>
      </c>
      <c r="M35" s="204"/>
      <c r="N35" s="204"/>
      <c r="O35" s="217"/>
      <c r="P35" s="217"/>
      <c r="Q35" s="204"/>
      <c r="S35" s="225"/>
    </row>
    <row r="36" spans="1:19">
      <c r="A36" s="207" t="s">
        <v>129</v>
      </c>
      <c r="C36" s="204" t="s">
        <v>47</v>
      </c>
      <c r="D36" s="204"/>
      <c r="E36" s="217" t="s">
        <v>812</v>
      </c>
      <c r="F36" s="217"/>
      <c r="G36" s="218">
        <f ca="1">'Attachment H-4A JCP&amp;L '!I135</f>
        <v>19670096.220969416</v>
      </c>
      <c r="I36" s="219"/>
      <c r="K36" s="208" t="s">
        <v>375</v>
      </c>
      <c r="L36" s="204" t="s">
        <v>47</v>
      </c>
      <c r="M36" s="204"/>
      <c r="N36" s="204"/>
      <c r="O36" s="217" t="s">
        <v>434</v>
      </c>
      <c r="P36" s="217"/>
      <c r="Q36" s="218">
        <f ca="1">'Attachment 2 - Incentive ROE'!I60</f>
        <v>19670096.220969412</v>
      </c>
      <c r="S36" s="225"/>
    </row>
    <row r="37" spans="1:19">
      <c r="A37" s="207" t="s">
        <v>131</v>
      </c>
      <c r="C37" s="204" t="s">
        <v>128</v>
      </c>
      <c r="D37" s="204"/>
      <c r="E37" s="217" t="s">
        <v>472</v>
      </c>
      <c r="F37" s="217"/>
      <c r="G37" s="219">
        <f ca="1">IF(G36=0,0,G36/G19)</f>
        <v>1.4267362249288353E-2</v>
      </c>
      <c r="I37" s="220">
        <f ca="1">G37</f>
        <v>1.4267362249288353E-2</v>
      </c>
      <c r="K37" s="208" t="s">
        <v>376</v>
      </c>
      <c r="L37" s="204" t="s">
        <v>128</v>
      </c>
      <c r="M37" s="204"/>
      <c r="N37" s="204"/>
      <c r="O37" s="217" t="s">
        <v>377</v>
      </c>
      <c r="P37" s="217"/>
      <c r="Q37" s="219">
        <f ca="1">IF(Q36=0,0,Q36/G19)</f>
        <v>1.4267362249288351E-2</v>
      </c>
      <c r="S37" s="226">
        <f ca="1">Q37</f>
        <v>1.4267362249288351E-2</v>
      </c>
    </row>
    <row r="38" spans="1:19">
      <c r="A38" s="207"/>
      <c r="C38" s="204"/>
      <c r="D38" s="204"/>
      <c r="E38" s="217"/>
      <c r="F38" s="217"/>
      <c r="G38" s="204"/>
      <c r="I38" s="219"/>
      <c r="K38" s="208"/>
      <c r="L38" s="204"/>
      <c r="M38" s="204"/>
      <c r="N38" s="204"/>
      <c r="O38" s="217"/>
      <c r="P38" s="217"/>
      <c r="Q38" s="204"/>
      <c r="S38" s="225"/>
    </row>
    <row r="39" spans="1:19">
      <c r="A39" s="207"/>
      <c r="C39" s="160" t="s">
        <v>48</v>
      </c>
      <c r="D39" s="160"/>
      <c r="E39" s="227"/>
      <c r="F39" s="227"/>
      <c r="I39" s="219"/>
      <c r="K39" s="208"/>
      <c r="L39" s="160" t="s">
        <v>48</v>
      </c>
      <c r="M39" s="160"/>
      <c r="N39" s="160"/>
      <c r="O39" s="227"/>
      <c r="P39" s="227"/>
      <c r="S39" s="225"/>
    </row>
    <row r="40" spans="1:19">
      <c r="A40" s="207" t="s">
        <v>133</v>
      </c>
      <c r="C40" s="160" t="s">
        <v>130</v>
      </c>
      <c r="D40" s="160"/>
      <c r="E40" s="217" t="s">
        <v>564</v>
      </c>
      <c r="F40" s="217"/>
      <c r="G40" s="218">
        <f ca="1">'Attachment H-4A JCP&amp;L '!I137</f>
        <v>78042346.384617522</v>
      </c>
      <c r="I40" s="219"/>
      <c r="K40" s="208" t="s">
        <v>270</v>
      </c>
      <c r="L40" s="160" t="s">
        <v>130</v>
      </c>
      <c r="M40" s="160"/>
      <c r="N40" s="160"/>
      <c r="O40" s="217" t="s">
        <v>435</v>
      </c>
      <c r="P40" s="217"/>
      <c r="Q40" s="218">
        <f ca="1">'Attachment 2 - Incentive ROE'!I43</f>
        <v>78042346.384617522</v>
      </c>
      <c r="S40" s="225"/>
    </row>
    <row r="41" spans="1:19">
      <c r="A41" s="207" t="s">
        <v>170</v>
      </c>
      <c r="C41" s="204" t="s">
        <v>132</v>
      </c>
      <c r="D41" s="204"/>
      <c r="E41" s="217" t="s">
        <v>277</v>
      </c>
      <c r="F41" s="217"/>
      <c r="G41" s="220">
        <f ca="1">IF(G40=0,0,G40/G19)</f>
        <v>5.6606658866608331E-2</v>
      </c>
      <c r="I41" s="220">
        <f ca="1">G41</f>
        <v>5.6606658866608331E-2</v>
      </c>
      <c r="K41" s="208" t="s">
        <v>271</v>
      </c>
      <c r="L41" s="204" t="s">
        <v>132</v>
      </c>
      <c r="M41" s="204"/>
      <c r="N41" s="204"/>
      <c r="O41" s="217" t="s">
        <v>278</v>
      </c>
      <c r="P41" s="217"/>
      <c r="Q41" s="220">
        <f ca="1">IF(Q40=0,0,Q40/G19)</f>
        <v>5.6606658866608331E-2</v>
      </c>
      <c r="S41" s="226">
        <f ca="1">Q41</f>
        <v>5.6606658866608331E-2</v>
      </c>
    </row>
    <row r="42" spans="1:19">
      <c r="A42" s="207"/>
      <c r="C42" s="160"/>
      <c r="D42" s="160"/>
      <c r="E42" s="217"/>
      <c r="F42" s="217"/>
      <c r="G42" s="204"/>
      <c r="I42" s="219"/>
      <c r="K42" s="208"/>
      <c r="L42" s="160"/>
      <c r="M42" s="160"/>
      <c r="N42" s="160"/>
      <c r="O42" s="217"/>
      <c r="P42" s="217"/>
      <c r="Q42" s="204"/>
      <c r="S42" s="225"/>
    </row>
    <row r="43" spans="1:19" ht="15.6">
      <c r="A43" s="222" t="s">
        <v>171</v>
      </c>
      <c r="B43" s="200"/>
      <c r="C43" s="215" t="s">
        <v>134</v>
      </c>
      <c r="D43" s="215"/>
      <c r="E43" s="210" t="s">
        <v>380</v>
      </c>
      <c r="F43" s="210"/>
      <c r="G43" s="223"/>
      <c r="I43" s="224">
        <f ca="1">I37+I41</f>
        <v>7.087402111589669E-2</v>
      </c>
      <c r="K43" s="228" t="s">
        <v>272</v>
      </c>
      <c r="L43" s="215" t="s">
        <v>134</v>
      </c>
      <c r="M43" s="215"/>
      <c r="N43" s="215"/>
      <c r="O43" s="210" t="s">
        <v>378</v>
      </c>
      <c r="P43" s="210"/>
      <c r="Q43" s="223"/>
      <c r="S43" s="229">
        <f ca="1">S37+S41</f>
        <v>7.0874021115896677E-2</v>
      </c>
    </row>
    <row r="44" spans="1:19">
      <c r="K44" s="203"/>
      <c r="S44" s="205"/>
    </row>
    <row r="45" spans="1:19" ht="15.6">
      <c r="K45" s="230" t="s">
        <v>172</v>
      </c>
      <c r="L45" s="231" t="s">
        <v>355</v>
      </c>
      <c r="M45" s="232"/>
      <c r="N45" s="232"/>
      <c r="O45" s="233"/>
      <c r="P45" s="233" t="s">
        <v>379</v>
      </c>
      <c r="Q45" s="231"/>
      <c r="R45" s="231"/>
      <c r="S45" s="308">
        <f ca="1">S43-I43</f>
        <v>0</v>
      </c>
    </row>
    <row r="46" spans="1:19">
      <c r="A46" s="201"/>
      <c r="G46" s="204"/>
    </row>
    <row r="47" spans="1:19" ht="15.6">
      <c r="A47" s="571"/>
      <c r="G47" s="204"/>
      <c r="Q47" s="234"/>
      <c r="S47" s="234" t="str">
        <f>S1</f>
        <v>Attachment  H-4A, Attachment 11</v>
      </c>
    </row>
    <row r="48" spans="1:19">
      <c r="N48" s="234"/>
      <c r="Q48" s="234"/>
      <c r="S48" s="234" t="s">
        <v>150</v>
      </c>
    </row>
    <row r="49" spans="1:19">
      <c r="N49" s="234"/>
      <c r="Q49" s="234"/>
      <c r="S49" s="234" t="str">
        <f>S3</f>
        <v>For the 12 months ended 12/31/2022</v>
      </c>
    </row>
    <row r="50" spans="1:19">
      <c r="N50" s="234"/>
    </row>
    <row r="51" spans="1:19">
      <c r="A51" s="201"/>
      <c r="G51" s="204"/>
    </row>
    <row r="52" spans="1:19">
      <c r="A52" s="201"/>
      <c r="C52" s="160"/>
      <c r="D52" s="160"/>
    </row>
    <row r="53" spans="1:19">
      <c r="A53" s="201"/>
      <c r="C53" s="160"/>
      <c r="D53" s="160"/>
      <c r="L53" s="204"/>
    </row>
    <row r="54" spans="1:19" ht="14.25" customHeight="1">
      <c r="A54" s="201"/>
    </row>
    <row r="55" spans="1:19" ht="15.6">
      <c r="A55" s="1004" t="str">
        <f>A5</f>
        <v>Transmission Enhancement Charge (TEC) Worksheet</v>
      </c>
      <c r="B55" s="1004"/>
      <c r="C55" s="1004"/>
      <c r="D55" s="1004"/>
      <c r="E55" s="1004"/>
      <c r="F55" s="1004"/>
      <c r="G55" s="1004"/>
      <c r="H55" s="1004"/>
      <c r="I55" s="1004"/>
      <c r="J55" s="1004"/>
      <c r="K55" s="1004"/>
      <c r="L55" s="1004"/>
      <c r="M55" s="1004"/>
      <c r="N55" s="1004"/>
    </row>
    <row r="56" spans="1:19">
      <c r="A56" s="1005" t="str">
        <f>A6</f>
        <v>To be completed in conjunction with Attachment H-4A</v>
      </c>
      <c r="B56" s="1005"/>
      <c r="C56" s="1005"/>
      <c r="D56" s="1005"/>
      <c r="E56" s="1005"/>
      <c r="F56" s="1005"/>
      <c r="G56" s="1005"/>
      <c r="H56" s="1005"/>
      <c r="I56" s="1005"/>
      <c r="J56" s="1005"/>
      <c r="K56" s="1005"/>
      <c r="L56" s="1005"/>
      <c r="M56" s="1005"/>
      <c r="N56" s="1005"/>
    </row>
    <row r="57" spans="1:19" ht="15.6">
      <c r="A57" s="201"/>
      <c r="E57" s="215"/>
      <c r="H57" s="160"/>
      <c r="I57" s="160"/>
      <c r="J57" s="160"/>
      <c r="K57" s="160"/>
      <c r="L57" s="160"/>
    </row>
    <row r="58" spans="1:19" ht="15.6">
      <c r="A58" s="201"/>
      <c r="E58" s="215"/>
      <c r="F58" s="215"/>
      <c r="H58" s="160"/>
      <c r="I58" s="160"/>
      <c r="J58" s="160"/>
      <c r="K58" s="160"/>
      <c r="L58" s="160"/>
    </row>
    <row r="59" spans="1:19" ht="15.6">
      <c r="A59" s="201"/>
      <c r="C59" s="235">
        <v>-1</v>
      </c>
      <c r="D59" s="235">
        <v>-2</v>
      </c>
      <c r="E59" s="235">
        <v>-3</v>
      </c>
      <c r="F59" s="235">
        <v>-4</v>
      </c>
      <c r="G59" s="235">
        <v>-5</v>
      </c>
      <c r="H59" s="235">
        <v>-6</v>
      </c>
      <c r="I59" s="235">
        <v>-7</v>
      </c>
      <c r="J59" s="235">
        <v>-8</v>
      </c>
      <c r="K59" s="235">
        <v>-9</v>
      </c>
      <c r="L59" s="235">
        <v>-10</v>
      </c>
      <c r="M59" s="235">
        <v>-11</v>
      </c>
      <c r="N59" s="235">
        <v>-12</v>
      </c>
      <c r="O59" s="235">
        <v>-13</v>
      </c>
      <c r="P59" s="235">
        <v>-14</v>
      </c>
      <c r="Q59" s="235"/>
    </row>
    <row r="60" spans="1:19" ht="62.4">
      <c r="A60" s="236" t="s">
        <v>135</v>
      </c>
      <c r="B60" s="237"/>
      <c r="C60" s="238" t="s">
        <v>136</v>
      </c>
      <c r="D60" s="239" t="s">
        <v>152</v>
      </c>
      <c r="E60" s="240" t="s">
        <v>219</v>
      </c>
      <c r="F60" s="240" t="s">
        <v>124</v>
      </c>
      <c r="G60" s="241" t="s">
        <v>137</v>
      </c>
      <c r="H60" s="240" t="s">
        <v>138</v>
      </c>
      <c r="I60" s="240" t="s">
        <v>134</v>
      </c>
      <c r="J60" s="241" t="s">
        <v>139</v>
      </c>
      <c r="K60" s="240" t="s">
        <v>140</v>
      </c>
      <c r="L60" s="242" t="s">
        <v>248</v>
      </c>
      <c r="M60" s="242" t="s">
        <v>390</v>
      </c>
      <c r="N60" s="242" t="s">
        <v>352</v>
      </c>
      <c r="O60" s="242" t="s">
        <v>198</v>
      </c>
      <c r="P60" s="242" t="s">
        <v>353</v>
      </c>
    </row>
    <row r="61" spans="1:19" ht="46.5" customHeight="1">
      <c r="A61" s="596">
        <v>1</v>
      </c>
      <c r="B61" s="244"/>
      <c r="C61" s="244"/>
      <c r="D61" s="244"/>
      <c r="E61" s="245" t="s">
        <v>386</v>
      </c>
      <c r="F61" s="245" t="s">
        <v>384</v>
      </c>
      <c r="G61" s="246" t="s">
        <v>141</v>
      </c>
      <c r="H61" s="245" t="s">
        <v>387</v>
      </c>
      <c r="I61" s="268" t="s">
        <v>385</v>
      </c>
      <c r="J61" s="246" t="s">
        <v>142</v>
      </c>
      <c r="K61" s="245" t="s">
        <v>102</v>
      </c>
      <c r="L61" s="247" t="s">
        <v>249</v>
      </c>
      <c r="M61" s="247" t="s">
        <v>477</v>
      </c>
      <c r="N61" s="247" t="s">
        <v>354</v>
      </c>
      <c r="O61" s="247" t="s">
        <v>263</v>
      </c>
      <c r="P61" s="247" t="s">
        <v>388</v>
      </c>
    </row>
    <row r="62" spans="1:19">
      <c r="A62" s="248"/>
      <c r="B62" s="160"/>
      <c r="C62" s="206"/>
      <c r="D62" s="160"/>
      <c r="E62" s="160"/>
      <c r="F62" s="160"/>
      <c r="G62" s="249"/>
      <c r="H62" s="160"/>
      <c r="I62" s="160"/>
      <c r="J62" s="249"/>
      <c r="K62" s="160"/>
      <c r="L62" s="249"/>
      <c r="M62" s="249"/>
      <c r="N62" s="249"/>
      <c r="O62" s="249"/>
      <c r="P62" s="249"/>
    </row>
    <row r="63" spans="1:19">
      <c r="A63" s="298" t="s">
        <v>365</v>
      </c>
      <c r="B63" s="221"/>
      <c r="C63" s="302" t="s">
        <v>1078</v>
      </c>
      <c r="D63" s="299" t="s">
        <v>1082</v>
      </c>
      <c r="E63" s="218">
        <f>'Attach 11a - TEC Cost Support'!E10</f>
        <v>12588192.75</v>
      </c>
      <c r="F63" s="220">
        <f ca="1">$I$33</f>
        <v>4.0889352936982627E-2</v>
      </c>
      <c r="G63" s="251">
        <f ca="1">E63*F63</f>
        <v>514723.05619351589</v>
      </c>
      <c r="H63" s="218">
        <f>'Attach 11a - TEC Cost Support'!AI10</f>
        <v>9086346.4591431078</v>
      </c>
      <c r="I63" s="220">
        <f ca="1">$I$43</f>
        <v>7.087402111589669E-2</v>
      </c>
      <c r="J63" s="251">
        <f ca="1">H63*I63</f>
        <v>643985.91081166174</v>
      </c>
      <c r="K63" s="252">
        <v>269225.92179436685</v>
      </c>
      <c r="L63" s="253">
        <f ca="1">G63+J63+K63</f>
        <v>1427934.8887995444</v>
      </c>
      <c r="M63" s="811">
        <f ca="1">H63*$S$45</f>
        <v>0</v>
      </c>
      <c r="N63" s="253">
        <f ca="1">L63+M63</f>
        <v>1427934.8887995444</v>
      </c>
      <c r="O63" s="254"/>
      <c r="P63" s="253">
        <f ca="1">N63+O63</f>
        <v>1427934.8887995444</v>
      </c>
    </row>
    <row r="64" spans="1:19">
      <c r="A64" s="298" t="s">
        <v>366</v>
      </c>
      <c r="B64" s="221"/>
      <c r="C64" s="302" t="s">
        <v>1079</v>
      </c>
      <c r="D64" s="299" t="s">
        <v>1083</v>
      </c>
      <c r="E64" s="218">
        <f>'Attach 11a - TEC Cost Support'!E11</f>
        <v>5983500.8699999992</v>
      </c>
      <c r="F64" s="220">
        <f ca="1">$I$33</f>
        <v>4.0889352936982627E-2</v>
      </c>
      <c r="G64" s="251">
        <f ca="1">E64*F64</f>
        <v>244661.47887217256</v>
      </c>
      <c r="H64" s="218">
        <f>'Attach 11a - TEC Cost Support'!AI11</f>
        <v>4644369.8789277766</v>
      </c>
      <c r="I64" s="220">
        <f ca="1">$I$43</f>
        <v>7.087402111589669E-2</v>
      </c>
      <c r="J64" s="251">
        <f ca="1">H64*I64</f>
        <v>329165.1688691618</v>
      </c>
      <c r="K64" s="252">
        <v>128046.91861799995</v>
      </c>
      <c r="L64" s="253">
        <f ca="1">G64+J64+K64</f>
        <v>701873.56635933439</v>
      </c>
      <c r="M64" s="811">
        <f ca="1">H64*$S$45</f>
        <v>0</v>
      </c>
      <c r="N64" s="253">
        <f ca="1">L64+M64</f>
        <v>701873.56635933439</v>
      </c>
      <c r="O64" s="254"/>
      <c r="P64" s="253">
        <f ca="1">N64+O64</f>
        <v>701873.56635933439</v>
      </c>
    </row>
    <row r="65" spans="1:16">
      <c r="A65" s="298" t="s">
        <v>367</v>
      </c>
      <c r="B65" s="221"/>
      <c r="C65" s="302" t="s">
        <v>1080</v>
      </c>
      <c r="D65" s="299" t="s">
        <v>1084</v>
      </c>
      <c r="E65" s="218">
        <f>'Attach 11a - TEC Cost Support'!E12</f>
        <v>7336240.1700000009</v>
      </c>
      <c r="F65" s="220">
        <f ca="1">$I$33</f>
        <v>4.0889352936982627E-2</v>
      </c>
      <c r="G65" s="251">
        <f ca="1">E65*F65</f>
        <v>299974.11354159948</v>
      </c>
      <c r="H65" s="218">
        <f>'Attach 11a - TEC Cost Support'!AI12</f>
        <v>6153911.1750497669</v>
      </c>
      <c r="I65" s="220">
        <f ca="1">$I$43</f>
        <v>7.087402111589669E-2</v>
      </c>
      <c r="J65" s="251">
        <f ca="1">H65*I65</f>
        <v>436152.4305658298</v>
      </c>
      <c r="K65" s="252">
        <v>167266.275876</v>
      </c>
      <c r="L65" s="253">
        <f ca="1">G65+J65+K65</f>
        <v>903392.81998342928</v>
      </c>
      <c r="M65" s="811">
        <f t="shared" ref="M65:M66" ca="1" si="0">H65*$S$45</f>
        <v>0</v>
      </c>
      <c r="N65" s="253">
        <f ca="1">L65+M65</f>
        <v>903392.81998342928</v>
      </c>
      <c r="O65" s="254"/>
      <c r="P65" s="253">
        <f t="shared" ref="P65:P66" ca="1" si="1">N65+O65</f>
        <v>903392.81998342928</v>
      </c>
    </row>
    <row r="66" spans="1:16">
      <c r="A66" s="298" t="s">
        <v>482</v>
      </c>
      <c r="C66" s="302" t="s">
        <v>1081</v>
      </c>
      <c r="D66" s="299" t="s">
        <v>1085</v>
      </c>
      <c r="E66" s="218">
        <f>'Attach 11a - TEC Cost Support'!E13</f>
        <v>173448892.8792308</v>
      </c>
      <c r="F66" s="220">
        <f ca="1">$I$33</f>
        <v>4.0889352936982627E-2</v>
      </c>
      <c r="G66" s="251">
        <f t="shared" ref="G66" ca="1" si="2">E66*F66</f>
        <v>7092212.9974677609</v>
      </c>
      <c r="H66" s="218">
        <f>'Attach 11a - TEC Cost Support'!AI13</f>
        <v>155875977.75302398</v>
      </c>
      <c r="I66" s="220">
        <f ca="1">$I$43</f>
        <v>7.087402111589669E-2</v>
      </c>
      <c r="J66" s="251">
        <f ca="1">H66*I66</f>
        <v>11047557.338728864</v>
      </c>
      <c r="K66" s="603">
        <v>3417011.0330413515</v>
      </c>
      <c r="L66" s="253">
        <f t="shared" ref="L66" ca="1" si="3">G66+J66+K66</f>
        <v>21556781.369237974</v>
      </c>
      <c r="M66" s="811">
        <f t="shared" ca="1" si="0"/>
        <v>0</v>
      </c>
      <c r="N66" s="253">
        <f t="shared" ref="N66" ca="1" si="4">L66+M66</f>
        <v>21556781.369237974</v>
      </c>
      <c r="O66" s="300"/>
      <c r="P66" s="253">
        <f t="shared" ca="1" si="1"/>
        <v>21556781.369237974</v>
      </c>
    </row>
    <row r="67" spans="1:16">
      <c r="A67" s="203"/>
      <c r="C67" s="145"/>
      <c r="D67" s="145"/>
      <c r="E67" s="145"/>
      <c r="F67" s="145"/>
      <c r="G67" s="255"/>
      <c r="H67" s="145"/>
      <c r="I67" s="145"/>
      <c r="J67" s="255"/>
      <c r="K67" s="145"/>
      <c r="L67" s="255"/>
      <c r="M67" s="255"/>
      <c r="N67" s="255"/>
      <c r="O67" s="255"/>
      <c r="P67" s="255"/>
    </row>
    <row r="68" spans="1:16">
      <c r="A68" s="203"/>
      <c r="C68" s="145"/>
      <c r="D68" s="145"/>
      <c r="E68" s="145"/>
      <c r="F68" s="145"/>
      <c r="G68" s="255"/>
      <c r="H68" s="145"/>
      <c r="I68" s="145"/>
      <c r="J68" s="255"/>
      <c r="K68" s="145"/>
      <c r="L68" s="255"/>
      <c r="M68" s="255"/>
      <c r="N68" s="255"/>
      <c r="O68" s="255"/>
      <c r="P68" s="255"/>
    </row>
    <row r="69" spans="1:16">
      <c r="A69" s="203"/>
      <c r="C69" s="145"/>
      <c r="D69" s="145"/>
      <c r="E69" s="145"/>
      <c r="F69" s="145"/>
      <c r="G69" s="255"/>
      <c r="H69" s="145"/>
      <c r="I69" s="145"/>
      <c r="J69" s="255"/>
      <c r="K69" s="145"/>
      <c r="L69" s="255"/>
      <c r="M69" s="255"/>
      <c r="N69" s="255"/>
      <c r="O69" s="255"/>
      <c r="P69" s="255"/>
    </row>
    <row r="70" spans="1:16">
      <c r="A70" s="203"/>
      <c r="C70" s="145"/>
      <c r="D70" s="145"/>
      <c r="E70" s="145"/>
      <c r="F70" s="145"/>
      <c r="G70" s="255"/>
      <c r="H70" s="145"/>
      <c r="I70" s="145"/>
      <c r="J70" s="255"/>
      <c r="K70" s="145"/>
      <c r="L70" s="255"/>
      <c r="M70" s="255"/>
      <c r="N70" s="255"/>
      <c r="O70" s="255"/>
      <c r="P70" s="255"/>
    </row>
    <row r="71" spans="1:16">
      <c r="A71" s="203"/>
      <c r="C71" s="145"/>
      <c r="D71" s="145"/>
      <c r="E71" s="145"/>
      <c r="F71" s="145"/>
      <c r="G71" s="255"/>
      <c r="H71" s="145"/>
      <c r="I71" s="145"/>
      <c r="J71" s="255"/>
      <c r="K71" s="145"/>
      <c r="L71" s="255"/>
      <c r="M71" s="255"/>
      <c r="N71" s="255"/>
      <c r="O71" s="255"/>
      <c r="P71" s="255"/>
    </row>
    <row r="72" spans="1:16">
      <c r="A72" s="203"/>
      <c r="C72" s="145"/>
      <c r="D72" s="145"/>
      <c r="E72" s="145"/>
      <c r="F72" s="145"/>
      <c r="G72" s="255"/>
      <c r="H72" s="145"/>
      <c r="I72" s="145"/>
      <c r="J72" s="255"/>
      <c r="K72" s="145"/>
      <c r="L72" s="255"/>
      <c r="M72" s="255"/>
      <c r="N72" s="255"/>
      <c r="O72" s="255"/>
      <c r="P72" s="255"/>
    </row>
    <row r="73" spans="1:16">
      <c r="A73" s="203"/>
      <c r="C73" s="145"/>
      <c r="D73" s="145"/>
      <c r="E73" s="145"/>
      <c r="F73" s="145"/>
      <c r="G73" s="255"/>
      <c r="H73" s="145"/>
      <c r="I73" s="145"/>
      <c r="J73" s="255"/>
      <c r="K73" s="145"/>
      <c r="L73" s="255"/>
      <c r="M73" s="255"/>
      <c r="N73" s="255"/>
      <c r="O73" s="255"/>
      <c r="P73" s="255"/>
    </row>
    <row r="74" spans="1:16">
      <c r="A74" s="203"/>
      <c r="C74" s="145"/>
      <c r="D74" s="145"/>
      <c r="E74" s="145"/>
      <c r="F74" s="145"/>
      <c r="G74" s="255"/>
      <c r="H74" s="145"/>
      <c r="I74" s="145"/>
      <c r="J74" s="255"/>
      <c r="K74" s="145"/>
      <c r="L74" s="255"/>
      <c r="M74" s="255"/>
      <c r="N74" s="255"/>
      <c r="O74" s="255"/>
      <c r="P74" s="255"/>
    </row>
    <row r="75" spans="1:16">
      <c r="A75" s="203"/>
      <c r="C75" s="145"/>
      <c r="D75" s="145"/>
      <c r="E75" s="145"/>
      <c r="F75" s="145"/>
      <c r="G75" s="255"/>
      <c r="H75" s="145"/>
      <c r="I75" s="145"/>
      <c r="J75" s="255"/>
      <c r="K75" s="145"/>
      <c r="L75" s="255"/>
      <c r="M75" s="255"/>
      <c r="N75" s="255"/>
      <c r="O75" s="255"/>
      <c r="P75" s="255"/>
    </row>
    <row r="76" spans="1:16">
      <c r="A76" s="203"/>
      <c r="C76" s="145"/>
      <c r="D76" s="145"/>
      <c r="E76" s="145"/>
      <c r="F76" s="145"/>
      <c r="G76" s="255"/>
      <c r="H76" s="145"/>
      <c r="I76" s="145"/>
      <c r="J76" s="255"/>
      <c r="K76" s="145"/>
      <c r="L76" s="255"/>
      <c r="M76" s="255"/>
      <c r="N76" s="255"/>
      <c r="O76" s="255"/>
      <c r="P76" s="255"/>
    </row>
    <row r="77" spans="1:16">
      <c r="A77" s="203"/>
      <c r="C77" s="145"/>
      <c r="D77" s="145"/>
      <c r="E77" s="145"/>
      <c r="F77" s="145"/>
      <c r="G77" s="255"/>
      <c r="H77" s="145"/>
      <c r="I77" s="145"/>
      <c r="J77" s="255"/>
      <c r="K77" s="145"/>
      <c r="L77" s="255"/>
      <c r="M77" s="255"/>
      <c r="N77" s="255"/>
      <c r="O77" s="255"/>
      <c r="P77" s="255"/>
    </row>
    <row r="78" spans="1:16">
      <c r="A78" s="256"/>
      <c r="B78" s="232"/>
      <c r="C78" s="257"/>
      <c r="D78" s="257"/>
      <c r="E78" s="257"/>
      <c r="F78" s="257"/>
      <c r="G78" s="258"/>
      <c r="H78" s="257"/>
      <c r="I78" s="257"/>
      <c r="J78" s="258"/>
      <c r="K78" s="257"/>
      <c r="L78" s="258"/>
      <c r="M78" s="258"/>
      <c r="N78" s="258"/>
      <c r="O78" s="258"/>
      <c r="P78" s="258"/>
    </row>
    <row r="79" spans="1:16">
      <c r="A79" s="207" t="s">
        <v>168</v>
      </c>
      <c r="C79" s="159" t="s">
        <v>889</v>
      </c>
      <c r="D79" s="160"/>
      <c r="E79" s="221"/>
      <c r="F79" s="221"/>
      <c r="G79" s="204"/>
      <c r="H79" s="204"/>
      <c r="I79" s="204"/>
      <c r="J79" s="204"/>
      <c r="K79" s="204"/>
      <c r="L79" s="259"/>
      <c r="M79" s="259"/>
      <c r="N79" s="583">
        <f ca="1">SUM(N63:N78)</f>
        <v>24589982.644380283</v>
      </c>
      <c r="O79" s="218"/>
      <c r="P79" s="259"/>
    </row>
    <row r="80" spans="1:16">
      <c r="A80" s="260" t="s">
        <v>169</v>
      </c>
      <c r="B80" s="145"/>
      <c r="C80" s="159" t="s">
        <v>806</v>
      </c>
      <c r="D80" s="145"/>
      <c r="E80" s="145"/>
      <c r="F80" s="145"/>
      <c r="G80" s="145"/>
      <c r="H80" s="145"/>
      <c r="I80" s="145"/>
      <c r="J80" s="145"/>
      <c r="K80" s="145"/>
      <c r="L80" s="145"/>
      <c r="M80" s="145">
        <f ca="1">SUM(M63:M78)</f>
        <v>0</v>
      </c>
      <c r="N80" s="145"/>
      <c r="O80" s="145"/>
    </row>
    <row r="81" spans="1:15">
      <c r="A81" s="145"/>
      <c r="B81" s="145"/>
      <c r="C81" s="145"/>
      <c r="D81" s="145"/>
      <c r="E81" s="145"/>
      <c r="F81" s="145"/>
      <c r="G81" s="145"/>
      <c r="H81" s="145"/>
      <c r="I81" s="145"/>
      <c r="J81" s="145"/>
      <c r="K81" s="145"/>
      <c r="L81" s="145"/>
      <c r="M81" s="145"/>
      <c r="N81" s="145"/>
      <c r="O81" s="145"/>
    </row>
    <row r="82" spans="1:15">
      <c r="A82" s="261" t="s">
        <v>153</v>
      </c>
      <c r="B82" s="145"/>
      <c r="C82" s="145"/>
      <c r="D82" s="145"/>
      <c r="E82" s="145"/>
      <c r="F82" s="145"/>
      <c r="G82" s="145"/>
      <c r="H82" s="145"/>
      <c r="I82" s="145"/>
      <c r="J82" s="145"/>
      <c r="K82" s="145"/>
      <c r="L82" s="145"/>
    </row>
    <row r="83" spans="1:15">
      <c r="A83" s="221" t="s">
        <v>75</v>
      </c>
      <c r="C83" s="1003" t="s">
        <v>462</v>
      </c>
      <c r="D83" s="1003"/>
      <c r="E83" s="1003"/>
      <c r="F83" s="1003"/>
      <c r="G83" s="1003"/>
      <c r="H83" s="1003"/>
      <c r="I83" s="1003"/>
      <c r="J83" s="1003"/>
      <c r="K83" s="1003"/>
      <c r="L83" s="1003"/>
    </row>
    <row r="84" spans="1:15">
      <c r="A84" s="221" t="s">
        <v>76</v>
      </c>
      <c r="C84" s="1003" t="s">
        <v>463</v>
      </c>
      <c r="D84" s="1003"/>
      <c r="E84" s="1003"/>
      <c r="F84" s="1003"/>
      <c r="G84" s="1003"/>
      <c r="H84" s="1003"/>
      <c r="I84" s="1003"/>
      <c r="J84" s="1003"/>
      <c r="K84" s="1003"/>
      <c r="L84" s="1003"/>
    </row>
    <row r="85" spans="1:15" ht="15" customHeight="1">
      <c r="A85" s="262" t="s">
        <v>77</v>
      </c>
      <c r="C85" s="1008" t="s">
        <v>155</v>
      </c>
      <c r="D85" s="1008"/>
      <c r="E85" s="1008"/>
      <c r="F85" s="1008"/>
      <c r="G85" s="1008"/>
      <c r="H85" s="1008"/>
      <c r="I85" s="1008"/>
      <c r="J85" s="1008"/>
      <c r="K85" s="1008"/>
      <c r="L85" s="1008"/>
    </row>
    <row r="86" spans="1:15">
      <c r="A86" s="262" t="s">
        <v>78</v>
      </c>
      <c r="C86" s="1008" t="s">
        <v>143</v>
      </c>
      <c r="D86" s="1008"/>
      <c r="E86" s="1008"/>
      <c r="F86" s="1008"/>
      <c r="G86" s="1008"/>
      <c r="H86" s="1008"/>
      <c r="I86" s="1008"/>
      <c r="J86" s="1008"/>
      <c r="K86" s="1008"/>
      <c r="L86" s="1008"/>
    </row>
    <row r="87" spans="1:15">
      <c r="A87" s="221" t="s">
        <v>79</v>
      </c>
      <c r="C87" s="1003" t="s">
        <v>807</v>
      </c>
      <c r="D87" s="1003"/>
      <c r="E87" s="1003"/>
      <c r="F87" s="1003"/>
      <c r="G87" s="1003"/>
      <c r="H87" s="1003"/>
      <c r="I87" s="1003"/>
      <c r="J87" s="1003"/>
      <c r="K87" s="1003"/>
      <c r="L87" s="1003"/>
    </row>
    <row r="88" spans="1:15">
      <c r="A88" s="221" t="s">
        <v>80</v>
      </c>
      <c r="C88" s="159" t="s">
        <v>389</v>
      </c>
    </row>
    <row r="89" spans="1:15">
      <c r="A89" s="221" t="s">
        <v>81</v>
      </c>
      <c r="C89" s="159" t="s">
        <v>447</v>
      </c>
    </row>
    <row r="90" spans="1:15">
      <c r="A90" s="221" t="s">
        <v>83</v>
      </c>
      <c r="C90" s="159" t="s">
        <v>269</v>
      </c>
      <c r="D90" s="207"/>
      <c r="E90" s="221"/>
      <c r="F90" s="221"/>
      <c r="G90" s="204"/>
      <c r="J90" s="264"/>
    </row>
    <row r="91" spans="1:15">
      <c r="A91" s="207"/>
      <c r="C91" s="285"/>
      <c r="D91" s="207"/>
      <c r="E91" s="221"/>
      <c r="F91" s="221"/>
      <c r="G91" s="204"/>
      <c r="J91" s="264"/>
    </row>
    <row r="92" spans="1:15">
      <c r="C92" s="145"/>
      <c r="D92" s="145"/>
      <c r="E92" s="145"/>
      <c r="F92" s="145"/>
      <c r="G92" s="145"/>
      <c r="H92" s="145"/>
      <c r="I92" s="145"/>
      <c r="J92" s="145"/>
      <c r="K92" s="145"/>
      <c r="L92" s="145"/>
    </row>
    <row r="93" spans="1:15">
      <c r="C93" s="145"/>
      <c r="D93" s="145"/>
      <c r="E93" s="145"/>
      <c r="F93" s="145"/>
      <c r="G93" s="145"/>
      <c r="H93" s="145"/>
      <c r="I93" s="145"/>
      <c r="J93" s="145"/>
      <c r="K93" s="145"/>
      <c r="L93" s="145"/>
    </row>
    <row r="94" spans="1:15">
      <c r="C94" s="145"/>
      <c r="D94" s="145"/>
      <c r="E94" s="145"/>
      <c r="F94" s="145"/>
      <c r="G94" s="145"/>
      <c r="H94" s="145"/>
      <c r="I94" s="145"/>
      <c r="J94" s="145"/>
      <c r="K94" s="145"/>
      <c r="L94" s="145"/>
    </row>
    <row r="95" spans="1:15">
      <c r="C95" s="145"/>
      <c r="D95" s="145"/>
      <c r="E95" s="145"/>
      <c r="F95" s="145"/>
      <c r="G95" s="145"/>
      <c r="H95" s="145"/>
      <c r="I95" s="145"/>
      <c r="J95" s="145"/>
      <c r="K95" s="145"/>
      <c r="L95" s="145"/>
    </row>
    <row r="96" spans="1:15">
      <c r="C96" s="145"/>
      <c r="D96" s="145"/>
      <c r="E96" s="145"/>
      <c r="F96" s="145"/>
      <c r="G96" s="145"/>
      <c r="H96" s="145"/>
      <c r="I96" s="145"/>
      <c r="J96" s="145"/>
      <c r="K96" s="145"/>
      <c r="L96" s="145"/>
    </row>
    <row r="97" spans="3:12">
      <c r="C97" s="145"/>
      <c r="D97" s="145"/>
      <c r="E97" s="145"/>
      <c r="F97" s="145"/>
      <c r="G97" s="145"/>
      <c r="H97" s="145"/>
      <c r="I97" s="145"/>
      <c r="J97" s="145"/>
      <c r="K97" s="145"/>
      <c r="L97" s="145"/>
    </row>
    <row r="98" spans="3:12">
      <c r="C98" s="145"/>
      <c r="D98" s="145"/>
      <c r="E98" s="145"/>
      <c r="F98" s="145"/>
      <c r="G98" s="145"/>
      <c r="H98" s="145"/>
      <c r="I98" s="145"/>
      <c r="J98" s="145"/>
      <c r="K98" s="145"/>
      <c r="L98" s="145"/>
    </row>
    <row r="99" spans="3:12">
      <c r="C99" s="145"/>
      <c r="D99" s="145"/>
      <c r="E99" s="145"/>
      <c r="F99" s="145"/>
      <c r="G99" s="145"/>
      <c r="H99" s="145"/>
      <c r="I99" s="145"/>
      <c r="J99" s="145"/>
      <c r="K99" s="145"/>
      <c r="L99" s="145"/>
    </row>
    <row r="100" spans="3:12">
      <c r="C100" s="145"/>
      <c r="D100" s="145"/>
      <c r="E100" s="145"/>
      <c r="F100" s="145"/>
      <c r="G100" s="145"/>
      <c r="H100" s="145"/>
      <c r="I100" s="145"/>
      <c r="J100" s="145"/>
      <c r="K100" s="145"/>
      <c r="L100" s="145"/>
    </row>
    <row r="101" spans="3:12">
      <c r="C101" s="145"/>
      <c r="D101" s="145"/>
      <c r="E101" s="145"/>
      <c r="F101" s="145"/>
      <c r="G101" s="145"/>
      <c r="H101" s="145"/>
      <c r="I101" s="145"/>
      <c r="J101" s="145"/>
      <c r="K101" s="145"/>
      <c r="L101" s="145"/>
    </row>
    <row r="102" spans="3:12">
      <c r="C102" s="145"/>
      <c r="D102" s="145"/>
      <c r="E102" s="145"/>
      <c r="F102" s="145"/>
      <c r="G102" s="145"/>
      <c r="H102" s="145"/>
      <c r="I102" s="145"/>
      <c r="J102" s="145"/>
      <c r="K102" s="145"/>
      <c r="L102" s="145"/>
    </row>
    <row r="103" spans="3:12">
      <c r="C103" s="145"/>
      <c r="D103" s="145"/>
      <c r="E103" s="145"/>
      <c r="F103" s="145"/>
      <c r="G103" s="145"/>
      <c r="H103" s="145"/>
      <c r="I103" s="145"/>
      <c r="J103" s="145"/>
      <c r="K103" s="145"/>
      <c r="L103" s="145"/>
    </row>
    <row r="104" spans="3:12">
      <c r="C104" s="145"/>
      <c r="D104" s="145"/>
      <c r="E104" s="145"/>
      <c r="F104" s="145"/>
      <c r="G104" s="145"/>
      <c r="H104" s="145"/>
      <c r="I104" s="145"/>
      <c r="J104" s="145"/>
      <c r="K104" s="145"/>
      <c r="L104" s="145"/>
    </row>
    <row r="105" spans="3:12">
      <c r="C105" s="145"/>
      <c r="D105" s="145"/>
      <c r="E105" s="145"/>
      <c r="F105" s="145"/>
      <c r="G105" s="145"/>
      <c r="H105" s="145"/>
      <c r="I105" s="145"/>
      <c r="J105" s="145"/>
      <c r="K105" s="145"/>
      <c r="L105" s="145"/>
    </row>
    <row r="106" spans="3:12">
      <c r="C106" s="145"/>
      <c r="D106" s="145"/>
      <c r="E106" s="145"/>
      <c r="F106" s="145"/>
      <c r="G106" s="145"/>
      <c r="H106" s="145"/>
      <c r="I106" s="145"/>
      <c r="J106" s="145"/>
      <c r="K106" s="145"/>
      <c r="L106" s="145"/>
    </row>
    <row r="107" spans="3:12">
      <c r="C107" s="145"/>
      <c r="D107" s="145"/>
      <c r="E107" s="145"/>
      <c r="F107" s="145"/>
      <c r="G107" s="145"/>
      <c r="H107" s="145"/>
      <c r="I107" s="145"/>
      <c r="J107" s="145"/>
      <c r="K107" s="145"/>
      <c r="L107" s="145"/>
    </row>
    <row r="108" spans="3:12">
      <c r="C108" s="145"/>
      <c r="D108" s="145"/>
      <c r="E108" s="145"/>
      <c r="F108" s="145"/>
      <c r="G108" s="145"/>
      <c r="H108" s="145"/>
      <c r="I108" s="145"/>
      <c r="J108" s="145"/>
      <c r="K108" s="145"/>
      <c r="L108" s="145"/>
    </row>
    <row r="109" spans="3:12">
      <c r="C109" s="145"/>
      <c r="D109" s="145"/>
      <c r="E109" s="145"/>
      <c r="F109" s="145"/>
      <c r="G109" s="145"/>
      <c r="H109" s="145"/>
      <c r="I109" s="145"/>
      <c r="J109" s="145"/>
      <c r="K109" s="145"/>
      <c r="L109" s="145"/>
    </row>
    <row r="110" spans="3:12">
      <c r="C110" s="145"/>
      <c r="D110" s="145"/>
      <c r="E110" s="145"/>
      <c r="F110" s="145"/>
      <c r="G110" s="145"/>
      <c r="H110" s="145"/>
      <c r="I110" s="145"/>
      <c r="J110" s="145"/>
      <c r="K110" s="145"/>
      <c r="L110" s="145"/>
    </row>
    <row r="111" spans="3:12">
      <c r="C111" s="145"/>
      <c r="D111" s="145"/>
      <c r="E111" s="145"/>
      <c r="F111" s="145"/>
      <c r="G111" s="145"/>
      <c r="H111" s="145"/>
      <c r="I111" s="145"/>
      <c r="J111" s="145"/>
      <c r="K111" s="145"/>
      <c r="L111" s="145"/>
    </row>
    <row r="112" spans="3:12">
      <c r="C112" s="145"/>
      <c r="D112" s="145"/>
      <c r="E112" s="145"/>
      <c r="F112" s="145"/>
      <c r="G112" s="145"/>
      <c r="H112" s="145"/>
      <c r="I112" s="145"/>
      <c r="J112" s="145"/>
      <c r="K112" s="145"/>
      <c r="L112" s="145"/>
    </row>
    <row r="113" spans="3:12">
      <c r="C113" s="145"/>
      <c r="D113" s="145"/>
      <c r="E113" s="145"/>
      <c r="F113" s="145"/>
      <c r="G113" s="145"/>
      <c r="H113" s="145"/>
      <c r="I113" s="145"/>
      <c r="J113" s="145"/>
      <c r="K113" s="145"/>
      <c r="L113" s="145"/>
    </row>
    <row r="114" spans="3:12">
      <c r="C114" s="145"/>
      <c r="D114" s="145"/>
      <c r="E114" s="145"/>
      <c r="F114" s="145"/>
      <c r="G114" s="145"/>
      <c r="H114" s="145"/>
      <c r="I114" s="145"/>
      <c r="J114" s="145"/>
      <c r="K114" s="145"/>
      <c r="L114" s="145"/>
    </row>
    <row r="115" spans="3:12">
      <c r="C115" s="145"/>
      <c r="D115" s="145"/>
      <c r="E115" s="145"/>
      <c r="F115" s="145"/>
      <c r="G115" s="145"/>
      <c r="H115" s="145"/>
      <c r="I115" s="145"/>
      <c r="J115" s="145"/>
      <c r="K115" s="145"/>
      <c r="L115" s="145"/>
    </row>
    <row r="116" spans="3:12">
      <c r="C116" s="145"/>
      <c r="D116" s="145"/>
      <c r="E116" s="145"/>
      <c r="F116" s="145"/>
      <c r="G116" s="145"/>
      <c r="H116" s="145"/>
      <c r="I116" s="145"/>
      <c r="J116" s="145"/>
      <c r="K116" s="145"/>
      <c r="L116" s="145"/>
    </row>
    <row r="117" spans="3:12">
      <c r="C117" s="145"/>
      <c r="D117" s="145"/>
      <c r="E117" s="145"/>
      <c r="F117" s="145"/>
      <c r="G117" s="145"/>
      <c r="H117" s="145"/>
      <c r="I117" s="145"/>
      <c r="J117" s="145"/>
      <c r="K117" s="145"/>
      <c r="L117" s="145"/>
    </row>
    <row r="118" spans="3:12">
      <c r="C118" s="145"/>
      <c r="D118" s="145"/>
      <c r="E118" s="145"/>
      <c r="F118" s="145"/>
      <c r="G118" s="145"/>
      <c r="H118" s="145"/>
      <c r="I118" s="145"/>
      <c r="J118" s="145"/>
      <c r="K118" s="145"/>
      <c r="L118" s="145"/>
    </row>
    <row r="119" spans="3:12">
      <c r="C119" s="145"/>
      <c r="D119" s="145"/>
      <c r="E119" s="145"/>
      <c r="F119" s="145"/>
      <c r="G119" s="145"/>
      <c r="H119" s="145"/>
      <c r="I119" s="145"/>
      <c r="J119" s="145"/>
      <c r="K119" s="145"/>
      <c r="L119" s="145"/>
    </row>
    <row r="120" spans="3:12">
      <c r="C120" s="145"/>
      <c r="D120" s="145"/>
      <c r="E120" s="145"/>
      <c r="F120" s="145"/>
      <c r="G120" s="145"/>
      <c r="H120" s="145"/>
      <c r="I120" s="145"/>
      <c r="J120" s="145"/>
      <c r="K120" s="145"/>
      <c r="L120" s="145"/>
    </row>
    <row r="121" spans="3:12">
      <c r="C121" s="145"/>
      <c r="D121" s="145"/>
      <c r="E121" s="145"/>
      <c r="F121" s="145"/>
      <c r="G121" s="145"/>
      <c r="H121" s="145"/>
      <c r="I121" s="145"/>
      <c r="J121" s="145"/>
      <c r="K121" s="145"/>
      <c r="L121" s="145"/>
    </row>
    <row r="122" spans="3:12">
      <c r="C122" s="145"/>
      <c r="D122" s="145"/>
      <c r="E122" s="145"/>
      <c r="F122" s="145"/>
      <c r="G122" s="145"/>
      <c r="H122" s="145"/>
      <c r="I122" s="145"/>
      <c r="J122" s="145"/>
      <c r="K122" s="145"/>
      <c r="L122" s="145"/>
    </row>
    <row r="123" spans="3:12">
      <c r="C123" s="145"/>
      <c r="D123" s="145"/>
      <c r="E123" s="145"/>
      <c r="F123" s="145"/>
      <c r="G123" s="145"/>
      <c r="H123" s="145"/>
      <c r="I123" s="145"/>
      <c r="J123" s="145"/>
      <c r="K123" s="145"/>
      <c r="L123" s="145"/>
    </row>
    <row r="124" spans="3:12">
      <c r="C124" s="145"/>
      <c r="D124" s="145"/>
      <c r="E124" s="145"/>
      <c r="F124" s="145"/>
      <c r="G124" s="145"/>
      <c r="H124" s="145"/>
      <c r="I124" s="145"/>
      <c r="J124" s="145"/>
      <c r="K124" s="145"/>
      <c r="L124" s="145"/>
    </row>
    <row r="125" spans="3:12">
      <c r="C125" s="145"/>
      <c r="D125" s="145"/>
      <c r="E125" s="145"/>
      <c r="F125" s="145"/>
      <c r="G125" s="145"/>
      <c r="H125" s="145"/>
      <c r="I125" s="145"/>
      <c r="J125" s="145"/>
      <c r="K125" s="145"/>
      <c r="L125" s="145"/>
    </row>
    <row r="126" spans="3:12">
      <c r="C126" s="145"/>
      <c r="D126" s="145"/>
      <c r="E126" s="145"/>
      <c r="F126" s="145"/>
      <c r="G126" s="145"/>
      <c r="H126" s="145"/>
      <c r="I126" s="145"/>
      <c r="J126" s="145"/>
      <c r="K126" s="145"/>
      <c r="L126" s="145"/>
    </row>
    <row r="127" spans="3:12">
      <c r="C127" s="145"/>
      <c r="D127" s="145"/>
      <c r="E127" s="145"/>
      <c r="F127" s="145"/>
      <c r="G127" s="145"/>
      <c r="H127" s="145"/>
      <c r="I127" s="145"/>
      <c r="J127" s="145"/>
      <c r="K127" s="145"/>
      <c r="L127" s="145"/>
    </row>
    <row r="128" spans="3:12">
      <c r="C128" s="145"/>
      <c r="D128" s="145"/>
      <c r="E128" s="145"/>
      <c r="F128" s="145"/>
      <c r="G128" s="145"/>
      <c r="H128" s="145"/>
      <c r="I128" s="145"/>
      <c r="J128" s="145"/>
      <c r="K128" s="145"/>
      <c r="L128" s="145"/>
    </row>
    <row r="129" spans="3:12">
      <c r="C129" s="145"/>
      <c r="D129" s="145"/>
      <c r="E129" s="145"/>
      <c r="F129" s="145"/>
      <c r="G129" s="145"/>
      <c r="H129" s="145"/>
      <c r="I129" s="145"/>
      <c r="J129" s="145"/>
      <c r="K129" s="145"/>
      <c r="L129" s="145"/>
    </row>
    <row r="130" spans="3:12">
      <c r="C130" s="145"/>
      <c r="D130" s="145"/>
      <c r="E130" s="145"/>
      <c r="F130" s="145"/>
      <c r="G130" s="145"/>
      <c r="H130" s="145"/>
      <c r="I130" s="145"/>
      <c r="J130" s="145"/>
      <c r="K130" s="145"/>
      <c r="L130" s="145"/>
    </row>
    <row r="131" spans="3:12">
      <c r="C131" s="145"/>
      <c r="D131" s="145"/>
      <c r="E131" s="145"/>
      <c r="F131" s="145"/>
      <c r="G131" s="145"/>
      <c r="H131" s="145"/>
      <c r="I131" s="145"/>
      <c r="J131" s="145"/>
      <c r="K131" s="145"/>
      <c r="L131" s="145"/>
    </row>
    <row r="132" spans="3:12">
      <c r="C132" s="145"/>
      <c r="D132" s="145"/>
      <c r="E132" s="145"/>
      <c r="F132" s="145"/>
      <c r="G132" s="145"/>
      <c r="H132" s="145"/>
      <c r="I132" s="145"/>
      <c r="J132" s="145"/>
      <c r="K132" s="145"/>
      <c r="L132" s="145"/>
    </row>
    <row r="133" spans="3:12">
      <c r="C133" s="145"/>
      <c r="D133" s="145"/>
      <c r="E133" s="145"/>
      <c r="F133" s="145"/>
      <c r="G133" s="145"/>
      <c r="H133" s="145"/>
      <c r="I133" s="145"/>
      <c r="J133" s="145"/>
      <c r="K133" s="145"/>
      <c r="L133" s="145"/>
    </row>
    <row r="134" spans="3:12">
      <c r="C134" s="145"/>
      <c r="D134" s="145"/>
      <c r="E134" s="145"/>
      <c r="F134" s="145"/>
      <c r="G134" s="145"/>
      <c r="H134" s="145"/>
      <c r="I134" s="145"/>
      <c r="J134" s="145"/>
      <c r="K134" s="145"/>
      <c r="L134" s="145"/>
    </row>
    <row r="135" spans="3:12">
      <c r="C135" s="145"/>
      <c r="D135" s="145"/>
      <c r="E135" s="145"/>
      <c r="F135" s="145"/>
      <c r="G135" s="145"/>
      <c r="H135" s="145"/>
      <c r="I135" s="145"/>
      <c r="J135" s="145"/>
      <c r="K135" s="145"/>
      <c r="L135" s="145"/>
    </row>
    <row r="136" spans="3:12">
      <c r="C136" s="145"/>
      <c r="D136" s="145"/>
      <c r="E136" s="145"/>
      <c r="F136" s="145"/>
      <c r="G136" s="145"/>
      <c r="H136" s="145"/>
      <c r="I136" s="145"/>
      <c r="J136" s="145"/>
      <c r="K136" s="145"/>
      <c r="L136" s="145"/>
    </row>
    <row r="137" spans="3:12">
      <c r="C137" s="145"/>
      <c r="D137" s="145"/>
      <c r="E137" s="145"/>
      <c r="F137" s="145"/>
      <c r="G137" s="145"/>
      <c r="H137" s="145"/>
      <c r="I137" s="145"/>
      <c r="J137" s="145"/>
      <c r="K137" s="145"/>
      <c r="L137" s="145"/>
    </row>
    <row r="138" spans="3:12">
      <c r="C138" s="145"/>
      <c r="D138" s="145"/>
      <c r="E138" s="145"/>
      <c r="F138" s="145"/>
      <c r="G138" s="145"/>
      <c r="H138" s="145"/>
      <c r="I138" s="145"/>
      <c r="J138" s="145"/>
      <c r="K138" s="145"/>
      <c r="L138" s="145"/>
    </row>
    <row r="139" spans="3:12">
      <c r="C139" s="145"/>
      <c r="D139" s="145"/>
      <c r="E139" s="145"/>
      <c r="F139" s="145"/>
      <c r="G139" s="145"/>
      <c r="H139" s="145"/>
      <c r="I139" s="145"/>
      <c r="J139" s="145"/>
      <c r="K139" s="145"/>
      <c r="L139" s="145"/>
    </row>
    <row r="140" spans="3:12">
      <c r="C140" s="145"/>
      <c r="D140" s="145"/>
      <c r="E140" s="145"/>
      <c r="F140" s="145"/>
      <c r="G140" s="145"/>
      <c r="H140" s="145"/>
      <c r="I140" s="145"/>
      <c r="J140" s="145"/>
      <c r="K140" s="145"/>
      <c r="L140" s="145"/>
    </row>
    <row r="141" spans="3:12">
      <c r="C141" s="145"/>
      <c r="D141" s="145"/>
      <c r="E141" s="145"/>
      <c r="F141" s="145"/>
      <c r="G141" s="145"/>
      <c r="H141" s="145"/>
      <c r="I141" s="145"/>
      <c r="J141" s="145"/>
      <c r="K141" s="145"/>
      <c r="L141" s="145"/>
    </row>
    <row r="142" spans="3:12">
      <c r="C142" s="145"/>
      <c r="D142" s="145"/>
      <c r="E142" s="145"/>
      <c r="F142" s="145"/>
      <c r="G142" s="145"/>
      <c r="H142" s="145"/>
      <c r="I142" s="145"/>
      <c r="J142" s="145"/>
      <c r="K142" s="145"/>
      <c r="L142" s="145"/>
    </row>
    <row r="143" spans="3:12">
      <c r="C143" s="145"/>
      <c r="D143" s="145"/>
      <c r="E143" s="145"/>
      <c r="F143" s="145"/>
      <c r="G143" s="145"/>
      <c r="H143" s="145"/>
      <c r="I143" s="145"/>
      <c r="J143" s="145"/>
      <c r="K143" s="145"/>
      <c r="L143" s="145"/>
    </row>
    <row r="144" spans="3:12">
      <c r="C144" s="145"/>
      <c r="D144" s="145"/>
      <c r="E144" s="145"/>
      <c r="F144" s="145"/>
      <c r="G144" s="145"/>
      <c r="H144" s="145"/>
      <c r="I144" s="145"/>
      <c r="J144" s="145"/>
      <c r="K144" s="145"/>
      <c r="L144" s="145"/>
    </row>
    <row r="145" spans="3:12">
      <c r="C145" s="145"/>
      <c r="D145" s="145"/>
      <c r="E145" s="145"/>
      <c r="F145" s="145"/>
      <c r="G145" s="145"/>
      <c r="H145" s="145"/>
      <c r="I145" s="145"/>
      <c r="J145" s="145"/>
      <c r="K145" s="145"/>
      <c r="L145" s="145"/>
    </row>
    <row r="146" spans="3:12">
      <c r="C146" s="145"/>
      <c r="D146" s="145"/>
      <c r="E146" s="145"/>
      <c r="F146" s="145"/>
      <c r="G146" s="145"/>
      <c r="H146" s="145"/>
      <c r="I146" s="145"/>
      <c r="J146" s="145"/>
      <c r="K146" s="145"/>
      <c r="L146" s="145"/>
    </row>
    <row r="147" spans="3:12">
      <c r="C147" s="145"/>
      <c r="D147" s="145"/>
      <c r="E147" s="145"/>
      <c r="F147" s="145"/>
      <c r="G147" s="145"/>
      <c r="H147" s="145"/>
      <c r="I147" s="145"/>
      <c r="J147" s="145"/>
      <c r="K147" s="145"/>
      <c r="L147" s="145"/>
    </row>
    <row r="148" spans="3:12">
      <c r="C148" s="145"/>
      <c r="D148" s="145"/>
      <c r="E148" s="145"/>
      <c r="F148" s="145"/>
      <c r="G148" s="145"/>
      <c r="H148" s="145"/>
      <c r="I148" s="145"/>
      <c r="J148" s="145"/>
      <c r="K148" s="145"/>
      <c r="L148" s="145"/>
    </row>
    <row r="149" spans="3:12">
      <c r="C149" s="145"/>
      <c r="D149" s="145"/>
      <c r="E149" s="145"/>
      <c r="F149" s="145"/>
      <c r="G149" s="145"/>
      <c r="H149" s="145"/>
      <c r="I149" s="145"/>
      <c r="J149" s="145"/>
      <c r="K149" s="145"/>
      <c r="L149" s="145"/>
    </row>
    <row r="150" spans="3:12">
      <c r="C150" s="145"/>
      <c r="D150" s="145"/>
      <c r="E150" s="145"/>
      <c r="F150" s="145"/>
      <c r="G150" s="145"/>
      <c r="H150" s="145"/>
      <c r="I150" s="145"/>
      <c r="J150" s="145"/>
      <c r="K150" s="145"/>
      <c r="L150" s="145"/>
    </row>
    <row r="151" spans="3:12">
      <c r="C151" s="145"/>
      <c r="D151" s="145"/>
      <c r="E151" s="145"/>
      <c r="F151" s="145"/>
      <c r="G151" s="145"/>
      <c r="H151" s="145"/>
      <c r="I151" s="145"/>
      <c r="J151" s="145"/>
      <c r="K151" s="145"/>
      <c r="L151" s="145"/>
    </row>
    <row r="152" spans="3:12">
      <c r="C152" s="145"/>
      <c r="D152" s="145"/>
      <c r="E152" s="145"/>
      <c r="F152" s="145"/>
      <c r="G152" s="145"/>
      <c r="H152" s="145"/>
      <c r="I152" s="145"/>
      <c r="J152" s="145"/>
      <c r="K152" s="145"/>
      <c r="L152" s="145"/>
    </row>
    <row r="153" spans="3:12">
      <c r="C153" s="145"/>
      <c r="D153" s="145"/>
      <c r="E153" s="145"/>
      <c r="F153" s="145"/>
      <c r="G153" s="145"/>
      <c r="H153" s="145"/>
      <c r="I153" s="145"/>
      <c r="J153" s="145"/>
      <c r="K153" s="145"/>
      <c r="L153" s="145"/>
    </row>
    <row r="154" spans="3:12">
      <c r="C154" s="145"/>
      <c r="D154" s="145"/>
      <c r="E154" s="145"/>
      <c r="F154" s="145"/>
      <c r="G154" s="145"/>
      <c r="H154" s="145"/>
      <c r="I154" s="145"/>
      <c r="J154" s="145"/>
      <c r="K154" s="145"/>
      <c r="L154" s="145"/>
    </row>
    <row r="155" spans="3:12">
      <c r="C155" s="145"/>
      <c r="D155" s="145"/>
      <c r="E155" s="145"/>
      <c r="F155" s="145"/>
      <c r="G155" s="145"/>
      <c r="H155" s="145"/>
      <c r="I155" s="145"/>
      <c r="J155" s="145"/>
      <c r="K155" s="145"/>
      <c r="L155" s="145"/>
    </row>
    <row r="156" spans="3:12">
      <c r="C156" s="145"/>
      <c r="D156" s="145"/>
      <c r="E156" s="145"/>
      <c r="F156" s="145"/>
      <c r="G156" s="145"/>
      <c r="H156" s="145"/>
      <c r="I156" s="145"/>
      <c r="J156" s="145"/>
      <c r="K156" s="145"/>
      <c r="L156" s="145"/>
    </row>
    <row r="157" spans="3:12">
      <c r="C157" s="145"/>
      <c r="D157" s="145"/>
      <c r="E157" s="145"/>
      <c r="F157" s="145"/>
      <c r="G157" s="145"/>
      <c r="H157" s="145"/>
      <c r="I157" s="145"/>
      <c r="J157" s="145"/>
      <c r="K157" s="145"/>
      <c r="L157" s="145"/>
    </row>
    <row r="158" spans="3:12">
      <c r="C158" s="145"/>
      <c r="D158" s="145"/>
      <c r="E158" s="145"/>
      <c r="F158" s="145"/>
      <c r="G158" s="145"/>
      <c r="H158" s="145"/>
      <c r="I158" s="145"/>
      <c r="J158" s="145"/>
      <c r="K158" s="145"/>
      <c r="L158" s="145"/>
    </row>
    <row r="159" spans="3:12">
      <c r="C159" s="145"/>
      <c r="D159" s="145"/>
      <c r="E159" s="145"/>
      <c r="F159" s="145"/>
      <c r="G159" s="145"/>
      <c r="H159" s="145"/>
      <c r="I159" s="145"/>
      <c r="J159" s="145"/>
      <c r="K159" s="145"/>
      <c r="L159" s="145"/>
    </row>
    <row r="160" spans="3:12">
      <c r="C160" s="145"/>
      <c r="D160" s="145"/>
      <c r="E160" s="145"/>
      <c r="F160" s="145"/>
      <c r="G160" s="145"/>
      <c r="H160" s="145"/>
      <c r="I160" s="145"/>
      <c r="J160" s="145"/>
      <c r="K160" s="145"/>
      <c r="L160" s="145"/>
    </row>
    <row r="161" spans="3:12">
      <c r="C161" s="145"/>
      <c r="D161" s="145"/>
      <c r="E161" s="145"/>
      <c r="F161" s="145"/>
      <c r="G161" s="145"/>
      <c r="H161" s="145"/>
      <c r="I161" s="145"/>
      <c r="J161" s="145"/>
      <c r="K161" s="145"/>
      <c r="L161" s="145"/>
    </row>
    <row r="162" spans="3:12">
      <c r="C162" s="145"/>
      <c r="D162" s="145"/>
      <c r="E162" s="145"/>
      <c r="F162" s="145"/>
      <c r="G162" s="145"/>
      <c r="H162" s="145"/>
      <c r="I162" s="145"/>
      <c r="J162" s="145"/>
      <c r="K162" s="145"/>
      <c r="L162" s="145"/>
    </row>
    <row r="163" spans="3:12">
      <c r="C163" s="145"/>
      <c r="D163" s="145"/>
      <c r="E163" s="145"/>
      <c r="F163" s="145"/>
      <c r="G163" s="145"/>
      <c r="H163" s="145"/>
      <c r="I163" s="145"/>
      <c r="J163" s="145"/>
      <c r="K163" s="145"/>
      <c r="L163" s="145"/>
    </row>
    <row r="164" spans="3:12">
      <c r="C164" s="145"/>
      <c r="D164" s="145"/>
      <c r="E164" s="145"/>
      <c r="F164" s="145"/>
      <c r="G164" s="145"/>
      <c r="H164" s="145"/>
      <c r="I164" s="145"/>
      <c r="J164" s="145"/>
      <c r="K164" s="145"/>
      <c r="L164" s="145"/>
    </row>
    <row r="165" spans="3:12">
      <c r="C165" s="145"/>
      <c r="D165" s="145"/>
      <c r="E165" s="145"/>
      <c r="F165" s="145"/>
      <c r="G165" s="145"/>
      <c r="H165" s="145"/>
      <c r="I165" s="145"/>
      <c r="J165" s="145"/>
      <c r="K165" s="145"/>
      <c r="L165" s="145"/>
    </row>
    <row r="166" spans="3:12">
      <c r="C166" s="145"/>
      <c r="D166" s="145"/>
      <c r="E166" s="145"/>
      <c r="F166" s="145"/>
      <c r="G166" s="145"/>
      <c r="H166" s="145"/>
      <c r="I166" s="145"/>
      <c r="J166" s="145"/>
      <c r="K166" s="145"/>
      <c r="L166" s="145"/>
    </row>
    <row r="167" spans="3:12">
      <c r="C167" s="145"/>
      <c r="D167" s="145"/>
      <c r="E167" s="145"/>
      <c r="F167" s="145"/>
      <c r="G167" s="145"/>
      <c r="H167" s="145"/>
      <c r="I167" s="145"/>
      <c r="J167" s="145"/>
      <c r="K167" s="145"/>
      <c r="L167" s="145"/>
    </row>
    <row r="168" spans="3:12">
      <c r="C168" s="145"/>
      <c r="D168" s="145"/>
      <c r="E168" s="145"/>
      <c r="F168" s="145"/>
      <c r="G168" s="145"/>
      <c r="H168" s="145"/>
      <c r="I168" s="145"/>
      <c r="J168" s="145"/>
      <c r="K168" s="145"/>
      <c r="L168" s="145"/>
    </row>
    <row r="169" spans="3:12">
      <c r="C169" s="145"/>
      <c r="D169" s="145"/>
      <c r="E169" s="145"/>
      <c r="F169" s="145"/>
      <c r="G169" s="145"/>
      <c r="H169" s="145"/>
      <c r="I169" s="145"/>
      <c r="J169" s="145"/>
      <c r="K169" s="145"/>
      <c r="L169" s="145"/>
    </row>
    <row r="170" spans="3:12">
      <c r="C170" s="145"/>
      <c r="D170" s="145"/>
      <c r="E170" s="145"/>
      <c r="F170" s="145"/>
      <c r="G170" s="145"/>
      <c r="H170" s="145"/>
      <c r="I170" s="145"/>
      <c r="J170" s="145"/>
      <c r="K170" s="145"/>
      <c r="L170" s="145"/>
    </row>
    <row r="171" spans="3:12">
      <c r="C171" s="145"/>
      <c r="D171" s="145"/>
      <c r="E171" s="145"/>
      <c r="F171" s="145"/>
      <c r="G171" s="145"/>
      <c r="H171" s="145"/>
      <c r="I171" s="145"/>
      <c r="J171" s="145"/>
      <c r="K171" s="145"/>
      <c r="L171" s="145"/>
    </row>
    <row r="172" spans="3:12">
      <c r="C172" s="145"/>
      <c r="D172" s="145"/>
      <c r="E172" s="145"/>
      <c r="F172" s="145"/>
      <c r="G172" s="145"/>
      <c r="H172" s="145"/>
      <c r="I172" s="145"/>
      <c r="J172" s="145"/>
      <c r="K172" s="145"/>
      <c r="L172" s="145"/>
    </row>
    <row r="173" spans="3:12">
      <c r="C173" s="145"/>
      <c r="D173" s="145"/>
      <c r="E173" s="145"/>
      <c r="F173" s="145"/>
      <c r="G173" s="145"/>
      <c r="H173" s="145"/>
      <c r="I173" s="145"/>
      <c r="J173" s="145"/>
      <c r="K173" s="145"/>
      <c r="L173" s="145"/>
    </row>
    <row r="174" spans="3:12">
      <c r="C174" s="145"/>
      <c r="D174" s="145"/>
      <c r="E174" s="145"/>
      <c r="F174" s="145"/>
      <c r="G174" s="145"/>
      <c r="H174" s="145"/>
      <c r="I174" s="145"/>
      <c r="J174" s="145"/>
      <c r="K174" s="145"/>
      <c r="L174" s="145"/>
    </row>
    <row r="175" spans="3:12">
      <c r="C175" s="145"/>
      <c r="D175" s="145"/>
      <c r="E175" s="145"/>
      <c r="F175" s="145"/>
      <c r="G175" s="145"/>
      <c r="H175" s="145"/>
      <c r="I175" s="145"/>
      <c r="J175" s="145"/>
      <c r="K175" s="145"/>
      <c r="L175" s="145"/>
    </row>
    <row r="176" spans="3:12">
      <c r="C176" s="145"/>
      <c r="D176" s="145"/>
      <c r="E176" s="145"/>
      <c r="F176" s="145"/>
      <c r="G176" s="145"/>
      <c r="H176" s="145"/>
      <c r="I176" s="145"/>
      <c r="J176" s="145"/>
      <c r="K176" s="145"/>
      <c r="L176" s="145"/>
    </row>
    <row r="177" spans="3:12">
      <c r="C177" s="145"/>
      <c r="D177" s="145"/>
      <c r="E177" s="145"/>
      <c r="F177" s="145"/>
      <c r="G177" s="145"/>
      <c r="H177" s="145"/>
      <c r="I177" s="145"/>
      <c r="J177" s="145"/>
      <c r="K177" s="145"/>
      <c r="L177" s="145"/>
    </row>
    <row r="178" spans="3:12">
      <c r="C178" s="145"/>
      <c r="D178" s="145"/>
      <c r="E178" s="145"/>
      <c r="F178" s="145"/>
      <c r="G178" s="145"/>
      <c r="H178" s="145"/>
      <c r="I178" s="145"/>
      <c r="J178" s="145"/>
      <c r="K178" s="145"/>
      <c r="L178" s="145"/>
    </row>
    <row r="179" spans="3:12">
      <c r="C179" s="145"/>
      <c r="D179" s="145"/>
      <c r="E179" s="145"/>
      <c r="F179" s="145"/>
      <c r="G179" s="145"/>
      <c r="H179" s="145"/>
      <c r="I179" s="145"/>
      <c r="J179" s="145"/>
      <c r="K179" s="145"/>
      <c r="L179" s="145"/>
    </row>
    <row r="180" spans="3:12">
      <c r="C180" s="145"/>
      <c r="D180" s="145"/>
      <c r="E180" s="145"/>
      <c r="F180" s="145"/>
      <c r="G180" s="145"/>
      <c r="H180" s="145"/>
      <c r="I180" s="145"/>
      <c r="J180" s="145"/>
      <c r="K180" s="145"/>
      <c r="L180" s="145"/>
    </row>
    <row r="181" spans="3:12">
      <c r="C181" s="145"/>
      <c r="D181" s="145"/>
      <c r="E181" s="145"/>
      <c r="F181" s="145"/>
      <c r="G181" s="145"/>
      <c r="H181" s="145"/>
      <c r="I181" s="145"/>
      <c r="J181" s="145"/>
      <c r="K181" s="145"/>
      <c r="L181" s="145"/>
    </row>
    <row r="182" spans="3:12">
      <c r="C182" s="145"/>
      <c r="D182" s="145"/>
      <c r="E182" s="145"/>
      <c r="F182" s="145"/>
      <c r="G182" s="145"/>
      <c r="H182" s="145"/>
      <c r="I182" s="145"/>
      <c r="J182" s="145"/>
      <c r="K182" s="145"/>
      <c r="L182" s="145"/>
    </row>
    <row r="183" spans="3:12">
      <c r="C183" s="145"/>
      <c r="D183" s="145"/>
      <c r="E183" s="145"/>
      <c r="F183" s="145"/>
      <c r="G183" s="145"/>
      <c r="H183" s="145"/>
      <c r="I183" s="145"/>
      <c r="J183" s="145"/>
      <c r="K183" s="145"/>
      <c r="L183" s="145"/>
    </row>
    <row r="184" spans="3:12">
      <c r="C184" s="145"/>
      <c r="D184" s="145"/>
      <c r="E184" s="145"/>
      <c r="F184" s="145"/>
      <c r="G184" s="145"/>
      <c r="H184" s="145"/>
      <c r="I184" s="145"/>
      <c r="J184" s="145"/>
      <c r="K184" s="145"/>
      <c r="L184" s="145"/>
    </row>
    <row r="185" spans="3:12">
      <c r="C185" s="145"/>
      <c r="D185" s="145"/>
      <c r="E185" s="145"/>
      <c r="F185" s="145"/>
      <c r="G185" s="145"/>
      <c r="H185" s="145"/>
      <c r="I185" s="145"/>
      <c r="J185" s="145"/>
      <c r="K185" s="145"/>
      <c r="L185" s="145"/>
    </row>
    <row r="186" spans="3:12">
      <c r="C186" s="145"/>
      <c r="D186" s="145"/>
      <c r="E186" s="145"/>
      <c r="F186" s="145"/>
      <c r="G186" s="145"/>
      <c r="H186" s="145"/>
      <c r="I186" s="145"/>
      <c r="J186" s="145"/>
      <c r="K186" s="145"/>
      <c r="L186" s="145"/>
    </row>
    <row r="187" spans="3:12">
      <c r="C187" s="145"/>
      <c r="D187" s="145"/>
      <c r="E187" s="145"/>
      <c r="F187" s="145"/>
      <c r="G187" s="145"/>
      <c r="H187" s="145"/>
      <c r="I187" s="145"/>
      <c r="J187" s="145"/>
      <c r="K187" s="145"/>
      <c r="L187" s="145"/>
    </row>
    <row r="188" spans="3:12">
      <c r="C188" s="145"/>
      <c r="D188" s="145"/>
      <c r="E188" s="145"/>
      <c r="F188" s="145"/>
      <c r="G188" s="145"/>
      <c r="H188" s="145"/>
      <c r="I188" s="145"/>
      <c r="J188" s="145"/>
      <c r="K188" s="145"/>
      <c r="L188" s="145"/>
    </row>
    <row r="189" spans="3:12">
      <c r="C189" s="145"/>
      <c r="D189" s="145"/>
      <c r="E189" s="145"/>
      <c r="F189" s="145"/>
      <c r="G189" s="145"/>
      <c r="H189" s="145"/>
      <c r="I189" s="145"/>
      <c r="J189" s="145"/>
      <c r="K189" s="145"/>
      <c r="L189" s="145"/>
    </row>
    <row r="190" spans="3:12">
      <c r="C190" s="145"/>
      <c r="D190" s="145"/>
      <c r="E190" s="145"/>
      <c r="F190" s="145"/>
      <c r="G190" s="145"/>
      <c r="H190" s="145"/>
      <c r="I190" s="145"/>
      <c r="J190" s="145"/>
      <c r="K190" s="145"/>
      <c r="L190" s="145"/>
    </row>
    <row r="191" spans="3:12">
      <c r="C191" s="145"/>
      <c r="D191" s="145"/>
      <c r="E191" s="145"/>
      <c r="F191" s="145"/>
      <c r="G191" s="145"/>
      <c r="H191" s="145"/>
      <c r="I191" s="145"/>
      <c r="J191" s="145"/>
      <c r="K191" s="145"/>
      <c r="L191" s="145"/>
    </row>
    <row r="192" spans="3:12">
      <c r="C192" s="145"/>
      <c r="D192" s="145"/>
      <c r="E192" s="145"/>
      <c r="F192" s="145"/>
      <c r="G192" s="145"/>
      <c r="H192" s="145"/>
      <c r="I192" s="145"/>
      <c r="J192" s="145"/>
      <c r="K192" s="145"/>
      <c r="L192" s="145"/>
    </row>
    <row r="193" spans="3:12">
      <c r="C193" s="145"/>
      <c r="D193" s="145"/>
      <c r="E193" s="145"/>
      <c r="F193" s="145"/>
      <c r="G193" s="145"/>
      <c r="H193" s="145"/>
      <c r="I193" s="145"/>
      <c r="J193" s="145"/>
      <c r="K193" s="145"/>
      <c r="L193" s="145"/>
    </row>
    <row r="194" spans="3:12">
      <c r="C194" s="145"/>
      <c r="D194" s="145"/>
      <c r="E194" s="145"/>
      <c r="F194" s="145"/>
      <c r="G194" s="145"/>
      <c r="H194" s="145"/>
      <c r="I194" s="145"/>
      <c r="J194" s="145"/>
      <c r="K194" s="145"/>
      <c r="L194" s="145"/>
    </row>
    <row r="195" spans="3:12">
      <c r="C195" s="145"/>
      <c r="D195" s="145"/>
      <c r="E195" s="145"/>
      <c r="F195" s="145"/>
      <c r="G195" s="145"/>
      <c r="H195" s="145"/>
      <c r="I195" s="145"/>
      <c r="J195" s="145"/>
      <c r="K195" s="145"/>
      <c r="L195" s="145"/>
    </row>
    <row r="196" spans="3:12">
      <c r="C196" s="145"/>
      <c r="D196" s="145"/>
      <c r="E196" s="145"/>
      <c r="F196" s="145"/>
      <c r="G196" s="145"/>
      <c r="H196" s="145"/>
      <c r="I196" s="145"/>
      <c r="J196" s="145"/>
      <c r="K196" s="145"/>
      <c r="L196" s="145"/>
    </row>
    <row r="197" spans="3:12">
      <c r="C197" s="145"/>
      <c r="D197" s="145"/>
      <c r="E197" s="145"/>
      <c r="F197" s="145"/>
      <c r="G197" s="145"/>
      <c r="H197" s="145"/>
      <c r="I197" s="145"/>
      <c r="J197" s="145"/>
      <c r="K197" s="145"/>
      <c r="L197" s="145"/>
    </row>
    <row r="198" spans="3:12">
      <c r="C198" s="145"/>
      <c r="D198" s="145"/>
      <c r="E198" s="145"/>
      <c r="F198" s="145"/>
      <c r="G198" s="145"/>
      <c r="H198" s="145"/>
      <c r="I198" s="145"/>
      <c r="J198" s="145"/>
      <c r="K198" s="145"/>
      <c r="L198" s="145"/>
    </row>
    <row r="199" spans="3:12">
      <c r="C199" s="145"/>
      <c r="D199" s="145"/>
      <c r="E199" s="145"/>
      <c r="F199" s="145"/>
      <c r="G199" s="145"/>
      <c r="H199" s="145"/>
      <c r="I199" s="145"/>
      <c r="J199" s="145"/>
      <c r="K199" s="145"/>
      <c r="L199" s="145"/>
    </row>
    <row r="200" spans="3:12">
      <c r="C200" s="145"/>
      <c r="D200" s="145"/>
      <c r="E200" s="145"/>
      <c r="F200" s="145"/>
      <c r="G200" s="145"/>
      <c r="H200" s="145"/>
      <c r="I200" s="145"/>
      <c r="J200" s="145"/>
      <c r="K200" s="145"/>
      <c r="L200" s="145"/>
    </row>
    <row r="201" spans="3:12">
      <c r="C201" s="145"/>
      <c r="D201" s="145"/>
      <c r="E201" s="145"/>
      <c r="F201" s="145"/>
      <c r="G201" s="145"/>
      <c r="H201" s="145"/>
      <c r="I201" s="145"/>
      <c r="J201" s="145"/>
      <c r="K201" s="145"/>
      <c r="L201" s="145"/>
    </row>
    <row r="202" spans="3:12">
      <c r="C202" s="145"/>
      <c r="D202" s="145"/>
      <c r="E202" s="145"/>
      <c r="F202" s="145"/>
      <c r="G202" s="145"/>
      <c r="H202" s="145"/>
      <c r="I202" s="145"/>
      <c r="J202" s="145"/>
      <c r="K202" s="145"/>
      <c r="L202" s="145"/>
    </row>
    <row r="203" spans="3:12">
      <c r="C203" s="145"/>
      <c r="D203" s="145"/>
      <c r="E203" s="145"/>
      <c r="F203" s="145"/>
      <c r="G203" s="145"/>
      <c r="H203" s="145"/>
      <c r="I203" s="145"/>
      <c r="J203" s="145"/>
      <c r="K203" s="145"/>
      <c r="L203" s="145"/>
    </row>
    <row r="204" spans="3:12">
      <c r="C204" s="145"/>
      <c r="D204" s="145"/>
      <c r="E204" s="145"/>
      <c r="F204" s="145"/>
      <c r="G204" s="145"/>
      <c r="H204" s="145"/>
      <c r="I204" s="145"/>
      <c r="J204" s="145"/>
      <c r="K204" s="145"/>
      <c r="L204" s="145"/>
    </row>
    <row r="205" spans="3:12">
      <c r="C205" s="145"/>
      <c r="D205" s="145"/>
      <c r="E205" s="145"/>
      <c r="F205" s="145"/>
      <c r="G205" s="145"/>
      <c r="H205" s="145"/>
      <c r="I205" s="145"/>
      <c r="J205" s="145"/>
      <c r="K205" s="145"/>
      <c r="L205" s="145"/>
    </row>
    <row r="206" spans="3:12">
      <c r="C206" s="145"/>
      <c r="D206" s="145"/>
      <c r="E206" s="145"/>
      <c r="F206" s="145"/>
      <c r="G206" s="145"/>
      <c r="H206" s="145"/>
      <c r="I206" s="145"/>
      <c r="J206" s="145"/>
      <c r="K206" s="145"/>
      <c r="L206" s="145"/>
    </row>
    <row r="207" spans="3:12">
      <c r="C207" s="145"/>
      <c r="D207" s="145"/>
      <c r="E207" s="145"/>
      <c r="F207" s="145"/>
      <c r="G207" s="145"/>
      <c r="H207" s="145"/>
      <c r="I207" s="145"/>
      <c r="J207" s="145"/>
      <c r="K207" s="145"/>
      <c r="L207" s="145"/>
    </row>
    <row r="208" spans="3:12">
      <c r="C208" s="145"/>
      <c r="D208" s="145"/>
      <c r="E208" s="145"/>
      <c r="F208" s="145"/>
      <c r="G208" s="145"/>
      <c r="H208" s="145"/>
      <c r="I208" s="145"/>
      <c r="J208" s="145"/>
      <c r="K208" s="145"/>
      <c r="L208" s="145"/>
    </row>
    <row r="209" spans="3:12">
      <c r="C209" s="145"/>
      <c r="D209" s="145"/>
      <c r="E209" s="145"/>
      <c r="F209" s="145"/>
      <c r="G209" s="145"/>
      <c r="H209" s="145"/>
      <c r="I209" s="145"/>
      <c r="J209" s="145"/>
      <c r="K209" s="145"/>
      <c r="L209" s="145"/>
    </row>
    <row r="210" spans="3:12">
      <c r="C210" s="145"/>
      <c r="D210" s="145"/>
      <c r="E210" s="145"/>
      <c r="F210" s="145"/>
      <c r="G210" s="145"/>
      <c r="H210" s="145"/>
      <c r="I210" s="145"/>
      <c r="J210" s="145"/>
      <c r="K210" s="145"/>
      <c r="L210" s="145"/>
    </row>
    <row r="211" spans="3:12">
      <c r="C211" s="145"/>
      <c r="D211" s="145"/>
      <c r="E211" s="145"/>
      <c r="F211" s="145"/>
      <c r="G211" s="145"/>
      <c r="H211" s="145"/>
      <c r="I211" s="145"/>
      <c r="J211" s="145"/>
      <c r="K211" s="145"/>
      <c r="L211" s="145"/>
    </row>
    <row r="212" spans="3:12">
      <c r="C212" s="145"/>
      <c r="D212" s="145"/>
      <c r="E212" s="145"/>
      <c r="F212" s="145"/>
      <c r="G212" s="145"/>
      <c r="H212" s="145"/>
      <c r="I212" s="145"/>
      <c r="J212" s="145"/>
      <c r="K212" s="145"/>
      <c r="L212" s="145"/>
    </row>
    <row r="213" spans="3:12">
      <c r="C213" s="145"/>
      <c r="D213" s="145"/>
      <c r="E213" s="145"/>
      <c r="F213" s="145"/>
      <c r="G213" s="145"/>
      <c r="H213" s="145"/>
      <c r="I213" s="145"/>
      <c r="J213" s="145"/>
      <c r="K213" s="145"/>
      <c r="L213" s="145"/>
    </row>
    <row r="214" spans="3:12">
      <c r="C214" s="145"/>
      <c r="D214" s="145"/>
      <c r="E214" s="145"/>
      <c r="F214" s="145"/>
      <c r="G214" s="145"/>
      <c r="H214" s="145"/>
      <c r="I214" s="145"/>
      <c r="J214" s="145"/>
      <c r="K214" s="145"/>
      <c r="L214" s="145"/>
    </row>
    <row r="215" spans="3:12">
      <c r="C215" s="145"/>
      <c r="D215" s="145"/>
      <c r="E215" s="145"/>
      <c r="F215" s="145"/>
      <c r="G215" s="145"/>
      <c r="H215" s="145"/>
      <c r="I215" s="145"/>
      <c r="J215" s="145"/>
      <c r="K215" s="145"/>
      <c r="L215" s="145"/>
    </row>
    <row r="216" spans="3:12">
      <c r="C216" s="145"/>
      <c r="D216" s="145"/>
      <c r="E216" s="145"/>
      <c r="F216" s="145"/>
      <c r="G216" s="145"/>
      <c r="H216" s="145"/>
      <c r="I216" s="145"/>
      <c r="J216" s="145"/>
      <c r="K216" s="145"/>
      <c r="L216" s="145"/>
    </row>
    <row r="217" spans="3:12">
      <c r="C217" s="145"/>
      <c r="D217" s="145"/>
      <c r="E217" s="145"/>
      <c r="F217" s="145"/>
      <c r="G217" s="145"/>
      <c r="H217" s="145"/>
      <c r="I217" s="145"/>
      <c r="J217" s="145"/>
      <c r="K217" s="145"/>
      <c r="L217" s="145"/>
    </row>
    <row r="218" spans="3:12">
      <c r="C218" s="145"/>
      <c r="D218" s="145"/>
      <c r="E218" s="145"/>
      <c r="F218" s="145"/>
      <c r="G218" s="145"/>
      <c r="H218" s="145"/>
      <c r="I218" s="145"/>
      <c r="J218" s="145"/>
      <c r="K218" s="145"/>
      <c r="L218" s="145"/>
    </row>
    <row r="219" spans="3:12">
      <c r="C219" s="145"/>
      <c r="D219" s="145"/>
      <c r="E219" s="145"/>
      <c r="F219" s="145"/>
      <c r="G219" s="145"/>
      <c r="H219" s="145"/>
      <c r="I219" s="145"/>
      <c r="J219" s="145"/>
      <c r="K219" s="145"/>
      <c r="L219" s="145"/>
    </row>
    <row r="220" spans="3:12">
      <c r="C220" s="145"/>
      <c r="D220" s="145"/>
      <c r="E220" s="145"/>
      <c r="F220" s="145"/>
      <c r="G220" s="145"/>
      <c r="H220" s="145"/>
      <c r="I220" s="145"/>
      <c r="J220" s="145"/>
      <c r="K220" s="145"/>
      <c r="L220" s="145"/>
    </row>
    <row r="221" spans="3:12">
      <c r="C221" s="145"/>
      <c r="D221" s="145"/>
      <c r="E221" s="145"/>
      <c r="F221" s="145"/>
      <c r="G221" s="145"/>
      <c r="H221" s="145"/>
      <c r="I221" s="145"/>
      <c r="J221" s="145"/>
      <c r="K221" s="145"/>
      <c r="L221" s="145"/>
    </row>
    <row r="222" spans="3:12">
      <c r="C222" s="145"/>
      <c r="D222" s="145"/>
      <c r="E222" s="145"/>
      <c r="F222" s="145"/>
      <c r="G222" s="145"/>
      <c r="H222" s="145"/>
      <c r="I222" s="145"/>
      <c r="J222" s="145"/>
      <c r="K222" s="145"/>
      <c r="L222" s="145"/>
    </row>
    <row r="223" spans="3:12">
      <c r="C223" s="145"/>
      <c r="D223" s="145"/>
      <c r="E223" s="145"/>
      <c r="F223" s="145"/>
      <c r="G223" s="145"/>
      <c r="H223" s="145"/>
      <c r="I223" s="145"/>
      <c r="J223" s="145"/>
      <c r="K223" s="145"/>
      <c r="L223" s="145"/>
    </row>
    <row r="224" spans="3:12">
      <c r="C224" s="145"/>
      <c r="D224" s="145"/>
      <c r="E224" s="145"/>
      <c r="F224" s="145"/>
      <c r="G224" s="145"/>
      <c r="H224" s="145"/>
      <c r="I224" s="145"/>
      <c r="J224" s="145"/>
      <c r="K224" s="145"/>
      <c r="L224" s="145"/>
    </row>
    <row r="225" spans="3:12">
      <c r="C225" s="145"/>
      <c r="D225" s="145"/>
      <c r="E225" s="145"/>
      <c r="F225" s="145"/>
      <c r="G225" s="145"/>
      <c r="H225" s="145"/>
      <c r="I225" s="145"/>
      <c r="J225" s="145"/>
      <c r="K225" s="145"/>
      <c r="L225" s="145"/>
    </row>
    <row r="226" spans="3:12">
      <c r="C226" s="145"/>
      <c r="D226" s="145"/>
      <c r="E226" s="145"/>
      <c r="F226" s="145"/>
      <c r="G226" s="145"/>
      <c r="H226" s="145"/>
      <c r="I226" s="145"/>
      <c r="J226" s="145"/>
      <c r="K226" s="145"/>
      <c r="L226" s="145"/>
    </row>
    <row r="227" spans="3:12">
      <c r="C227" s="145"/>
      <c r="D227" s="145"/>
      <c r="E227" s="145"/>
      <c r="F227" s="145"/>
      <c r="G227" s="145"/>
      <c r="H227" s="145"/>
      <c r="I227" s="145"/>
      <c r="J227" s="145"/>
      <c r="K227" s="145"/>
      <c r="L227" s="145"/>
    </row>
    <row r="228" spans="3:12">
      <c r="C228" s="145"/>
      <c r="D228" s="145"/>
      <c r="E228" s="145"/>
      <c r="F228" s="145"/>
      <c r="G228" s="145"/>
      <c r="H228" s="145"/>
      <c r="I228" s="145"/>
      <c r="J228" s="145"/>
      <c r="K228" s="145"/>
      <c r="L228" s="145"/>
    </row>
    <row r="229" spans="3:12">
      <c r="C229" s="145"/>
      <c r="D229" s="145"/>
      <c r="E229" s="145"/>
      <c r="F229" s="145"/>
      <c r="G229" s="145"/>
      <c r="H229" s="145"/>
      <c r="I229" s="145"/>
      <c r="J229" s="145"/>
      <c r="K229" s="145"/>
      <c r="L229" s="145"/>
    </row>
    <row r="230" spans="3:12">
      <c r="C230" s="145"/>
      <c r="D230" s="145"/>
      <c r="E230" s="145"/>
      <c r="F230" s="145"/>
      <c r="G230" s="145"/>
      <c r="H230" s="145"/>
      <c r="I230" s="145"/>
      <c r="J230" s="145"/>
      <c r="K230" s="145"/>
      <c r="L230" s="145"/>
    </row>
    <row r="231" spans="3:12">
      <c r="C231" s="145"/>
      <c r="D231" s="145"/>
      <c r="E231" s="145"/>
      <c r="F231" s="145"/>
      <c r="G231" s="145"/>
      <c r="H231" s="145"/>
      <c r="I231" s="145"/>
      <c r="J231" s="145"/>
      <c r="K231" s="145"/>
      <c r="L231" s="145"/>
    </row>
    <row r="232" spans="3:12">
      <c r="C232" s="145"/>
      <c r="D232" s="145"/>
      <c r="E232" s="145"/>
      <c r="F232" s="145"/>
      <c r="G232" s="145"/>
      <c r="H232" s="145"/>
      <c r="I232" s="145"/>
      <c r="J232" s="145"/>
      <c r="K232" s="145"/>
      <c r="L232" s="145"/>
    </row>
    <row r="233" spans="3:12">
      <c r="C233" s="145"/>
      <c r="D233" s="145"/>
      <c r="E233" s="145"/>
      <c r="F233" s="145"/>
      <c r="G233" s="145"/>
      <c r="H233" s="145"/>
      <c r="I233" s="145"/>
      <c r="J233" s="145"/>
      <c r="K233" s="145"/>
      <c r="L233" s="145"/>
    </row>
    <row r="234" spans="3:12">
      <c r="C234" s="145"/>
      <c r="D234" s="145"/>
      <c r="E234" s="145"/>
      <c r="F234" s="145"/>
      <c r="G234" s="145"/>
      <c r="H234" s="145"/>
      <c r="I234" s="145"/>
      <c r="J234" s="145"/>
      <c r="K234" s="145"/>
      <c r="L234" s="145"/>
    </row>
    <row r="235" spans="3:12">
      <c r="C235" s="145"/>
      <c r="D235" s="145"/>
      <c r="E235" s="145"/>
      <c r="F235" s="145"/>
      <c r="G235" s="145"/>
      <c r="H235" s="145"/>
      <c r="I235" s="145"/>
      <c r="J235" s="145"/>
      <c r="K235" s="145"/>
      <c r="L235" s="145"/>
    </row>
    <row r="236" spans="3:12">
      <c r="C236" s="145"/>
      <c r="D236" s="145"/>
      <c r="E236" s="145"/>
      <c r="F236" s="145"/>
      <c r="G236" s="145"/>
      <c r="H236" s="145"/>
      <c r="I236" s="145"/>
      <c r="J236" s="145"/>
      <c r="K236" s="145"/>
      <c r="L236" s="145"/>
    </row>
    <row r="237" spans="3:12">
      <c r="C237" s="145"/>
      <c r="D237" s="145"/>
      <c r="E237" s="145"/>
      <c r="F237" s="145"/>
      <c r="G237" s="145"/>
      <c r="H237" s="145"/>
      <c r="I237" s="145"/>
      <c r="J237" s="145"/>
      <c r="K237" s="145"/>
      <c r="L237" s="145"/>
    </row>
    <row r="238" spans="3:12">
      <c r="C238" s="145"/>
      <c r="D238" s="145"/>
      <c r="E238" s="145"/>
      <c r="F238" s="145"/>
      <c r="G238" s="145"/>
      <c r="H238" s="145"/>
      <c r="I238" s="145"/>
      <c r="J238" s="145"/>
      <c r="K238" s="145"/>
      <c r="L238" s="145"/>
    </row>
    <row r="239" spans="3:12">
      <c r="C239" s="145"/>
      <c r="D239" s="145"/>
      <c r="E239" s="145"/>
      <c r="F239" s="145"/>
      <c r="G239" s="145"/>
      <c r="H239" s="145"/>
      <c r="I239" s="145"/>
      <c r="J239" s="145"/>
      <c r="K239" s="145"/>
      <c r="L239" s="145"/>
    </row>
    <row r="240" spans="3:12">
      <c r="C240" s="145"/>
      <c r="D240" s="145"/>
      <c r="E240" s="145"/>
      <c r="F240" s="145"/>
      <c r="G240" s="145"/>
      <c r="H240" s="145"/>
      <c r="I240" s="145"/>
      <c r="J240" s="145"/>
      <c r="K240" s="145"/>
      <c r="L240" s="145"/>
    </row>
    <row r="241" spans="3:12">
      <c r="C241" s="145"/>
      <c r="D241" s="145"/>
      <c r="E241" s="145"/>
      <c r="F241" s="145"/>
      <c r="G241" s="145"/>
      <c r="H241" s="145"/>
      <c r="I241" s="145"/>
      <c r="J241" s="145"/>
      <c r="K241" s="145"/>
      <c r="L241" s="145"/>
    </row>
    <row r="242" spans="3:12">
      <c r="C242" s="145"/>
      <c r="D242" s="145"/>
      <c r="E242" s="145"/>
      <c r="F242" s="145"/>
      <c r="G242" s="145"/>
      <c r="H242" s="145"/>
      <c r="I242" s="145"/>
      <c r="J242" s="145"/>
      <c r="K242" s="145"/>
      <c r="L242" s="145"/>
    </row>
    <row r="243" spans="3:12">
      <c r="C243" s="145"/>
      <c r="D243" s="145"/>
      <c r="E243" s="145"/>
      <c r="F243" s="145"/>
      <c r="G243" s="145"/>
      <c r="H243" s="145"/>
      <c r="I243" s="145"/>
      <c r="J243" s="145"/>
      <c r="K243" s="145"/>
      <c r="L243" s="145"/>
    </row>
    <row r="244" spans="3:12">
      <c r="C244" s="145"/>
      <c r="D244" s="145"/>
      <c r="E244" s="145"/>
      <c r="F244" s="145"/>
      <c r="G244" s="145"/>
      <c r="H244" s="145"/>
      <c r="I244" s="145"/>
      <c r="J244" s="145"/>
      <c r="K244" s="145"/>
      <c r="L244" s="145"/>
    </row>
    <row r="245" spans="3:12">
      <c r="C245" s="145"/>
      <c r="D245" s="145"/>
      <c r="E245" s="145"/>
      <c r="F245" s="145"/>
      <c r="G245" s="145"/>
      <c r="H245" s="145"/>
      <c r="I245" s="145"/>
      <c r="J245" s="145"/>
      <c r="K245" s="145"/>
      <c r="L245" s="145"/>
    </row>
    <row r="246" spans="3:12">
      <c r="C246" s="145"/>
      <c r="D246" s="145"/>
      <c r="E246" s="145"/>
      <c r="F246" s="145"/>
      <c r="G246" s="145"/>
      <c r="H246" s="145"/>
      <c r="I246" s="145"/>
      <c r="J246" s="145"/>
      <c r="K246" s="145"/>
      <c r="L246" s="145"/>
    </row>
    <row r="247" spans="3:12">
      <c r="C247" s="145"/>
      <c r="D247" s="145"/>
      <c r="E247" s="145"/>
      <c r="F247" s="145"/>
      <c r="G247" s="145"/>
      <c r="H247" s="145"/>
      <c r="I247" s="145"/>
      <c r="J247" s="145"/>
      <c r="K247" s="145"/>
      <c r="L247" s="145"/>
    </row>
    <row r="248" spans="3:12">
      <c r="C248" s="145"/>
      <c r="D248" s="145"/>
      <c r="E248" s="145"/>
      <c r="F248" s="145"/>
      <c r="G248" s="145"/>
      <c r="H248" s="145"/>
      <c r="I248" s="145"/>
      <c r="J248" s="145"/>
      <c r="K248" s="145"/>
      <c r="L248" s="145"/>
    </row>
    <row r="249" spans="3:12">
      <c r="C249" s="145"/>
      <c r="D249" s="145"/>
      <c r="E249" s="145"/>
      <c r="F249" s="145"/>
      <c r="G249" s="145"/>
      <c r="H249" s="145"/>
      <c r="I249" s="145"/>
      <c r="J249" s="145"/>
      <c r="K249" s="145"/>
      <c r="L249" s="145"/>
    </row>
    <row r="250" spans="3:12">
      <c r="C250" s="145"/>
      <c r="D250" s="145"/>
      <c r="E250" s="145"/>
      <c r="F250" s="145"/>
      <c r="G250" s="145"/>
      <c r="H250" s="145"/>
      <c r="I250" s="145"/>
      <c r="J250" s="145"/>
      <c r="K250" s="145"/>
      <c r="L250" s="145"/>
    </row>
    <row r="251" spans="3:12">
      <c r="C251" s="145"/>
      <c r="D251" s="145"/>
      <c r="E251" s="145"/>
      <c r="F251" s="145"/>
      <c r="G251" s="145"/>
      <c r="H251" s="145"/>
      <c r="I251" s="145"/>
      <c r="J251" s="145"/>
      <c r="K251" s="145"/>
      <c r="L251" s="145"/>
    </row>
    <row r="252" spans="3:12">
      <c r="C252" s="145"/>
      <c r="D252" s="145"/>
      <c r="E252" s="145"/>
      <c r="F252" s="145"/>
      <c r="G252" s="145"/>
      <c r="H252" s="145"/>
      <c r="I252" s="145"/>
      <c r="J252" s="145"/>
      <c r="K252" s="145"/>
      <c r="L252" s="145"/>
    </row>
    <row r="253" spans="3:12">
      <c r="C253" s="145"/>
      <c r="D253" s="145"/>
      <c r="E253" s="145"/>
      <c r="F253" s="145"/>
      <c r="G253" s="145"/>
      <c r="H253" s="145"/>
      <c r="I253" s="145"/>
      <c r="J253" s="145"/>
      <c r="K253" s="145"/>
      <c r="L253" s="145"/>
    </row>
    <row r="254" spans="3:12">
      <c r="C254" s="145"/>
      <c r="D254" s="145"/>
      <c r="E254" s="145"/>
      <c r="F254" s="145"/>
      <c r="G254" s="145"/>
      <c r="H254" s="145"/>
      <c r="I254" s="145"/>
      <c r="J254" s="145"/>
      <c r="K254" s="145"/>
      <c r="L254" s="145"/>
    </row>
    <row r="255" spans="3:12">
      <c r="C255" s="145"/>
      <c r="D255" s="145"/>
      <c r="E255" s="145"/>
      <c r="F255" s="145"/>
      <c r="G255" s="145"/>
      <c r="H255" s="145"/>
      <c r="I255" s="145"/>
      <c r="J255" s="145"/>
      <c r="K255" s="145"/>
      <c r="L255" s="145"/>
    </row>
    <row r="256" spans="3:12">
      <c r="C256" s="145"/>
      <c r="D256" s="145"/>
      <c r="E256" s="145"/>
      <c r="F256" s="145"/>
      <c r="G256" s="145"/>
      <c r="H256" s="145"/>
      <c r="I256" s="145"/>
      <c r="J256" s="145"/>
      <c r="K256" s="145"/>
      <c r="L256" s="145"/>
    </row>
    <row r="257" spans="3:12">
      <c r="C257" s="145"/>
      <c r="D257" s="145"/>
      <c r="E257" s="145"/>
      <c r="F257" s="145"/>
      <c r="G257" s="145"/>
      <c r="H257" s="145"/>
      <c r="I257" s="145"/>
      <c r="J257" s="145"/>
      <c r="K257" s="145"/>
      <c r="L257" s="145"/>
    </row>
    <row r="258" spans="3:12">
      <c r="C258" s="145"/>
      <c r="D258" s="145"/>
      <c r="E258" s="145"/>
      <c r="F258" s="145"/>
      <c r="G258" s="145"/>
      <c r="H258" s="145"/>
      <c r="I258" s="145"/>
      <c r="J258" s="145"/>
      <c r="K258" s="145"/>
      <c r="L258" s="145"/>
    </row>
    <row r="259" spans="3:12">
      <c r="C259" s="145"/>
      <c r="D259" s="145"/>
      <c r="E259" s="145"/>
      <c r="F259" s="145"/>
      <c r="G259" s="145"/>
      <c r="H259" s="145"/>
      <c r="I259" s="145"/>
      <c r="J259" s="145"/>
      <c r="K259" s="145"/>
      <c r="L259" s="145"/>
    </row>
    <row r="260" spans="3:12">
      <c r="C260" s="145"/>
      <c r="D260" s="145"/>
      <c r="E260" s="145"/>
      <c r="F260" s="145"/>
      <c r="G260" s="145"/>
      <c r="H260" s="145"/>
      <c r="I260" s="145"/>
      <c r="J260" s="145"/>
      <c r="K260" s="145"/>
      <c r="L260" s="145"/>
    </row>
    <row r="261" spans="3:12">
      <c r="C261" s="145"/>
      <c r="D261" s="145"/>
      <c r="E261" s="145"/>
      <c r="F261" s="145"/>
      <c r="G261" s="145"/>
      <c r="H261" s="145"/>
      <c r="I261" s="145"/>
      <c r="J261" s="145"/>
      <c r="K261" s="145"/>
      <c r="L261" s="145"/>
    </row>
    <row r="262" spans="3:12">
      <c r="C262" s="145"/>
      <c r="D262" s="145"/>
      <c r="E262" s="145"/>
      <c r="F262" s="145"/>
      <c r="G262" s="145"/>
      <c r="H262" s="145"/>
      <c r="I262" s="145"/>
      <c r="J262" s="145"/>
      <c r="K262" s="145"/>
      <c r="L262" s="145"/>
    </row>
    <row r="263" spans="3:12">
      <c r="C263" s="145"/>
      <c r="D263" s="145"/>
      <c r="E263" s="145"/>
      <c r="F263" s="145"/>
      <c r="G263" s="145"/>
      <c r="H263" s="145"/>
      <c r="I263" s="145"/>
      <c r="J263" s="145"/>
      <c r="K263" s="145"/>
      <c r="L263" s="145"/>
    </row>
    <row r="264" spans="3:12">
      <c r="C264" s="145"/>
      <c r="D264" s="145"/>
      <c r="E264" s="145"/>
      <c r="F264" s="145"/>
      <c r="G264" s="145"/>
      <c r="H264" s="145"/>
      <c r="I264" s="145"/>
      <c r="J264" s="145"/>
      <c r="K264" s="145"/>
      <c r="L264" s="145"/>
    </row>
    <row r="265" spans="3:12">
      <c r="C265" s="145"/>
      <c r="D265" s="145"/>
      <c r="E265" s="145"/>
      <c r="F265" s="145"/>
      <c r="G265" s="145"/>
      <c r="H265" s="145"/>
      <c r="I265" s="145"/>
      <c r="J265" s="145"/>
      <c r="K265" s="145"/>
      <c r="L265" s="145"/>
    </row>
    <row r="266" spans="3:12">
      <c r="C266" s="145"/>
      <c r="D266" s="145"/>
      <c r="E266" s="145"/>
      <c r="F266" s="145"/>
      <c r="G266" s="145"/>
      <c r="H266" s="145"/>
      <c r="I266" s="145"/>
      <c r="J266" s="145"/>
      <c r="K266" s="145"/>
      <c r="L266" s="145"/>
    </row>
    <row r="267" spans="3:12">
      <c r="C267" s="145"/>
      <c r="D267" s="145"/>
      <c r="E267" s="145"/>
      <c r="F267" s="145"/>
      <c r="G267" s="145"/>
      <c r="H267" s="145"/>
      <c r="I267" s="145"/>
      <c r="J267" s="145"/>
      <c r="K267" s="145"/>
      <c r="L267" s="145"/>
    </row>
    <row r="268" spans="3:12">
      <c r="C268" s="145"/>
      <c r="D268" s="145"/>
      <c r="E268" s="145"/>
      <c r="F268" s="145"/>
      <c r="G268" s="145"/>
      <c r="H268" s="145"/>
      <c r="I268" s="145"/>
      <c r="J268" s="145"/>
      <c r="K268" s="145"/>
      <c r="L268" s="145"/>
    </row>
    <row r="269" spans="3:12">
      <c r="C269" s="145"/>
      <c r="D269" s="145"/>
      <c r="E269" s="145"/>
      <c r="F269" s="145"/>
      <c r="G269" s="145"/>
      <c r="H269" s="145"/>
      <c r="I269" s="145"/>
      <c r="J269" s="145"/>
      <c r="K269" s="145"/>
      <c r="L269" s="145"/>
    </row>
    <row r="270" spans="3:12">
      <c r="C270" s="145"/>
      <c r="D270" s="145"/>
      <c r="E270" s="145"/>
      <c r="F270" s="145"/>
      <c r="G270" s="145"/>
      <c r="H270" s="145"/>
      <c r="I270" s="145"/>
      <c r="J270" s="145"/>
      <c r="K270" s="145"/>
      <c r="L270" s="145"/>
    </row>
    <row r="271" spans="3:12">
      <c r="C271" s="145"/>
      <c r="D271" s="145"/>
      <c r="E271" s="145"/>
      <c r="F271" s="145"/>
      <c r="G271" s="145"/>
      <c r="H271" s="145"/>
      <c r="I271" s="145"/>
      <c r="J271" s="145"/>
      <c r="K271" s="145"/>
      <c r="L271" s="145"/>
    </row>
    <row r="272" spans="3:12">
      <c r="C272" s="145"/>
      <c r="D272" s="145"/>
      <c r="E272" s="145"/>
      <c r="F272" s="145"/>
      <c r="G272" s="145"/>
      <c r="H272" s="145"/>
      <c r="I272" s="145"/>
      <c r="J272" s="145"/>
      <c r="K272" s="145"/>
      <c r="L272" s="145"/>
    </row>
    <row r="273" spans="3:12">
      <c r="C273" s="145"/>
      <c r="D273" s="145"/>
      <c r="E273" s="145"/>
      <c r="F273" s="145"/>
      <c r="G273" s="145"/>
      <c r="H273" s="145"/>
      <c r="I273" s="145"/>
      <c r="J273" s="145"/>
      <c r="K273" s="145"/>
      <c r="L273" s="145"/>
    </row>
    <row r="274" spans="3:12">
      <c r="C274" s="145"/>
      <c r="D274" s="145"/>
      <c r="E274" s="145"/>
      <c r="F274" s="145"/>
      <c r="G274" s="145"/>
      <c r="H274" s="145"/>
      <c r="I274" s="145"/>
      <c r="J274" s="145"/>
      <c r="K274" s="145"/>
      <c r="L274" s="145"/>
    </row>
    <row r="275" spans="3:12">
      <c r="C275" s="145"/>
      <c r="D275" s="145"/>
      <c r="E275" s="145"/>
      <c r="F275" s="145"/>
      <c r="G275" s="145"/>
      <c r="H275" s="145"/>
      <c r="I275" s="145"/>
      <c r="J275" s="145"/>
      <c r="K275" s="145"/>
      <c r="L275" s="145"/>
    </row>
    <row r="276" spans="3:12">
      <c r="C276" s="145"/>
      <c r="D276" s="145"/>
      <c r="E276" s="145"/>
      <c r="F276" s="145"/>
      <c r="G276" s="145"/>
      <c r="H276" s="145"/>
      <c r="I276" s="145"/>
      <c r="J276" s="145"/>
      <c r="K276" s="145"/>
      <c r="L276" s="145"/>
    </row>
    <row r="277" spans="3:12">
      <c r="C277" s="145"/>
      <c r="D277" s="145"/>
      <c r="E277" s="145"/>
      <c r="F277" s="145"/>
      <c r="G277" s="145"/>
      <c r="H277" s="145"/>
      <c r="I277" s="145"/>
      <c r="J277" s="145"/>
      <c r="K277" s="145"/>
      <c r="L277" s="145"/>
    </row>
    <row r="278" spans="3:12">
      <c r="C278" s="145"/>
      <c r="D278" s="145"/>
      <c r="E278" s="145"/>
      <c r="F278" s="145"/>
      <c r="G278" s="145"/>
      <c r="H278" s="145"/>
      <c r="I278" s="145"/>
      <c r="J278" s="145"/>
      <c r="K278" s="145"/>
      <c r="L278" s="145"/>
    </row>
    <row r="279" spans="3:12">
      <c r="C279" s="145"/>
      <c r="D279" s="145"/>
      <c r="E279" s="145"/>
      <c r="F279" s="145"/>
      <c r="G279" s="145"/>
      <c r="H279" s="145"/>
      <c r="I279" s="145"/>
      <c r="J279" s="145"/>
      <c r="K279" s="145"/>
      <c r="L279" s="145"/>
    </row>
    <row r="280" spans="3:12">
      <c r="C280" s="145"/>
      <c r="D280" s="145"/>
      <c r="E280" s="145"/>
      <c r="F280" s="145"/>
      <c r="G280" s="145"/>
      <c r="H280" s="145"/>
      <c r="I280" s="145"/>
      <c r="J280" s="145"/>
      <c r="K280" s="145"/>
      <c r="L280" s="145"/>
    </row>
    <row r="281" spans="3:12">
      <c r="C281" s="145"/>
      <c r="D281" s="145"/>
      <c r="E281" s="145"/>
      <c r="F281" s="145"/>
      <c r="G281" s="145"/>
      <c r="H281" s="145"/>
      <c r="I281" s="145"/>
      <c r="J281" s="145"/>
      <c r="K281" s="145"/>
      <c r="L281" s="145"/>
    </row>
    <row r="282" spans="3:12">
      <c r="C282" s="145"/>
      <c r="D282" s="145"/>
      <c r="E282" s="145"/>
      <c r="F282" s="145"/>
      <c r="G282" s="145"/>
      <c r="H282" s="145"/>
      <c r="I282" s="145"/>
      <c r="J282" s="145"/>
      <c r="K282" s="145"/>
      <c r="L282" s="145"/>
    </row>
    <row r="283" spans="3:12">
      <c r="C283" s="145"/>
      <c r="D283" s="145"/>
      <c r="E283" s="145"/>
      <c r="F283" s="145"/>
      <c r="G283" s="145"/>
      <c r="H283" s="145"/>
      <c r="I283" s="145"/>
      <c r="J283" s="145"/>
      <c r="K283" s="145"/>
      <c r="L283" s="145"/>
    </row>
    <row r="284" spans="3:12">
      <c r="C284" s="145"/>
      <c r="D284" s="145"/>
      <c r="E284" s="145"/>
      <c r="F284" s="145"/>
      <c r="G284" s="145"/>
      <c r="H284" s="145"/>
      <c r="I284" s="145"/>
      <c r="J284" s="145"/>
      <c r="K284" s="145"/>
      <c r="L284" s="145"/>
    </row>
    <row r="285" spans="3:12">
      <c r="C285" s="145"/>
      <c r="D285" s="145"/>
      <c r="E285" s="145"/>
      <c r="F285" s="145"/>
      <c r="G285" s="145"/>
      <c r="H285" s="145"/>
      <c r="I285" s="145"/>
      <c r="J285" s="145"/>
      <c r="K285" s="145"/>
      <c r="L285" s="145"/>
    </row>
    <row r="286" spans="3:12">
      <c r="C286" s="145"/>
      <c r="D286" s="145"/>
      <c r="E286" s="145"/>
      <c r="F286" s="145"/>
      <c r="G286" s="145"/>
      <c r="H286" s="145"/>
      <c r="I286" s="145"/>
      <c r="J286" s="145"/>
      <c r="K286" s="145"/>
      <c r="L286" s="145"/>
    </row>
    <row r="287" spans="3:12">
      <c r="C287" s="145"/>
      <c r="D287" s="145"/>
      <c r="E287" s="145"/>
      <c r="F287" s="145"/>
      <c r="G287" s="145"/>
      <c r="H287" s="145"/>
      <c r="I287" s="145"/>
      <c r="J287" s="145"/>
      <c r="K287" s="145"/>
      <c r="L287" s="145"/>
    </row>
  </sheetData>
  <customSheetViews>
    <customSheetView guid="{E1861F40-EBD5-44AE-868B-FDE0ED504D72}" scale="65" showPageBreaks="1" printArea="1" view="pageBreakPreview" topLeftCell="A43">
      <selection activeCell="N56" sqref="N56"/>
      <rowBreaks count="1" manualBreakCount="1">
        <brk id="41" max="13" man="1"/>
      </rowBreaks>
      <pageMargins left="0.25" right="0.25" top="0.75" bottom="0.25" header="0.4" footer="0.5"/>
      <printOptions horizontalCentered="1"/>
      <pageSetup scale="51" fitToHeight="3" orientation="landscape" r:id="rId1"/>
      <headerFooter alignWithMargins="0"/>
    </customSheetView>
  </customSheetViews>
  <mergeCells count="12">
    <mergeCell ref="A5:N5"/>
    <mergeCell ref="A6:N6"/>
    <mergeCell ref="A7:L7"/>
    <mergeCell ref="C85:L85"/>
    <mergeCell ref="C86:L86"/>
    <mergeCell ref="K11:S11"/>
    <mergeCell ref="E12:G12"/>
    <mergeCell ref="C87:L87"/>
    <mergeCell ref="C83:L83"/>
    <mergeCell ref="C84:L84"/>
    <mergeCell ref="A55:N55"/>
    <mergeCell ref="A56:N56"/>
  </mergeCells>
  <phoneticPr fontId="17" type="noConversion"/>
  <printOptions horizontalCentered="1"/>
  <pageMargins left="0.7" right="0.7" top="0.75" bottom="0.75" header="0.3" footer="0.3"/>
  <pageSetup scale="24" fitToHeight="0" orientation="landscape" r:id="rId2"/>
  <headerFooter alignWithMargins="0"/>
  <rowBreaks count="1" manualBreakCount="1">
    <brk id="46" max="1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dimension ref="A1:AV29"/>
  <sheetViews>
    <sheetView view="pageBreakPreview" zoomScale="60" zoomScaleNormal="100" workbookViewId="0">
      <selection sqref="A1:N1"/>
    </sheetView>
  </sheetViews>
  <sheetFormatPr defaultRowHeight="15"/>
  <cols>
    <col min="1" max="1" width="7.54296875" customWidth="1"/>
    <col min="2" max="2" width="2.54296875" customWidth="1"/>
    <col min="3" max="3" width="31.7265625" customWidth="1"/>
    <col min="4" max="4" width="14.453125" customWidth="1"/>
    <col min="5" max="5" width="15.08984375" customWidth="1"/>
    <col min="6" max="6" width="15" customWidth="1"/>
    <col min="7" max="8" width="14.54296875" bestFit="1" customWidth="1"/>
    <col min="9" max="9" width="14.6328125" customWidth="1"/>
    <col min="10" max="10" width="14.08984375" bestFit="1" customWidth="1"/>
    <col min="11" max="11" width="14.54296875" bestFit="1" customWidth="1"/>
    <col min="12" max="18" width="16" bestFit="1" customWidth="1"/>
    <col min="19" max="19" width="3.81640625" customWidth="1"/>
    <col min="20" max="20" width="15.26953125" bestFit="1" customWidth="1"/>
    <col min="21" max="21" width="15.453125" customWidth="1"/>
    <col min="22" max="22" width="12.81640625" bestFit="1" customWidth="1"/>
    <col min="23" max="23" width="14.81640625" customWidth="1"/>
    <col min="24" max="29" width="13.26953125" bestFit="1" customWidth="1"/>
    <col min="30" max="30" width="14.81640625" customWidth="1"/>
    <col min="31" max="31" width="13.26953125" bestFit="1" customWidth="1"/>
    <col min="32" max="32" width="13.7265625" bestFit="1" customWidth="1"/>
    <col min="33" max="33" width="13.26953125" bestFit="1" customWidth="1"/>
    <col min="34" max="34" width="3.81640625" customWidth="1"/>
    <col min="35" max="35" width="17" customWidth="1"/>
  </cols>
  <sheetData>
    <row r="1" spans="1:48" ht="15.6">
      <c r="A1" s="1013" t="s">
        <v>512</v>
      </c>
      <c r="B1" s="1013"/>
      <c r="C1" s="1013"/>
      <c r="D1" s="1013"/>
      <c r="E1" s="1013"/>
      <c r="F1" s="1013"/>
      <c r="G1" s="1013"/>
      <c r="H1" s="1013"/>
      <c r="I1" s="1013"/>
      <c r="J1" s="1013"/>
      <c r="K1" s="1013"/>
      <c r="L1" s="1013"/>
      <c r="M1" s="1013"/>
      <c r="N1" s="1013"/>
      <c r="O1" s="18"/>
      <c r="R1" s="3"/>
      <c r="S1" s="3" t="s">
        <v>464</v>
      </c>
      <c r="T1" s="1013" t="str">
        <f>A1</f>
        <v>TEC Worksheet Support</v>
      </c>
      <c r="U1" s="1013"/>
      <c r="V1" s="1013"/>
      <c r="W1" s="1013"/>
      <c r="X1" s="1013"/>
      <c r="Y1" s="1013"/>
      <c r="Z1" s="1013"/>
      <c r="AA1" s="1013"/>
      <c r="AB1" s="1013"/>
      <c r="AC1" s="1013"/>
      <c r="AD1" s="1013"/>
      <c r="AE1" s="1013"/>
      <c r="AF1" s="18"/>
      <c r="AG1" s="18"/>
      <c r="AH1" s="18"/>
      <c r="AI1" s="3" t="str">
        <f>S1</f>
        <v>Attachment  H-4A, Attachment 11a</v>
      </c>
    </row>
    <row r="2" spans="1:48" ht="15.6">
      <c r="A2" s="1014" t="s">
        <v>267</v>
      </c>
      <c r="B2" s="1014"/>
      <c r="C2" s="1014"/>
      <c r="D2" s="1014"/>
      <c r="E2" s="1014"/>
      <c r="F2" s="1014"/>
      <c r="G2" s="1014"/>
      <c r="H2" s="1014"/>
      <c r="I2" s="1014"/>
      <c r="J2" s="1014"/>
      <c r="K2" s="1014"/>
      <c r="L2" s="1014"/>
      <c r="M2" s="1014"/>
      <c r="N2" s="1014"/>
      <c r="O2" s="162"/>
      <c r="R2" s="3"/>
      <c r="S2" s="3" t="s">
        <v>147</v>
      </c>
      <c r="T2" s="1014" t="s">
        <v>267</v>
      </c>
      <c r="U2" s="1014"/>
      <c r="V2" s="1014"/>
      <c r="W2" s="1014"/>
      <c r="X2" s="1014"/>
      <c r="Y2" s="1014"/>
      <c r="Z2" s="1014"/>
      <c r="AA2" s="1014"/>
      <c r="AB2" s="1014"/>
      <c r="AC2" s="1014"/>
      <c r="AD2" s="1014"/>
      <c r="AE2" s="1014"/>
      <c r="AF2" s="162"/>
      <c r="AG2" s="162"/>
      <c r="AH2" s="162"/>
      <c r="AI2" s="3" t="s">
        <v>150</v>
      </c>
    </row>
    <row r="3" spans="1:48" ht="15.6">
      <c r="A3" s="162"/>
      <c r="B3" s="163"/>
      <c r="C3" s="163"/>
      <c r="D3" s="163"/>
      <c r="E3" s="163"/>
      <c r="F3" s="163"/>
      <c r="G3" s="163"/>
      <c r="H3" s="163"/>
      <c r="I3" s="163"/>
      <c r="J3" s="163"/>
      <c r="K3" s="163"/>
      <c r="L3" s="163"/>
      <c r="M3" s="3"/>
      <c r="R3" s="3"/>
      <c r="S3" s="3" t="str">
        <f>'Attachment 11 - TEC'!S3</f>
        <v>For the 12 months ended 12/31/2022</v>
      </c>
      <c r="AI3" s="3" t="str">
        <f>S3</f>
        <v>For the 12 months ended 12/31/2022</v>
      </c>
    </row>
    <row r="4" spans="1:48" ht="15.6">
      <c r="A4" s="162"/>
      <c r="B4" s="163"/>
      <c r="C4" s="163"/>
      <c r="D4" s="163"/>
      <c r="E4" s="163"/>
      <c r="F4" s="163"/>
      <c r="G4" s="163"/>
      <c r="H4" s="163"/>
      <c r="I4" s="163"/>
      <c r="J4" s="163"/>
      <c r="K4" s="163"/>
      <c r="L4" s="163"/>
      <c r="M4" s="3"/>
    </row>
    <row r="5" spans="1:48" ht="15.6">
      <c r="A5" s="162"/>
      <c r="B5" s="163"/>
      <c r="C5" s="163"/>
      <c r="D5" s="163"/>
      <c r="E5" s="163"/>
      <c r="F5" s="163"/>
      <c r="G5" s="163"/>
      <c r="H5" s="163"/>
      <c r="I5" s="163"/>
      <c r="J5" s="163"/>
      <c r="K5" s="163"/>
      <c r="L5" s="163"/>
      <c r="M5" s="3"/>
    </row>
    <row r="6" spans="1:48" ht="31.2">
      <c r="A6" s="19" t="s">
        <v>135</v>
      </c>
      <c r="B6" s="20"/>
      <c r="C6" s="30" t="s">
        <v>136</v>
      </c>
      <c r="D6" s="21" t="s">
        <v>152</v>
      </c>
      <c r="E6" s="22" t="s">
        <v>219</v>
      </c>
      <c r="F6" s="405">
        <v>44531</v>
      </c>
      <c r="G6" s="164">
        <f>F6+31</f>
        <v>44562</v>
      </c>
      <c r="H6" s="164">
        <f>G6+31</f>
        <v>44593</v>
      </c>
      <c r="I6" s="164">
        <f>H6+31</f>
        <v>44624</v>
      </c>
      <c r="J6" s="164">
        <f>I6+31</f>
        <v>44655</v>
      </c>
      <c r="K6" s="164">
        <f t="shared" ref="K6:R6" si="0">J6+31</f>
        <v>44686</v>
      </c>
      <c r="L6" s="164">
        <f t="shared" si="0"/>
        <v>44717</v>
      </c>
      <c r="M6" s="164">
        <f t="shared" si="0"/>
        <v>44748</v>
      </c>
      <c r="N6" s="164">
        <f t="shared" si="0"/>
        <v>44779</v>
      </c>
      <c r="O6" s="164">
        <f t="shared" si="0"/>
        <v>44810</v>
      </c>
      <c r="P6" s="164">
        <f t="shared" si="0"/>
        <v>44841</v>
      </c>
      <c r="Q6" s="164">
        <f t="shared" si="0"/>
        <v>44872</v>
      </c>
      <c r="R6" s="164">
        <f t="shared" si="0"/>
        <v>44903</v>
      </c>
      <c r="S6" s="164"/>
      <c r="T6" s="22" t="s">
        <v>265</v>
      </c>
      <c r="U6" s="164">
        <f>F6</f>
        <v>44531</v>
      </c>
      <c r="V6" s="164">
        <f t="shared" ref="V6:AG6" si="1">G6</f>
        <v>44562</v>
      </c>
      <c r="W6" s="164">
        <f t="shared" si="1"/>
        <v>44593</v>
      </c>
      <c r="X6" s="164">
        <f t="shared" si="1"/>
        <v>44624</v>
      </c>
      <c r="Y6" s="164">
        <f t="shared" si="1"/>
        <v>44655</v>
      </c>
      <c r="Z6" s="164">
        <f t="shared" si="1"/>
        <v>44686</v>
      </c>
      <c r="AA6" s="164">
        <f t="shared" si="1"/>
        <v>44717</v>
      </c>
      <c r="AB6" s="164">
        <f t="shared" si="1"/>
        <v>44748</v>
      </c>
      <c r="AC6" s="164">
        <f t="shared" si="1"/>
        <v>44779</v>
      </c>
      <c r="AD6" s="164">
        <f t="shared" si="1"/>
        <v>44810</v>
      </c>
      <c r="AE6" s="164">
        <f t="shared" si="1"/>
        <v>44841</v>
      </c>
      <c r="AF6" s="164">
        <f t="shared" si="1"/>
        <v>44872</v>
      </c>
      <c r="AG6" s="164">
        <f t="shared" si="1"/>
        <v>44903</v>
      </c>
      <c r="AH6" s="165"/>
      <c r="AI6" s="167" t="s">
        <v>266</v>
      </c>
      <c r="AJ6" s="166"/>
      <c r="AK6" s="166"/>
      <c r="AL6" s="166"/>
      <c r="AM6" s="166"/>
      <c r="AN6" s="166"/>
      <c r="AO6" s="166"/>
      <c r="AP6" s="166"/>
      <c r="AQ6" s="166"/>
      <c r="AR6" s="166"/>
      <c r="AS6" s="166"/>
      <c r="AT6" s="166"/>
      <c r="AU6" s="166"/>
      <c r="AV6" s="166"/>
    </row>
    <row r="7" spans="1:48" ht="15.6">
      <c r="A7" s="23"/>
      <c r="B7" s="24"/>
      <c r="C7" s="24"/>
      <c r="D7" s="24"/>
      <c r="E7" s="25" t="s">
        <v>13</v>
      </c>
      <c r="F7" s="25" t="s">
        <v>14</v>
      </c>
      <c r="G7" s="25" t="s">
        <v>14</v>
      </c>
      <c r="H7" s="25" t="s">
        <v>14</v>
      </c>
      <c r="I7" s="25" t="s">
        <v>14</v>
      </c>
      <c r="J7" s="25" t="s">
        <v>14</v>
      </c>
      <c r="K7" s="25" t="s">
        <v>14</v>
      </c>
      <c r="L7" s="25" t="s">
        <v>14</v>
      </c>
      <c r="M7" s="25" t="s">
        <v>14</v>
      </c>
      <c r="N7" s="25" t="s">
        <v>14</v>
      </c>
      <c r="O7" s="25" t="s">
        <v>14</v>
      </c>
      <c r="P7" s="25" t="s">
        <v>14</v>
      </c>
      <c r="Q7" s="25" t="s">
        <v>14</v>
      </c>
      <c r="R7" s="25" t="s">
        <v>14</v>
      </c>
      <c r="S7" s="25"/>
      <c r="T7" s="25" t="s">
        <v>1058</v>
      </c>
      <c r="U7" s="25" t="s">
        <v>14</v>
      </c>
      <c r="V7" s="25" t="s">
        <v>14</v>
      </c>
      <c r="W7" s="25" t="s">
        <v>14</v>
      </c>
      <c r="X7" s="25" t="s">
        <v>14</v>
      </c>
      <c r="Y7" s="25" t="s">
        <v>14</v>
      </c>
      <c r="Z7" s="25" t="s">
        <v>14</v>
      </c>
      <c r="AA7" s="25" t="s">
        <v>14</v>
      </c>
      <c r="AB7" s="25" t="s">
        <v>14</v>
      </c>
      <c r="AC7" s="25" t="s">
        <v>14</v>
      </c>
      <c r="AD7" s="25" t="s">
        <v>14</v>
      </c>
      <c r="AE7" s="25" t="s">
        <v>14</v>
      </c>
      <c r="AF7" s="25" t="s">
        <v>14</v>
      </c>
      <c r="AG7" s="25" t="s">
        <v>14</v>
      </c>
      <c r="AH7" s="956"/>
      <c r="AI7" s="957" t="s">
        <v>1059</v>
      </c>
    </row>
    <row r="8" spans="1:48" ht="15.6">
      <c r="A8" s="26"/>
      <c r="B8" s="2"/>
      <c r="C8" s="2"/>
      <c r="D8" s="2"/>
      <c r="E8" s="2"/>
      <c r="F8" s="2"/>
      <c r="G8" s="2"/>
      <c r="H8" s="2"/>
      <c r="I8" s="2"/>
      <c r="J8" s="2"/>
      <c r="K8" s="2"/>
      <c r="L8" s="2"/>
      <c r="M8" s="2"/>
      <c r="N8" s="2"/>
      <c r="O8" s="2"/>
      <c r="P8" s="2"/>
      <c r="Q8" s="2"/>
      <c r="R8" s="2"/>
      <c r="S8" s="2"/>
      <c r="AH8" s="168"/>
      <c r="AI8" s="169"/>
    </row>
    <row r="9" spans="1:48" ht="15.6">
      <c r="A9" s="195"/>
      <c r="B9" s="17"/>
      <c r="C9" s="17"/>
      <c r="D9" s="27"/>
      <c r="E9" s="9"/>
      <c r="F9" s="9"/>
      <c r="G9" s="9"/>
      <c r="H9" s="9"/>
      <c r="I9" s="9"/>
      <c r="J9" s="9"/>
      <c r="K9" s="9"/>
      <c r="L9" s="9"/>
      <c r="M9" s="9"/>
      <c r="N9" s="9"/>
      <c r="O9" s="9"/>
      <c r="P9" s="9"/>
      <c r="Q9" s="9"/>
      <c r="R9" s="9"/>
      <c r="S9" s="9"/>
      <c r="U9" s="9"/>
      <c r="V9" s="9"/>
      <c r="W9" s="9"/>
      <c r="X9" s="9"/>
      <c r="Y9" s="9"/>
      <c r="Z9" s="9"/>
      <c r="AA9" s="9"/>
      <c r="AB9" s="9"/>
      <c r="AC9" s="9"/>
      <c r="AD9" s="9"/>
      <c r="AE9" s="9"/>
      <c r="AF9" s="9"/>
      <c r="AG9" s="9"/>
      <c r="AH9" s="168"/>
      <c r="AI9" s="169"/>
    </row>
    <row r="10" spans="1:48" ht="31.2">
      <c r="A10" s="195" t="str">
        <f>'Attachment 11 - TEC'!A63</f>
        <v>2a</v>
      </c>
      <c r="B10" s="17"/>
      <c r="C10" s="303" t="str">
        <f>'Attachment 11 - TEC'!C63</f>
        <v>Upgrade the Portland – Greystone 230kV circuit</v>
      </c>
      <c r="D10" s="301" t="str">
        <f>'Attachment 11 - TEC'!D63</f>
        <v>b0174</v>
      </c>
      <c r="E10" s="9">
        <f>AVERAGE(F10:R10)</f>
        <v>12588192.75</v>
      </c>
      <c r="F10" s="52">
        <v>12588192.75</v>
      </c>
      <c r="G10" s="52">
        <v>12588192.75</v>
      </c>
      <c r="H10" s="52">
        <v>12588192.75</v>
      </c>
      <c r="I10" s="52">
        <v>12588192.75</v>
      </c>
      <c r="J10" s="52">
        <v>12588192.75</v>
      </c>
      <c r="K10" s="52">
        <v>12588192.75</v>
      </c>
      <c r="L10" s="52">
        <v>12588192.75</v>
      </c>
      <c r="M10" s="52">
        <v>12588192.75</v>
      </c>
      <c r="N10" s="52">
        <v>12588192.75</v>
      </c>
      <c r="O10" s="52">
        <v>12588192.75</v>
      </c>
      <c r="P10" s="52">
        <v>12588192.75</v>
      </c>
      <c r="Q10" s="52">
        <v>12588192.75</v>
      </c>
      <c r="R10" s="52">
        <v>12588192.75</v>
      </c>
      <c r="S10" s="9"/>
      <c r="T10" s="9">
        <f>AVERAGE(U10:AG10)</f>
        <v>3501846.2908568927</v>
      </c>
      <c r="U10" s="52">
        <v>3367233.3299597083</v>
      </c>
      <c r="V10" s="52">
        <v>3389668.8234425723</v>
      </c>
      <c r="W10" s="52">
        <v>3412104.3169254363</v>
      </c>
      <c r="X10" s="52">
        <v>3434539.8104083003</v>
      </c>
      <c r="Y10" s="52">
        <v>3456975.3038911643</v>
      </c>
      <c r="Z10" s="52">
        <v>3479410.7973740282</v>
      </c>
      <c r="AA10" s="52">
        <v>3501846.2908568922</v>
      </c>
      <c r="AB10" s="52">
        <v>3524281.7843397562</v>
      </c>
      <c r="AC10" s="52">
        <v>3546717.2778226202</v>
      </c>
      <c r="AD10" s="52">
        <v>3569152.7713054842</v>
      </c>
      <c r="AE10" s="52">
        <v>3591588.2647883482</v>
      </c>
      <c r="AF10" s="52">
        <v>3614023.7582712122</v>
      </c>
      <c r="AG10" s="52">
        <v>3636459.2517540762</v>
      </c>
      <c r="AH10" s="168"/>
      <c r="AI10" s="406">
        <f t="shared" ref="AI10:AI11" si="2">E10-T10</f>
        <v>9086346.4591431078</v>
      </c>
    </row>
    <row r="11" spans="1:48" ht="31.2">
      <c r="A11" s="195" t="str">
        <f>'Attachment 11 - TEC'!A64</f>
        <v>2b</v>
      </c>
      <c r="B11" s="17"/>
      <c r="C11" s="303" t="str">
        <f>'Attachment 11 - TEC'!C64</f>
        <v>Reconductor the 8 mile Gilbert – Glen Gardner 230 kV circuit</v>
      </c>
      <c r="D11" s="301" t="str">
        <f>'Attachment 11 - TEC'!D64</f>
        <v>b0268</v>
      </c>
      <c r="E11" s="9">
        <f>AVERAGE(F11:R11)</f>
        <v>5983500.8699999992</v>
      </c>
      <c r="F11" s="52">
        <v>5983500.8699999992</v>
      </c>
      <c r="G11" s="52">
        <v>5983500.8699999992</v>
      </c>
      <c r="H11" s="52">
        <v>5983500.8699999992</v>
      </c>
      <c r="I11" s="52">
        <v>5983500.8699999992</v>
      </c>
      <c r="J11" s="52">
        <v>5983500.8699999992</v>
      </c>
      <c r="K11" s="52">
        <v>5983500.8699999992</v>
      </c>
      <c r="L11" s="52">
        <v>5983500.8699999992</v>
      </c>
      <c r="M11" s="52">
        <v>5983500.8699999992</v>
      </c>
      <c r="N11" s="52">
        <v>5983500.8699999992</v>
      </c>
      <c r="O11" s="52">
        <v>5983500.8699999992</v>
      </c>
      <c r="P11" s="52">
        <v>5983500.8699999992</v>
      </c>
      <c r="Q11" s="52">
        <v>5983500.8699999992</v>
      </c>
      <c r="R11" s="52">
        <v>5983500.8699999992</v>
      </c>
      <c r="S11" s="9"/>
      <c r="T11" s="9">
        <f t="shared" ref="T11" si="3">AVERAGE(U11:AG11)</f>
        <v>1339130.9910722221</v>
      </c>
      <c r="U11" s="52">
        <v>1275107.5317632218</v>
      </c>
      <c r="V11" s="52">
        <v>1285778.1083147218</v>
      </c>
      <c r="W11" s="52">
        <v>1296448.6848662219</v>
      </c>
      <c r="X11" s="52">
        <v>1307119.2614177219</v>
      </c>
      <c r="Y11" s="52">
        <v>1317789.8379692219</v>
      </c>
      <c r="Z11" s="52">
        <v>1328460.4145207219</v>
      </c>
      <c r="AA11" s="52">
        <v>1339130.9910722219</v>
      </c>
      <c r="AB11" s="52">
        <v>1349801.5676237219</v>
      </c>
      <c r="AC11" s="52">
        <v>1360472.1441752219</v>
      </c>
      <c r="AD11" s="52">
        <v>1371142.7207267219</v>
      </c>
      <c r="AE11" s="52">
        <v>1381813.2972782219</v>
      </c>
      <c r="AF11" s="52">
        <v>1392483.8738297219</v>
      </c>
      <c r="AG11" s="52">
        <v>1403154.4503812219</v>
      </c>
      <c r="AH11" s="168"/>
      <c r="AI11" s="406">
        <f t="shared" si="2"/>
        <v>4644369.8789277766</v>
      </c>
    </row>
    <row r="12" spans="1:48" ht="31.2">
      <c r="A12" s="195" t="str">
        <f>'Attachment 11 - TEC'!A65</f>
        <v>2c</v>
      </c>
      <c r="B12" s="17"/>
      <c r="C12" s="303" t="str">
        <f>'Attachment 11 - TEC'!C65</f>
        <v>Add a 2nd Raritan River 230/115 kV transformer</v>
      </c>
      <c r="D12" s="301" t="str">
        <f>'Attachment 11 - TEC'!D65</f>
        <v>b0726</v>
      </c>
      <c r="E12" s="9">
        <f t="shared" ref="E12:E13" si="4">AVERAGE(F12:R12)</f>
        <v>7336240.1700000009</v>
      </c>
      <c r="F12" s="52">
        <v>7336240.1699999999</v>
      </c>
      <c r="G12" s="52">
        <v>7336240.1699999999</v>
      </c>
      <c r="H12" s="52">
        <v>7336240.1699999999</v>
      </c>
      <c r="I12" s="52">
        <v>7336240.1699999999</v>
      </c>
      <c r="J12" s="52">
        <v>7336240.1699999999</v>
      </c>
      <c r="K12" s="52">
        <v>7336240.1699999999</v>
      </c>
      <c r="L12" s="52">
        <v>7336240.1699999999</v>
      </c>
      <c r="M12" s="52">
        <v>7336240.1699999999</v>
      </c>
      <c r="N12" s="52">
        <v>7336240.1699999999</v>
      </c>
      <c r="O12" s="52">
        <v>7336240.1699999999</v>
      </c>
      <c r="P12" s="52">
        <v>7336240.1699999999</v>
      </c>
      <c r="Q12" s="52">
        <v>7336240.1699999999</v>
      </c>
      <c r="R12" s="52">
        <v>7336240.1699999999</v>
      </c>
      <c r="T12" s="9">
        <f>AVERAGE(U12:AG12)</f>
        <v>1182328.9949502344</v>
      </c>
      <c r="U12" s="52">
        <v>1098695.8570122339</v>
      </c>
      <c r="V12" s="52">
        <v>1112634.713335234</v>
      </c>
      <c r="W12" s="52">
        <v>1126573.569658234</v>
      </c>
      <c r="X12" s="52">
        <v>1140512.4259812341</v>
      </c>
      <c r="Y12" s="52">
        <v>1154451.2823042341</v>
      </c>
      <c r="Z12" s="52">
        <v>1168390.1386272341</v>
      </c>
      <c r="AA12" s="52">
        <v>1182328.9949502342</v>
      </c>
      <c r="AB12" s="52">
        <v>1196267.8512732342</v>
      </c>
      <c r="AC12" s="52">
        <v>1210206.7075962343</v>
      </c>
      <c r="AD12" s="52">
        <v>1224145.5639192343</v>
      </c>
      <c r="AE12" s="52">
        <v>1238084.4202422344</v>
      </c>
      <c r="AF12" s="52">
        <v>1252023.2765652344</v>
      </c>
      <c r="AG12" s="52">
        <v>1265962.1328882345</v>
      </c>
      <c r="AH12" s="168"/>
      <c r="AI12" s="406">
        <f t="shared" ref="AI12" si="5">E12-T12</f>
        <v>6153911.1750497669</v>
      </c>
    </row>
    <row r="13" spans="1:48" ht="31.2">
      <c r="A13" s="195" t="str">
        <f>'Attachment 11 - TEC'!A66</f>
        <v>2d</v>
      </c>
      <c r="B13" s="17"/>
      <c r="C13" s="303" t="str">
        <f>'Attachment 11 - TEC'!C66</f>
        <v>Build a new 230 kV circuit from Larrabee to Oceanview</v>
      </c>
      <c r="D13" s="301" t="str">
        <f>'Attachment 11 - TEC'!D66</f>
        <v>b2015</v>
      </c>
      <c r="E13" s="9">
        <f t="shared" si="4"/>
        <v>173448892.8792308</v>
      </c>
      <c r="F13" s="52">
        <v>173448544.15000001</v>
      </c>
      <c r="G13" s="52">
        <v>173448732.25</v>
      </c>
      <c r="H13" s="52">
        <v>173448913.57000002</v>
      </c>
      <c r="I13" s="52">
        <v>173448913.57000002</v>
      </c>
      <c r="J13" s="52">
        <v>173448913.57000002</v>
      </c>
      <c r="K13" s="52">
        <v>173448913.57000002</v>
      </c>
      <c r="L13" s="52">
        <v>173448913.57000002</v>
      </c>
      <c r="M13" s="52">
        <v>173448913.57000002</v>
      </c>
      <c r="N13" s="52">
        <v>173448913.57000002</v>
      </c>
      <c r="O13" s="52">
        <v>173448913.57000002</v>
      </c>
      <c r="P13" s="52">
        <v>173449007.49000001</v>
      </c>
      <c r="Q13" s="52">
        <v>173449007.49000001</v>
      </c>
      <c r="R13" s="52">
        <v>173449007.49000001</v>
      </c>
      <c r="T13" s="9">
        <f>AVERAGE(U13:AG13)</f>
        <v>17572915.126206826</v>
      </c>
      <c r="U13" s="52">
        <v>15864409.991831414</v>
      </c>
      <c r="V13" s="52">
        <v>16149160.477130175</v>
      </c>
      <c r="W13" s="52">
        <v>16433911.265667189</v>
      </c>
      <c r="X13" s="52">
        <v>16718662.20304065</v>
      </c>
      <c r="Y13" s="52">
        <v>17003413.140414111</v>
      </c>
      <c r="Z13" s="52">
        <v>17288164.077787571</v>
      </c>
      <c r="AA13" s="52">
        <v>17572915.01516103</v>
      </c>
      <c r="AB13" s="52">
        <v>17857665.952534489</v>
      </c>
      <c r="AC13" s="52">
        <v>18142416.889907949</v>
      </c>
      <c r="AD13" s="52">
        <v>18427167.827281408</v>
      </c>
      <c r="AE13" s="52">
        <v>18711918.841749061</v>
      </c>
      <c r="AF13" s="52">
        <v>18996669.933310907</v>
      </c>
      <c r="AG13" s="52">
        <v>19281421.024872754</v>
      </c>
      <c r="AH13" s="168"/>
      <c r="AI13" s="406">
        <f>E13-T13</f>
        <v>155875977.75302398</v>
      </c>
    </row>
    <row r="14" spans="1:48">
      <c r="A14" s="170"/>
      <c r="AI14" s="169"/>
    </row>
    <row r="15" spans="1:48">
      <c r="A15" s="170"/>
      <c r="AI15" s="169"/>
    </row>
    <row r="16" spans="1:48" ht="15.6" customHeight="1">
      <c r="A16" s="170"/>
      <c r="U16" s="415"/>
      <c r="X16" s="593"/>
      <c r="Y16" s="593"/>
      <c r="Z16" s="593"/>
      <c r="AA16" s="593"/>
      <c r="AB16" s="593"/>
      <c r="AI16" s="169"/>
    </row>
    <row r="17" spans="1:35" ht="15.6">
      <c r="A17" s="170"/>
      <c r="X17" s="593"/>
      <c r="Y17" s="593"/>
      <c r="Z17" s="593"/>
      <c r="AA17" s="593"/>
      <c r="AB17" s="593"/>
      <c r="AI17" s="169"/>
    </row>
    <row r="18" spans="1:35" ht="15.6">
      <c r="A18" s="170"/>
      <c r="X18" s="593"/>
      <c r="Y18" s="593"/>
      <c r="Z18" s="593"/>
      <c r="AA18" s="593"/>
      <c r="AB18" s="593"/>
      <c r="AI18" s="169"/>
    </row>
    <row r="19" spans="1:35" ht="15.6">
      <c r="A19" s="170"/>
      <c r="X19" s="593"/>
      <c r="Y19" s="593"/>
      <c r="Z19" s="593"/>
      <c r="AA19" s="593"/>
      <c r="AB19" s="593"/>
      <c r="AI19" s="169"/>
    </row>
    <row r="20" spans="1:35">
      <c r="A20" s="170"/>
      <c r="AI20" s="169"/>
    </row>
    <row r="21" spans="1:35">
      <c r="A21" s="170"/>
      <c r="AI21" s="169"/>
    </row>
    <row r="22" spans="1:35">
      <c r="A22" s="170"/>
      <c r="AI22" s="169"/>
    </row>
    <row r="23" spans="1:35">
      <c r="A23" s="170"/>
      <c r="AI23" s="169"/>
    </row>
    <row r="24" spans="1:35">
      <c r="A24" s="170"/>
      <c r="AI24" s="169"/>
    </row>
    <row r="25" spans="1:35">
      <c r="A25" s="170"/>
      <c r="AI25" s="169"/>
    </row>
    <row r="26" spans="1:35">
      <c r="A26" s="171"/>
      <c r="B26" s="172"/>
      <c r="C26" s="172"/>
      <c r="D26" s="172"/>
      <c r="E26" s="172"/>
      <c r="F26" s="172"/>
      <c r="G26" s="172"/>
      <c r="H26" s="172"/>
      <c r="I26" s="172"/>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3"/>
    </row>
    <row r="28" spans="1:35" ht="15.6">
      <c r="A28" s="1" t="s">
        <v>212</v>
      </c>
      <c r="B28" s="1"/>
      <c r="C28" s="1"/>
      <c r="S28" s="28"/>
      <c r="T28" s="1" t="s">
        <v>212</v>
      </c>
      <c r="U28" s="1"/>
    </row>
    <row r="29" spans="1:35" ht="15.75" customHeight="1">
      <c r="A29" s="29"/>
      <c r="B29" s="1" t="s">
        <v>182</v>
      </c>
      <c r="C29" s="1" t="s">
        <v>268</v>
      </c>
      <c r="D29" s="1"/>
      <c r="E29" s="1"/>
      <c r="F29" s="1"/>
      <c r="G29" s="1"/>
      <c r="H29" s="1"/>
      <c r="I29" s="1"/>
      <c r="J29" s="1"/>
      <c r="K29" s="1"/>
      <c r="N29" s="1" t="s">
        <v>1062</v>
      </c>
      <c r="S29" s="29"/>
      <c r="T29" s="1" t="s">
        <v>1062</v>
      </c>
      <c r="U29" s="1"/>
      <c r="V29" s="16" t="s">
        <v>221</v>
      </c>
      <c r="W29" s="1" t="s">
        <v>1063</v>
      </c>
      <c r="X29" s="1"/>
      <c r="Y29" s="1"/>
      <c r="Z29" s="1"/>
      <c r="AA29" s="1"/>
      <c r="AB29" s="1"/>
      <c r="AD29" s="955"/>
      <c r="AE29" s="1"/>
      <c r="AF29" s="1"/>
      <c r="AG29" s="1"/>
      <c r="AH29" s="1"/>
      <c r="AI29" s="1"/>
    </row>
  </sheetData>
  <mergeCells count="4">
    <mergeCell ref="T1:AE1"/>
    <mergeCell ref="T2:AE2"/>
    <mergeCell ref="A1:N1"/>
    <mergeCell ref="A2:N2"/>
  </mergeCells>
  <pageMargins left="0.7" right="0.7" top="0.75" bottom="0.75" header="0.3" footer="0.3"/>
  <pageSetup scale="37" orientation="landscape" r:id="rId1"/>
  <colBreaks count="1" manualBreakCount="1">
    <brk id="19" max="28"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
    <pageSetUpPr fitToPage="1"/>
  </sheetPr>
  <dimension ref="A1:W243"/>
  <sheetViews>
    <sheetView view="pageBreakPreview" zoomScale="65" zoomScaleNormal="75" zoomScaleSheetLayoutView="65" workbookViewId="0">
      <selection activeCell="I24" sqref="I24"/>
    </sheetView>
  </sheetViews>
  <sheetFormatPr defaultColWidth="8.81640625" defaultRowHeight="15"/>
  <cols>
    <col min="1" max="1" width="6" style="159" customWidth="1"/>
    <col min="2" max="2" width="3.26953125" style="159" customWidth="1"/>
    <col min="3" max="3" width="39.08984375" style="159" customWidth="1"/>
    <col min="4" max="4" width="12" style="159" customWidth="1"/>
    <col min="5" max="5" width="14.453125" style="159" customWidth="1"/>
    <col min="6" max="6" width="15.7265625" style="159" customWidth="1"/>
    <col min="7" max="7" width="14.08984375" style="159" customWidth="1"/>
    <col min="8" max="8" width="13.81640625" style="159" customWidth="1"/>
    <col min="9" max="9" width="15.453125" style="159" customWidth="1"/>
    <col min="10" max="10" width="14.453125" style="159" bestFit="1" customWidth="1"/>
    <col min="11" max="11" width="13.54296875" style="159" customWidth="1"/>
    <col min="12" max="12" width="15.26953125" style="159" customWidth="1"/>
    <col min="13" max="13" width="1.54296875" style="159" customWidth="1"/>
    <col min="14" max="16384" width="8.81640625" style="159"/>
  </cols>
  <sheetData>
    <row r="1" spans="1:23">
      <c r="M1" s="234" t="s">
        <v>465</v>
      </c>
    </row>
    <row r="2" spans="1:23">
      <c r="M2" s="234" t="s">
        <v>144</v>
      </c>
    </row>
    <row r="3" spans="1:23">
      <c r="M3" s="234" t="str">
        <f>'Attach 11a - TEC Cost Support'!S3</f>
        <v>For the 12 months ended 12/31/2022</v>
      </c>
    </row>
    <row r="4" spans="1:23">
      <c r="A4" s="201"/>
      <c r="G4" s="204"/>
    </row>
    <row r="5" spans="1:23">
      <c r="A5" s="201"/>
      <c r="C5" s="160"/>
      <c r="D5" s="160"/>
    </row>
    <row r="6" spans="1:23">
      <c r="A6" s="201"/>
      <c r="C6" s="160"/>
      <c r="D6" s="160"/>
      <c r="L6" s="204"/>
    </row>
    <row r="7" spans="1:23" ht="14.25" customHeight="1">
      <c r="A7" s="201"/>
    </row>
    <row r="8" spans="1:23" ht="15.6">
      <c r="A8" s="1004" t="s">
        <v>513</v>
      </c>
      <c r="B8" s="1004"/>
      <c r="C8" s="1004"/>
      <c r="D8" s="1004"/>
      <c r="E8" s="1004"/>
      <c r="F8" s="1004"/>
      <c r="G8" s="1004"/>
      <c r="H8" s="1004"/>
      <c r="I8" s="1004"/>
      <c r="J8" s="1004"/>
      <c r="K8" s="1004"/>
      <c r="L8" s="1004"/>
    </row>
    <row r="9" spans="1:23">
      <c r="A9" s="1005" t="s">
        <v>426</v>
      </c>
      <c r="B9" s="1015"/>
      <c r="C9" s="1015"/>
      <c r="D9" s="1015"/>
      <c r="E9" s="1015"/>
      <c r="F9" s="1015"/>
      <c r="G9" s="1015"/>
      <c r="H9" s="1015"/>
      <c r="I9" s="1015"/>
      <c r="J9" s="1015"/>
      <c r="K9" s="1015"/>
      <c r="L9" s="1015"/>
    </row>
    <row r="10" spans="1:23" ht="15.6">
      <c r="A10" s="201"/>
      <c r="E10" s="215"/>
      <c r="H10" s="160"/>
      <c r="I10" s="160"/>
      <c r="J10" s="160"/>
      <c r="K10" s="160"/>
      <c r="L10" s="160"/>
    </row>
    <row r="11" spans="1:23" ht="15.6">
      <c r="A11" s="201"/>
      <c r="E11" s="215"/>
      <c r="F11" s="215"/>
      <c r="H11" s="160"/>
      <c r="I11" s="160"/>
      <c r="J11" s="160"/>
      <c r="K11" s="160"/>
      <c r="L11" s="160"/>
    </row>
    <row r="12" spans="1:23" ht="15.6">
      <c r="A12" s="201"/>
      <c r="C12" s="235" t="s">
        <v>202</v>
      </c>
      <c r="D12" s="235" t="s">
        <v>203</v>
      </c>
      <c r="E12" s="235" t="s">
        <v>204</v>
      </c>
      <c r="F12" s="235" t="s">
        <v>205</v>
      </c>
      <c r="G12" s="235" t="s">
        <v>206</v>
      </c>
      <c r="H12" s="235" t="s">
        <v>207</v>
      </c>
      <c r="I12" s="235" t="s">
        <v>208</v>
      </c>
      <c r="J12" s="235" t="s">
        <v>209</v>
      </c>
      <c r="K12" s="235" t="s">
        <v>210</v>
      </c>
      <c r="L12" s="235" t="s">
        <v>211</v>
      </c>
      <c r="M12" s="235"/>
    </row>
    <row r="13" spans="1:23" s="267" customFormat="1" ht="79.95" customHeight="1">
      <c r="A13" s="236" t="s">
        <v>135</v>
      </c>
      <c r="B13" s="265"/>
      <c r="C13" s="239" t="s">
        <v>136</v>
      </c>
      <c r="D13" s="239" t="s">
        <v>152</v>
      </c>
      <c r="E13" s="240" t="s">
        <v>436</v>
      </c>
      <c r="F13" s="240" t="s">
        <v>199</v>
      </c>
      <c r="G13" s="239" t="s">
        <v>361</v>
      </c>
      <c r="H13" s="239" t="s">
        <v>362</v>
      </c>
      <c r="I13" s="240" t="s">
        <v>200</v>
      </c>
      <c r="J13" s="240" t="s">
        <v>478</v>
      </c>
      <c r="K13" s="239" t="s">
        <v>479</v>
      </c>
      <c r="L13" s="240" t="s">
        <v>480</v>
      </c>
      <c r="M13" s="266"/>
    </row>
    <row r="14" spans="1:23" ht="66.45" customHeight="1">
      <c r="A14" s="243"/>
      <c r="B14" s="244"/>
      <c r="C14" s="244"/>
      <c r="D14" s="244"/>
      <c r="E14" s="268" t="s">
        <v>813</v>
      </c>
      <c r="F14" s="268" t="s">
        <v>797</v>
      </c>
      <c r="G14" s="268" t="s">
        <v>516</v>
      </c>
      <c r="H14" s="268" t="s">
        <v>363</v>
      </c>
      <c r="I14" s="268" t="s">
        <v>798</v>
      </c>
      <c r="J14" s="245" t="s">
        <v>364</v>
      </c>
      <c r="K14" s="268" t="s">
        <v>481</v>
      </c>
      <c r="L14" s="268" t="s">
        <v>373</v>
      </c>
      <c r="M14" s="269"/>
      <c r="N14" s="820"/>
    </row>
    <row r="15" spans="1:23" ht="15.6">
      <c r="A15" s="270">
        <v>1</v>
      </c>
      <c r="B15" s="160" t="s">
        <v>182</v>
      </c>
      <c r="C15" s="160" t="s">
        <v>372</v>
      </c>
      <c r="D15" s="160"/>
      <c r="E15" s="900">
        <f>'Attachment 13b - PJM Billings'!L37</f>
        <v>21351855.014312804</v>
      </c>
      <c r="F15" s="271"/>
      <c r="G15" s="271"/>
      <c r="H15" s="272"/>
      <c r="I15" s="271"/>
      <c r="J15" s="271"/>
      <c r="K15" s="271"/>
      <c r="L15" s="271"/>
      <c r="M15" s="273"/>
      <c r="N15" s="820"/>
      <c r="V15" s="830"/>
      <c r="W15" s="830"/>
    </row>
    <row r="16" spans="1:23">
      <c r="A16" s="274"/>
      <c r="B16" s="160"/>
      <c r="C16" s="160"/>
      <c r="D16" s="160"/>
      <c r="E16" s="160"/>
      <c r="F16" s="160"/>
      <c r="G16" s="160"/>
      <c r="H16" s="160"/>
      <c r="I16" s="160"/>
      <c r="J16" s="160"/>
      <c r="K16" s="160"/>
      <c r="L16" s="160"/>
      <c r="M16" s="275"/>
    </row>
    <row r="17" spans="1:22">
      <c r="A17" s="298" t="s">
        <v>365</v>
      </c>
      <c r="B17" s="221"/>
      <c r="C17" s="309" t="s">
        <v>1082</v>
      </c>
      <c r="D17" s="250"/>
      <c r="E17" s="259"/>
      <c r="F17" s="958">
        <v>1186742.2376426209</v>
      </c>
      <c r="G17" s="259">
        <f>IF($F$34=0,0,F17/$F$34)</f>
        <v>5.7186511020578694E-2</v>
      </c>
      <c r="H17" s="283">
        <f>IF($E$15=0,0,$E$15*G17)</f>
        <v>1221038.0920857976</v>
      </c>
      <c r="I17" s="958">
        <v>1427934.8887995444</v>
      </c>
      <c r="J17" s="283">
        <f>H17-I17</f>
        <v>-206896.79671374685</v>
      </c>
      <c r="K17" s="276">
        <f>J17/$J$34*$L$36</f>
        <v>-27726.048221820674</v>
      </c>
      <c r="L17" s="283">
        <f>J17+K17</f>
        <v>-234622.84493556753</v>
      </c>
      <c r="M17" s="277"/>
    </row>
    <row r="18" spans="1:22" ht="15" customHeight="1">
      <c r="A18" s="298" t="s">
        <v>366</v>
      </c>
      <c r="B18" s="221"/>
      <c r="C18" s="309" t="s">
        <v>1083</v>
      </c>
      <c r="D18" s="250"/>
      <c r="E18" s="259"/>
      <c r="F18" s="958">
        <v>585209.33689823444</v>
      </c>
      <c r="G18" s="259">
        <f>IF($F$34=0,0,F18/$F$34)</f>
        <v>2.8199957103030582E-2</v>
      </c>
      <c r="H18" s="283">
        <f>IF($E$15=0,0,$E$15*G18)</f>
        <v>602121.39547374949</v>
      </c>
      <c r="I18" s="958">
        <v>701873.56635933439</v>
      </c>
      <c r="J18" s="283">
        <f t="shared" ref="J18" si="0">H18-I18</f>
        <v>-99752.170885584899</v>
      </c>
      <c r="K18" s="276">
        <f>J18/$J$34*$L$36</f>
        <v>-13367.696088748866</v>
      </c>
      <c r="L18" s="283">
        <f t="shared" ref="L18:L19" si="1">J18+K18</f>
        <v>-113119.86697433377</v>
      </c>
      <c r="M18" s="277"/>
      <c r="N18" s="1016"/>
      <c r="O18" s="1017"/>
      <c r="P18" s="1017"/>
      <c r="Q18" s="1017"/>
      <c r="R18" s="1017"/>
      <c r="S18" s="1017"/>
      <c r="T18" s="1017"/>
      <c r="U18" s="1017"/>
      <c r="V18" s="1017"/>
    </row>
    <row r="19" spans="1:22" ht="15" customHeight="1">
      <c r="A19" s="298" t="s">
        <v>367</v>
      </c>
      <c r="B19" s="221"/>
      <c r="C19" s="309" t="s">
        <v>1084</v>
      </c>
      <c r="D19" s="250"/>
      <c r="E19" s="259"/>
      <c r="F19" s="958">
        <v>768679.23397612327</v>
      </c>
      <c r="G19" s="259">
        <f>IF($F$34=0,0,F19/$F$34)</f>
        <v>3.704096988439981E-2</v>
      </c>
      <c r="H19" s="283">
        <f>IF($E$15=0,0,$E$15*G19)</f>
        <v>790893.41856123169</v>
      </c>
      <c r="I19" s="958">
        <v>903392.81998342928</v>
      </c>
      <c r="J19" s="283">
        <f>H19-I19</f>
        <v>-112499.40142219758</v>
      </c>
      <c r="K19" s="276">
        <f>J19/$J$34*$L$36</f>
        <v>-15075.94065399353</v>
      </c>
      <c r="L19" s="283">
        <f t="shared" si="1"/>
        <v>-127575.34207619111</v>
      </c>
      <c r="M19" s="277"/>
      <c r="N19" s="1016"/>
      <c r="O19" s="1017"/>
      <c r="P19" s="1017"/>
      <c r="Q19" s="1017"/>
      <c r="R19" s="1017"/>
      <c r="S19" s="1017"/>
      <c r="T19" s="1017"/>
      <c r="U19" s="1017"/>
      <c r="V19" s="1017"/>
    </row>
    <row r="20" spans="1:22" ht="15" customHeight="1">
      <c r="A20" s="298" t="s">
        <v>482</v>
      </c>
      <c r="C20" s="309" t="s">
        <v>1085</v>
      </c>
      <c r="D20" s="250"/>
      <c r="E20" s="259"/>
      <c r="F20" s="958">
        <v>18211504.904318675</v>
      </c>
      <c r="G20" s="259">
        <f>IF($F$34=0,0,F20/$F$34)</f>
        <v>0.87757256199199085</v>
      </c>
      <c r="H20" s="283">
        <f>IF($E$15=0,0,$E$15*G20)</f>
        <v>18737802.108192023</v>
      </c>
      <c r="I20" s="958">
        <v>21556781.369237974</v>
      </c>
      <c r="J20" s="283">
        <f>H20-I20</f>
        <v>-2818979.2610459514</v>
      </c>
      <c r="K20" s="276">
        <f>J20/$J$34*$L$36</f>
        <v>-377768.80149676732</v>
      </c>
      <c r="L20" s="283">
        <f>J20+K20</f>
        <v>-3196748.0625427188</v>
      </c>
      <c r="M20" s="277"/>
      <c r="N20" s="1016"/>
      <c r="O20" s="1017"/>
      <c r="P20" s="1017"/>
      <c r="Q20" s="1017"/>
      <c r="R20" s="1017"/>
      <c r="S20" s="1017"/>
      <c r="T20" s="1017"/>
      <c r="U20" s="1017"/>
      <c r="V20" s="1017"/>
    </row>
    <row r="21" spans="1:22" ht="15" customHeight="1">
      <c r="A21" s="203"/>
      <c r="E21" s="259"/>
      <c r="F21" s="259"/>
      <c r="G21" s="259"/>
      <c r="H21" s="259"/>
      <c r="I21" s="259"/>
      <c r="J21" s="259"/>
      <c r="K21" s="259"/>
      <c r="L21" s="259"/>
      <c r="M21" s="277"/>
      <c r="N21" s="1016"/>
      <c r="O21" s="1017"/>
      <c r="P21" s="1017"/>
      <c r="Q21" s="1017"/>
      <c r="R21" s="1017"/>
      <c r="S21" s="1017"/>
      <c r="T21" s="1017"/>
      <c r="U21" s="1017"/>
      <c r="V21" s="1017"/>
    </row>
    <row r="22" spans="1:22" ht="15" customHeight="1">
      <c r="A22" s="203"/>
      <c r="C22" s="145"/>
      <c r="D22" s="145"/>
      <c r="E22" s="148"/>
      <c r="F22" s="148"/>
      <c r="G22" s="148"/>
      <c r="H22" s="148"/>
      <c r="I22" s="148"/>
      <c r="J22" s="148"/>
      <c r="K22" s="148"/>
      <c r="L22" s="148"/>
      <c r="M22" s="278"/>
      <c r="N22" s="1016"/>
      <c r="O22" s="1017"/>
      <c r="P22" s="1017"/>
      <c r="Q22" s="1017"/>
      <c r="R22" s="1017"/>
      <c r="S22" s="1017"/>
      <c r="T22" s="1017"/>
      <c r="U22" s="1017"/>
      <c r="V22" s="1017"/>
    </row>
    <row r="23" spans="1:22" ht="15" customHeight="1">
      <c r="A23" s="203"/>
      <c r="C23" s="145"/>
      <c r="D23" s="145"/>
      <c r="E23" s="148"/>
      <c r="F23" s="148"/>
      <c r="G23" s="148"/>
      <c r="H23" s="148"/>
      <c r="I23" s="148"/>
      <c r="J23" s="148"/>
      <c r="K23" s="148"/>
      <c r="L23" s="148"/>
      <c r="M23" s="278"/>
      <c r="N23" s="1016"/>
      <c r="O23" s="1017"/>
      <c r="P23" s="1017"/>
      <c r="Q23" s="1017"/>
      <c r="R23" s="1017"/>
      <c r="S23" s="1017"/>
      <c r="T23" s="1017"/>
      <c r="U23" s="1017"/>
      <c r="V23" s="1017"/>
    </row>
    <row r="24" spans="1:22">
      <c r="A24" s="203"/>
      <c r="C24" s="145"/>
      <c r="D24" s="145"/>
      <c r="E24" s="148"/>
      <c r="F24" s="964"/>
      <c r="G24" s="964"/>
      <c r="H24" s="148"/>
      <c r="I24" s="148"/>
      <c r="J24" s="148"/>
      <c r="K24" s="148"/>
      <c r="L24" s="148"/>
      <c r="M24" s="278"/>
      <c r="N24" s="1016"/>
      <c r="O24" s="1017"/>
      <c r="P24" s="1017"/>
      <c r="Q24" s="1017"/>
      <c r="R24" s="1017"/>
      <c r="S24" s="1017"/>
      <c r="T24" s="1017"/>
      <c r="U24" s="1017"/>
      <c r="V24" s="1017"/>
    </row>
    <row r="25" spans="1:22">
      <c r="A25" s="203"/>
      <c r="C25" s="145"/>
      <c r="D25" s="145"/>
      <c r="E25" s="148"/>
      <c r="F25" s="964"/>
      <c r="G25" s="964"/>
      <c r="H25" s="148"/>
      <c r="I25" s="148"/>
      <c r="J25" s="148"/>
      <c r="K25" s="148"/>
      <c r="L25" s="148"/>
      <c r="M25" s="278"/>
    </row>
    <row r="26" spans="1:22">
      <c r="A26" s="203"/>
      <c r="C26" s="145"/>
      <c r="D26" s="145"/>
      <c r="E26" s="148"/>
      <c r="F26" s="964"/>
      <c r="G26" s="964"/>
      <c r="H26" s="148"/>
      <c r="I26" s="148"/>
      <c r="J26" s="148"/>
      <c r="K26" s="148"/>
      <c r="L26" s="148"/>
      <c r="M26" s="278"/>
    </row>
    <row r="27" spans="1:22">
      <c r="A27" s="203"/>
      <c r="C27" s="145"/>
      <c r="D27" s="145"/>
      <c r="E27" s="148"/>
      <c r="F27" s="964"/>
      <c r="G27" s="964"/>
      <c r="H27" s="148"/>
      <c r="I27" s="148"/>
      <c r="J27" s="148"/>
      <c r="K27" s="148"/>
      <c r="L27" s="148"/>
      <c r="M27" s="278"/>
    </row>
    <row r="28" spans="1:22">
      <c r="A28" s="203"/>
      <c r="C28" s="145"/>
      <c r="D28" s="145"/>
      <c r="E28" s="148"/>
      <c r="F28" s="964"/>
      <c r="G28" s="964"/>
      <c r="H28" s="148"/>
      <c r="I28" s="148"/>
      <c r="J28" s="148"/>
      <c r="K28" s="148"/>
      <c r="L28" s="148"/>
      <c r="M28" s="278"/>
    </row>
    <row r="29" spans="1:22">
      <c r="A29" s="203"/>
      <c r="C29" s="145"/>
      <c r="D29" s="145"/>
      <c r="E29" s="148"/>
      <c r="F29" s="148"/>
      <c r="G29" s="148"/>
      <c r="H29" s="148"/>
      <c r="I29" s="148"/>
      <c r="J29" s="148"/>
      <c r="K29" s="148"/>
      <c r="L29" s="148"/>
      <c r="M29" s="278"/>
    </row>
    <row r="30" spans="1:22">
      <c r="A30" s="203"/>
      <c r="C30" s="145"/>
      <c r="D30" s="145"/>
      <c r="E30" s="148"/>
      <c r="F30" s="148"/>
      <c r="G30" s="148"/>
      <c r="H30" s="148"/>
      <c r="I30" s="148"/>
      <c r="J30" s="148"/>
      <c r="K30" s="148"/>
      <c r="L30" s="148"/>
      <c r="M30" s="278"/>
    </row>
    <row r="31" spans="1:22">
      <c r="A31" s="203"/>
      <c r="C31" s="145"/>
      <c r="D31" s="145"/>
      <c r="E31" s="148"/>
      <c r="F31" s="148"/>
      <c r="G31" s="148"/>
      <c r="H31" s="148"/>
      <c r="I31" s="148"/>
      <c r="J31" s="148"/>
      <c r="K31" s="148"/>
      <c r="L31" s="148"/>
      <c r="M31" s="278"/>
    </row>
    <row r="32" spans="1:22">
      <c r="A32" s="203"/>
      <c r="C32" s="145"/>
      <c r="D32" s="145"/>
      <c r="E32" s="148"/>
      <c r="F32" s="148"/>
      <c r="G32" s="148"/>
      <c r="H32" s="148"/>
      <c r="I32" s="148"/>
      <c r="J32" s="148"/>
      <c r="K32" s="148"/>
      <c r="L32" s="148"/>
      <c r="M32" s="278"/>
    </row>
    <row r="33" spans="1:13">
      <c r="A33" s="256"/>
      <c r="B33" s="232"/>
      <c r="C33" s="257"/>
      <c r="D33" s="257"/>
      <c r="E33" s="279"/>
      <c r="F33" s="279"/>
      <c r="G33" s="279"/>
      <c r="H33" s="279"/>
      <c r="I33" s="279"/>
      <c r="J33" s="279"/>
      <c r="K33" s="279"/>
      <c r="L33" s="279"/>
      <c r="M33" s="280"/>
    </row>
    <row r="34" spans="1:13">
      <c r="A34" s="207" t="s">
        <v>168</v>
      </c>
      <c r="B34" s="281"/>
      <c r="C34" s="159" t="s">
        <v>201</v>
      </c>
      <c r="D34" s="160"/>
      <c r="E34" s="221"/>
      <c r="F34" s="959">
        <f>SUM(F17:F33)</f>
        <v>20752135.712835655</v>
      </c>
      <c r="G34" s="282"/>
      <c r="H34" s="282"/>
      <c r="I34" s="282">
        <f>SUM(I17:I33)</f>
        <v>24589982.644380283</v>
      </c>
      <c r="J34" s="959">
        <f>SUM(J17:J33)</f>
        <v>-3238127.6300674807</v>
      </c>
      <c r="K34" s="259"/>
      <c r="L34" s="283">
        <f>SUM(L17:L33)</f>
        <v>-3672066.1165288114</v>
      </c>
      <c r="M34" s="259"/>
    </row>
    <row r="35" spans="1:13">
      <c r="A35" s="145"/>
      <c r="B35" s="145"/>
      <c r="E35" s="145"/>
    </row>
    <row r="36" spans="1:13">
      <c r="A36" s="207" t="s">
        <v>169</v>
      </c>
      <c r="B36" s="145"/>
      <c r="C36" s="159" t="s">
        <v>796</v>
      </c>
      <c r="E36" s="145"/>
      <c r="J36" s="259"/>
      <c r="L36" s="259">
        <f>'Attachment 13a - TEC True-Up'!I64</f>
        <v>-433938.48646133038</v>
      </c>
      <c r="M36" s="259"/>
    </row>
    <row r="37" spans="1:13">
      <c r="A37" s="263"/>
      <c r="B37" s="145"/>
      <c r="E37" s="145"/>
    </row>
    <row r="38" spans="1:13">
      <c r="A38" s="221"/>
      <c r="J38" s="283"/>
    </row>
    <row r="39" spans="1:13">
      <c r="A39" s="221"/>
      <c r="J39" s="283"/>
    </row>
    <row r="40" spans="1:13">
      <c r="A40" s="207"/>
      <c r="J40" s="259"/>
    </row>
    <row r="41" spans="1:13">
      <c r="A41" s="207"/>
      <c r="J41" s="259"/>
    </row>
    <row r="42" spans="1:13">
      <c r="C42" s="284"/>
    </row>
    <row r="44" spans="1:13">
      <c r="A44" s="145" t="s">
        <v>212</v>
      </c>
      <c r="B44" s="145"/>
      <c r="C44" s="145"/>
      <c r="D44" s="145"/>
      <c r="E44" s="145"/>
      <c r="F44" s="145"/>
      <c r="G44" s="145"/>
      <c r="H44" s="145"/>
      <c r="I44" s="145"/>
      <c r="J44" s="145"/>
      <c r="K44" s="145"/>
      <c r="L44" s="145"/>
      <c r="M44" s="145"/>
    </row>
    <row r="45" spans="1:13">
      <c r="A45" s="261"/>
      <c r="B45" s="145" t="s">
        <v>182</v>
      </c>
      <c r="C45" s="145" t="s">
        <v>360</v>
      </c>
      <c r="D45" s="145"/>
      <c r="E45" s="145"/>
      <c r="F45" s="145"/>
      <c r="G45" s="145"/>
      <c r="H45" s="145"/>
      <c r="I45" s="145"/>
      <c r="J45" s="145"/>
      <c r="K45" s="145"/>
      <c r="L45" s="145"/>
      <c r="M45" s="145"/>
    </row>
    <row r="46" spans="1:13">
      <c r="A46" s="285"/>
      <c r="C46" s="207"/>
      <c r="D46" s="207"/>
      <c r="E46" s="221"/>
      <c r="F46" s="221"/>
      <c r="G46" s="204"/>
      <c r="J46" s="264"/>
    </row>
    <row r="47" spans="1:13">
      <c r="A47" s="285"/>
      <c r="C47" s="207"/>
      <c r="D47" s="207"/>
      <c r="E47" s="221"/>
      <c r="F47" s="221"/>
      <c r="G47" s="204"/>
      <c r="J47" s="264"/>
    </row>
    <row r="48" spans="1:13">
      <c r="C48" s="145"/>
      <c r="D48" s="145"/>
      <c r="E48" s="145"/>
      <c r="F48" s="145"/>
      <c r="G48" s="145"/>
      <c r="H48" s="145"/>
      <c r="I48" s="145"/>
      <c r="J48" s="145"/>
      <c r="K48" s="145"/>
      <c r="L48" s="145"/>
    </row>
    <row r="49" spans="3:12">
      <c r="C49" s="145"/>
      <c r="D49" s="145"/>
      <c r="E49" s="145"/>
      <c r="F49" s="145"/>
      <c r="G49" s="145"/>
      <c r="H49" s="145"/>
      <c r="I49" s="145"/>
      <c r="J49" s="145"/>
      <c r="K49" s="145"/>
      <c r="L49" s="145"/>
    </row>
    <row r="50" spans="3:12">
      <c r="C50" s="145"/>
      <c r="D50" s="145"/>
      <c r="E50" s="145"/>
      <c r="F50" s="145"/>
      <c r="G50" s="145"/>
      <c r="H50" s="145"/>
      <c r="I50" s="145"/>
      <c r="J50" s="145"/>
      <c r="K50" s="145"/>
      <c r="L50" s="145"/>
    </row>
    <row r="51" spans="3:12">
      <c r="C51" s="145"/>
      <c r="D51" s="145"/>
      <c r="E51" s="145"/>
      <c r="F51" s="145"/>
      <c r="G51" s="145"/>
      <c r="H51" s="145"/>
      <c r="I51" s="145"/>
      <c r="J51" s="145"/>
      <c r="K51" s="145"/>
      <c r="L51" s="145"/>
    </row>
    <row r="52" spans="3:12">
      <c r="C52" s="145"/>
      <c r="D52" s="145"/>
      <c r="E52" s="145"/>
      <c r="F52" s="145"/>
      <c r="G52" s="145"/>
      <c r="H52" s="145"/>
      <c r="I52" s="145"/>
      <c r="J52" s="145"/>
      <c r="K52" s="145"/>
      <c r="L52" s="145"/>
    </row>
    <row r="53" spans="3:12">
      <c r="C53" s="145"/>
      <c r="D53" s="145"/>
      <c r="E53" s="145"/>
      <c r="F53" s="145"/>
      <c r="G53" s="145"/>
      <c r="H53" s="145"/>
      <c r="I53" s="145"/>
      <c r="J53" s="145"/>
      <c r="K53" s="145"/>
      <c r="L53" s="145"/>
    </row>
    <row r="54" spans="3:12">
      <c r="C54" s="145"/>
      <c r="D54" s="145"/>
      <c r="E54" s="145"/>
      <c r="F54" s="145"/>
      <c r="G54" s="145"/>
      <c r="H54" s="145"/>
      <c r="I54" s="145"/>
      <c r="J54" s="145"/>
      <c r="K54" s="145"/>
      <c r="L54" s="145"/>
    </row>
    <row r="55" spans="3:12">
      <c r="C55" s="145"/>
      <c r="D55" s="145"/>
      <c r="E55" s="145"/>
      <c r="F55" s="145"/>
      <c r="G55" s="145"/>
      <c r="H55" s="145"/>
      <c r="I55" s="145"/>
      <c r="J55" s="145"/>
      <c r="K55" s="145"/>
      <c r="L55" s="145"/>
    </row>
    <row r="56" spans="3:12">
      <c r="C56" s="145"/>
      <c r="D56" s="145"/>
      <c r="E56" s="145"/>
      <c r="F56" s="145"/>
      <c r="G56" s="145"/>
      <c r="H56" s="145"/>
      <c r="I56" s="145"/>
      <c r="J56" s="145"/>
      <c r="K56" s="145"/>
      <c r="L56" s="145"/>
    </row>
    <row r="57" spans="3:12">
      <c r="C57" s="145"/>
      <c r="D57" s="145"/>
      <c r="E57" s="145"/>
      <c r="F57" s="145"/>
      <c r="G57" s="145"/>
      <c r="H57" s="145"/>
      <c r="I57" s="145"/>
      <c r="J57" s="145"/>
      <c r="K57" s="145"/>
      <c r="L57" s="145"/>
    </row>
    <row r="58" spans="3:12">
      <c r="C58" s="145"/>
      <c r="D58" s="145"/>
      <c r="E58" s="145"/>
      <c r="F58" s="145"/>
      <c r="G58" s="145"/>
      <c r="H58" s="145"/>
      <c r="I58" s="145"/>
      <c r="J58" s="145"/>
      <c r="K58" s="145"/>
      <c r="L58" s="145"/>
    </row>
    <row r="59" spans="3:12">
      <c r="C59" s="145"/>
      <c r="D59" s="145"/>
      <c r="E59" s="145"/>
      <c r="F59" s="145"/>
      <c r="G59" s="145"/>
      <c r="H59" s="145"/>
      <c r="I59" s="145"/>
      <c r="J59" s="145"/>
      <c r="K59" s="145"/>
      <c r="L59" s="145"/>
    </row>
    <row r="60" spans="3:12">
      <c r="C60" s="145"/>
      <c r="D60" s="145"/>
      <c r="E60" s="145"/>
      <c r="F60" s="145"/>
      <c r="G60" s="145"/>
      <c r="H60" s="145"/>
      <c r="I60" s="145"/>
      <c r="J60" s="145"/>
      <c r="K60" s="145"/>
      <c r="L60" s="145"/>
    </row>
    <row r="61" spans="3:12">
      <c r="C61" s="145"/>
      <c r="D61" s="145"/>
      <c r="E61" s="145"/>
      <c r="F61" s="145"/>
      <c r="G61" s="145"/>
      <c r="H61" s="145"/>
      <c r="I61" s="145"/>
      <c r="J61" s="145"/>
      <c r="K61" s="145"/>
      <c r="L61" s="145"/>
    </row>
    <row r="62" spans="3:12">
      <c r="C62" s="145"/>
      <c r="D62" s="145"/>
      <c r="E62" s="145"/>
      <c r="F62" s="145"/>
      <c r="G62" s="145"/>
      <c r="H62" s="145"/>
      <c r="I62" s="145"/>
      <c r="J62" s="145"/>
      <c r="K62" s="145"/>
      <c r="L62" s="145"/>
    </row>
    <row r="63" spans="3:12">
      <c r="C63" s="145"/>
      <c r="D63" s="145"/>
      <c r="E63" s="145"/>
      <c r="F63" s="145"/>
      <c r="G63" s="145"/>
      <c r="H63" s="145"/>
      <c r="I63" s="145"/>
      <c r="J63" s="145"/>
      <c r="K63" s="145"/>
      <c r="L63" s="145"/>
    </row>
    <row r="64" spans="3:12">
      <c r="C64" s="145"/>
      <c r="D64" s="145"/>
      <c r="E64" s="145"/>
      <c r="F64" s="145"/>
      <c r="G64" s="145"/>
      <c r="H64" s="145"/>
      <c r="I64" s="145"/>
      <c r="J64" s="145"/>
      <c r="K64" s="145"/>
      <c r="L64" s="145"/>
    </row>
    <row r="65" spans="3:12">
      <c r="C65" s="145"/>
      <c r="D65" s="145"/>
      <c r="E65" s="145"/>
      <c r="F65" s="145"/>
      <c r="G65" s="145"/>
      <c r="H65" s="145"/>
      <c r="I65" s="145"/>
      <c r="J65" s="145"/>
      <c r="K65" s="145"/>
      <c r="L65" s="145"/>
    </row>
    <row r="66" spans="3:12">
      <c r="C66" s="145"/>
      <c r="D66" s="145"/>
      <c r="E66" s="145"/>
      <c r="F66" s="145"/>
      <c r="G66" s="145"/>
      <c r="H66" s="145"/>
      <c r="I66" s="145"/>
      <c r="J66" s="145"/>
      <c r="K66" s="145"/>
      <c r="L66" s="145"/>
    </row>
    <row r="67" spans="3:12">
      <c r="C67" s="145"/>
      <c r="D67" s="145"/>
      <c r="E67" s="145"/>
      <c r="F67" s="145"/>
      <c r="G67" s="145"/>
      <c r="H67" s="145"/>
      <c r="I67" s="145"/>
      <c r="J67" s="145"/>
      <c r="K67" s="145"/>
      <c r="L67" s="145"/>
    </row>
    <row r="68" spans="3:12">
      <c r="C68" s="145"/>
      <c r="D68" s="145"/>
      <c r="E68" s="145"/>
      <c r="F68" s="145"/>
      <c r="G68" s="145"/>
      <c r="H68" s="145"/>
      <c r="I68" s="145"/>
      <c r="J68" s="145"/>
      <c r="K68" s="145"/>
      <c r="L68" s="145"/>
    </row>
    <row r="69" spans="3:12">
      <c r="C69" s="145"/>
      <c r="D69" s="145"/>
      <c r="E69" s="145"/>
      <c r="F69" s="145"/>
      <c r="G69" s="145"/>
      <c r="H69" s="145"/>
      <c r="I69" s="145"/>
      <c r="J69" s="145"/>
      <c r="K69" s="145"/>
      <c r="L69" s="145"/>
    </row>
    <row r="70" spans="3:12">
      <c r="C70" s="145"/>
      <c r="D70" s="145"/>
      <c r="E70" s="145"/>
      <c r="F70" s="145"/>
      <c r="G70" s="145"/>
      <c r="H70" s="145"/>
      <c r="I70" s="145"/>
      <c r="J70" s="145"/>
      <c r="K70" s="145"/>
      <c r="L70" s="145"/>
    </row>
    <row r="71" spans="3:12">
      <c r="C71" s="145"/>
      <c r="D71" s="145"/>
      <c r="E71" s="145"/>
      <c r="F71" s="145"/>
      <c r="G71" s="145"/>
      <c r="H71" s="145"/>
      <c r="I71" s="145"/>
      <c r="J71" s="145"/>
      <c r="K71" s="145"/>
      <c r="L71" s="145"/>
    </row>
    <row r="72" spans="3:12">
      <c r="C72" s="145"/>
      <c r="D72" s="145"/>
      <c r="E72" s="145"/>
      <c r="F72" s="145"/>
      <c r="G72" s="145"/>
      <c r="H72" s="145"/>
      <c r="I72" s="145"/>
      <c r="J72" s="145"/>
      <c r="K72" s="145"/>
      <c r="L72" s="145"/>
    </row>
    <row r="73" spans="3:12">
      <c r="C73" s="145"/>
      <c r="D73" s="145"/>
      <c r="E73" s="145"/>
      <c r="F73" s="145"/>
      <c r="G73" s="145"/>
      <c r="H73" s="145"/>
      <c r="I73" s="145"/>
      <c r="J73" s="145"/>
      <c r="K73" s="145"/>
      <c r="L73" s="145"/>
    </row>
    <row r="74" spans="3:12">
      <c r="C74" s="145"/>
      <c r="D74" s="145"/>
      <c r="E74" s="145"/>
      <c r="F74" s="145"/>
      <c r="G74" s="145"/>
      <c r="H74" s="145"/>
      <c r="I74" s="145"/>
      <c r="J74" s="145"/>
      <c r="K74" s="145"/>
      <c r="L74" s="145"/>
    </row>
    <row r="75" spans="3:12">
      <c r="C75" s="145"/>
      <c r="D75" s="145"/>
      <c r="E75" s="145"/>
      <c r="F75" s="145"/>
      <c r="G75" s="145"/>
      <c r="H75" s="145"/>
      <c r="I75" s="145"/>
      <c r="J75" s="145"/>
      <c r="K75" s="145"/>
      <c r="L75" s="145"/>
    </row>
    <row r="76" spans="3:12">
      <c r="C76" s="145"/>
      <c r="D76" s="145"/>
      <c r="E76" s="145"/>
      <c r="F76" s="145"/>
      <c r="G76" s="145"/>
      <c r="H76" s="145"/>
      <c r="I76" s="145"/>
      <c r="J76" s="145"/>
      <c r="K76" s="145"/>
      <c r="L76" s="145"/>
    </row>
    <row r="77" spans="3:12">
      <c r="C77" s="145"/>
      <c r="D77" s="145"/>
      <c r="E77" s="145"/>
      <c r="F77" s="145"/>
      <c r="G77" s="145"/>
      <c r="H77" s="145"/>
      <c r="I77" s="145"/>
      <c r="J77" s="145"/>
      <c r="K77" s="145"/>
      <c r="L77" s="145"/>
    </row>
    <row r="78" spans="3:12">
      <c r="C78" s="145"/>
      <c r="D78" s="145"/>
      <c r="E78" s="145"/>
      <c r="F78" s="145"/>
      <c r="G78" s="145"/>
      <c r="H78" s="145"/>
      <c r="I78" s="145"/>
      <c r="J78" s="145"/>
      <c r="K78" s="145"/>
      <c r="L78" s="145"/>
    </row>
    <row r="79" spans="3:12">
      <c r="C79" s="145"/>
      <c r="D79" s="145"/>
      <c r="E79" s="145"/>
      <c r="F79" s="145"/>
      <c r="G79" s="145"/>
      <c r="H79" s="145"/>
      <c r="I79" s="145"/>
      <c r="J79" s="145"/>
      <c r="K79" s="145"/>
      <c r="L79" s="145"/>
    </row>
    <row r="80" spans="3:12">
      <c r="C80" s="145"/>
      <c r="D80" s="145"/>
      <c r="E80" s="145"/>
      <c r="F80" s="145"/>
      <c r="G80" s="145"/>
      <c r="H80" s="145"/>
      <c r="I80" s="145"/>
      <c r="J80" s="145"/>
      <c r="K80" s="145"/>
      <c r="L80" s="145"/>
    </row>
    <row r="81" spans="3:12">
      <c r="C81" s="145"/>
      <c r="D81" s="145"/>
      <c r="E81" s="145"/>
      <c r="F81" s="145"/>
      <c r="G81" s="145"/>
      <c r="H81" s="145"/>
      <c r="I81" s="145"/>
      <c r="J81" s="145"/>
      <c r="K81" s="145"/>
      <c r="L81" s="145"/>
    </row>
    <row r="82" spans="3:12">
      <c r="C82" s="145"/>
      <c r="D82" s="145"/>
      <c r="E82" s="145"/>
      <c r="F82" s="145"/>
      <c r="G82" s="145"/>
      <c r="H82" s="145"/>
      <c r="I82" s="145"/>
      <c r="J82" s="145"/>
      <c r="K82" s="145"/>
      <c r="L82" s="145"/>
    </row>
    <row r="83" spans="3:12">
      <c r="C83" s="145"/>
      <c r="D83" s="145"/>
      <c r="E83" s="145"/>
      <c r="F83" s="145"/>
      <c r="G83" s="145"/>
      <c r="H83" s="145"/>
      <c r="I83" s="145"/>
      <c r="J83" s="145"/>
      <c r="K83" s="145"/>
      <c r="L83" s="145"/>
    </row>
    <row r="84" spans="3:12">
      <c r="C84" s="145"/>
      <c r="D84" s="145"/>
      <c r="E84" s="145"/>
      <c r="F84" s="145"/>
      <c r="G84" s="145"/>
      <c r="H84" s="145"/>
      <c r="I84" s="145"/>
      <c r="J84" s="145"/>
      <c r="K84" s="145"/>
      <c r="L84" s="145"/>
    </row>
    <row r="85" spans="3:12">
      <c r="C85" s="145"/>
      <c r="D85" s="145"/>
      <c r="E85" s="145"/>
      <c r="F85" s="145"/>
      <c r="G85" s="145"/>
      <c r="H85" s="145"/>
      <c r="I85" s="145"/>
      <c r="J85" s="145"/>
      <c r="K85" s="145"/>
      <c r="L85" s="145"/>
    </row>
    <row r="86" spans="3:12">
      <c r="C86" s="145"/>
      <c r="D86" s="145"/>
      <c r="E86" s="145"/>
      <c r="F86" s="145"/>
      <c r="G86" s="145"/>
      <c r="H86" s="145"/>
      <c r="I86" s="145"/>
      <c r="J86" s="145"/>
      <c r="K86" s="145"/>
      <c r="L86" s="145"/>
    </row>
    <row r="87" spans="3:12">
      <c r="C87" s="145"/>
      <c r="D87" s="145"/>
      <c r="E87" s="145"/>
      <c r="F87" s="145"/>
      <c r="G87" s="145"/>
      <c r="H87" s="145"/>
      <c r="I87" s="145"/>
      <c r="J87" s="145"/>
      <c r="K87" s="145"/>
      <c r="L87" s="145"/>
    </row>
    <row r="88" spans="3:12">
      <c r="C88" s="145"/>
      <c r="D88" s="145"/>
      <c r="E88" s="145"/>
      <c r="F88" s="145"/>
      <c r="G88" s="145"/>
      <c r="H88" s="145"/>
      <c r="I88" s="145"/>
      <c r="J88" s="145"/>
      <c r="K88" s="145"/>
      <c r="L88" s="145"/>
    </row>
    <row r="89" spans="3:12">
      <c r="C89" s="145"/>
      <c r="D89" s="145"/>
      <c r="E89" s="145"/>
      <c r="F89" s="145"/>
      <c r="G89" s="145"/>
      <c r="H89" s="145"/>
      <c r="I89" s="145"/>
      <c r="J89" s="145"/>
      <c r="K89" s="145"/>
      <c r="L89" s="145"/>
    </row>
    <row r="90" spans="3:12">
      <c r="C90" s="145"/>
      <c r="D90" s="145"/>
      <c r="E90" s="145"/>
      <c r="F90" s="145"/>
      <c r="G90" s="145"/>
      <c r="H90" s="145"/>
      <c r="I90" s="145"/>
      <c r="J90" s="145"/>
      <c r="K90" s="145"/>
      <c r="L90" s="145"/>
    </row>
    <row r="91" spans="3:12">
      <c r="C91" s="145"/>
      <c r="D91" s="145"/>
      <c r="E91" s="145"/>
      <c r="F91" s="145"/>
      <c r="G91" s="145"/>
      <c r="H91" s="145"/>
      <c r="I91" s="145"/>
      <c r="J91" s="145"/>
      <c r="K91" s="145"/>
      <c r="L91" s="145"/>
    </row>
    <row r="92" spans="3:12">
      <c r="C92" s="145"/>
      <c r="D92" s="145"/>
      <c r="E92" s="145"/>
      <c r="F92" s="145"/>
      <c r="G92" s="145"/>
      <c r="H92" s="145"/>
      <c r="I92" s="145"/>
      <c r="J92" s="145"/>
      <c r="K92" s="145"/>
      <c r="L92" s="145"/>
    </row>
    <row r="93" spans="3:12">
      <c r="C93" s="145"/>
      <c r="D93" s="145"/>
      <c r="E93" s="145"/>
      <c r="F93" s="145"/>
      <c r="G93" s="145"/>
      <c r="H93" s="145"/>
      <c r="I93" s="145"/>
      <c r="J93" s="145"/>
      <c r="K93" s="145"/>
      <c r="L93" s="145"/>
    </row>
    <row r="94" spans="3:12">
      <c r="C94" s="145"/>
      <c r="D94" s="145"/>
      <c r="E94" s="145"/>
      <c r="F94" s="145"/>
      <c r="G94" s="145"/>
      <c r="H94" s="145"/>
      <c r="I94" s="145"/>
      <c r="J94" s="145"/>
      <c r="K94" s="145"/>
      <c r="L94" s="145"/>
    </row>
    <row r="95" spans="3:12">
      <c r="C95" s="145"/>
      <c r="D95" s="145"/>
      <c r="E95" s="145"/>
      <c r="F95" s="145"/>
      <c r="G95" s="145"/>
      <c r="H95" s="145"/>
      <c r="I95" s="145"/>
      <c r="J95" s="145"/>
      <c r="K95" s="145"/>
      <c r="L95" s="145"/>
    </row>
    <row r="96" spans="3:12">
      <c r="C96" s="145"/>
      <c r="D96" s="145"/>
      <c r="E96" s="145"/>
      <c r="F96" s="145"/>
      <c r="G96" s="145"/>
      <c r="H96" s="145"/>
      <c r="I96" s="145"/>
      <c r="J96" s="145"/>
      <c r="K96" s="145"/>
      <c r="L96" s="145"/>
    </row>
    <row r="97" spans="3:12">
      <c r="C97" s="145"/>
      <c r="D97" s="145"/>
      <c r="E97" s="145"/>
      <c r="F97" s="145"/>
      <c r="G97" s="145"/>
      <c r="H97" s="145"/>
      <c r="I97" s="145"/>
      <c r="J97" s="145"/>
      <c r="K97" s="145"/>
      <c r="L97" s="145"/>
    </row>
    <row r="98" spans="3:12">
      <c r="C98" s="145"/>
      <c r="D98" s="145"/>
      <c r="E98" s="145"/>
      <c r="F98" s="145"/>
      <c r="G98" s="145"/>
      <c r="H98" s="145"/>
      <c r="I98" s="145"/>
      <c r="J98" s="145"/>
      <c r="K98" s="145"/>
      <c r="L98" s="145"/>
    </row>
    <row r="99" spans="3:12">
      <c r="C99" s="145"/>
      <c r="D99" s="145"/>
      <c r="E99" s="145"/>
      <c r="F99" s="145"/>
      <c r="G99" s="145"/>
      <c r="H99" s="145"/>
      <c r="I99" s="145"/>
      <c r="J99" s="145"/>
      <c r="K99" s="145"/>
      <c r="L99" s="145"/>
    </row>
    <row r="100" spans="3:12">
      <c r="C100" s="145"/>
      <c r="D100" s="145"/>
      <c r="E100" s="145"/>
      <c r="F100" s="145"/>
      <c r="G100" s="145"/>
      <c r="H100" s="145"/>
      <c r="I100" s="145"/>
      <c r="J100" s="145"/>
      <c r="K100" s="145"/>
      <c r="L100" s="145"/>
    </row>
    <row r="101" spans="3:12">
      <c r="C101" s="145"/>
      <c r="D101" s="145"/>
      <c r="E101" s="145"/>
      <c r="F101" s="145"/>
      <c r="G101" s="145"/>
      <c r="H101" s="145"/>
      <c r="I101" s="145"/>
      <c r="J101" s="145"/>
      <c r="K101" s="145"/>
      <c r="L101" s="145"/>
    </row>
    <row r="102" spans="3:12">
      <c r="C102" s="145"/>
      <c r="D102" s="145"/>
      <c r="E102" s="145"/>
      <c r="F102" s="145"/>
      <c r="G102" s="145"/>
      <c r="H102" s="145"/>
      <c r="I102" s="145"/>
      <c r="J102" s="145"/>
      <c r="K102" s="145"/>
      <c r="L102" s="145"/>
    </row>
    <row r="103" spans="3:12">
      <c r="C103" s="145"/>
      <c r="D103" s="145"/>
      <c r="E103" s="145"/>
      <c r="F103" s="145"/>
      <c r="G103" s="145"/>
      <c r="H103" s="145"/>
      <c r="I103" s="145"/>
      <c r="J103" s="145"/>
      <c r="K103" s="145"/>
      <c r="L103" s="145"/>
    </row>
    <row r="104" spans="3:12">
      <c r="C104" s="145"/>
      <c r="D104" s="145"/>
      <c r="E104" s="145"/>
      <c r="F104" s="145"/>
      <c r="G104" s="145"/>
      <c r="H104" s="145"/>
      <c r="I104" s="145"/>
      <c r="J104" s="145"/>
      <c r="K104" s="145"/>
      <c r="L104" s="145"/>
    </row>
    <row r="105" spans="3:12">
      <c r="C105" s="145"/>
      <c r="D105" s="145"/>
      <c r="E105" s="145"/>
      <c r="F105" s="145"/>
      <c r="G105" s="145"/>
      <c r="H105" s="145"/>
      <c r="I105" s="145"/>
      <c r="J105" s="145"/>
      <c r="K105" s="145"/>
      <c r="L105" s="145"/>
    </row>
    <row r="106" spans="3:12">
      <c r="C106" s="145"/>
      <c r="D106" s="145"/>
      <c r="E106" s="145"/>
      <c r="F106" s="145"/>
      <c r="G106" s="145"/>
      <c r="H106" s="145"/>
      <c r="I106" s="145"/>
      <c r="J106" s="145"/>
      <c r="K106" s="145"/>
      <c r="L106" s="145"/>
    </row>
    <row r="107" spans="3:12">
      <c r="C107" s="145"/>
      <c r="D107" s="145"/>
      <c r="E107" s="145"/>
      <c r="F107" s="145"/>
      <c r="G107" s="145"/>
      <c r="H107" s="145"/>
      <c r="I107" s="145"/>
      <c r="J107" s="145"/>
      <c r="K107" s="145"/>
      <c r="L107" s="145"/>
    </row>
    <row r="108" spans="3:12">
      <c r="C108" s="145"/>
      <c r="D108" s="145"/>
      <c r="E108" s="145"/>
      <c r="F108" s="145"/>
      <c r="G108" s="145"/>
      <c r="H108" s="145"/>
      <c r="I108" s="145"/>
      <c r="J108" s="145"/>
      <c r="K108" s="145"/>
      <c r="L108" s="145"/>
    </row>
    <row r="109" spans="3:12">
      <c r="C109" s="145"/>
      <c r="D109" s="145"/>
      <c r="E109" s="145"/>
      <c r="F109" s="145"/>
      <c r="G109" s="145"/>
      <c r="H109" s="145"/>
      <c r="I109" s="145"/>
      <c r="J109" s="145"/>
      <c r="K109" s="145"/>
      <c r="L109" s="145"/>
    </row>
    <row r="110" spans="3:12">
      <c r="C110" s="145"/>
      <c r="D110" s="145"/>
      <c r="E110" s="145"/>
      <c r="F110" s="145"/>
      <c r="G110" s="145"/>
      <c r="H110" s="145"/>
      <c r="I110" s="145"/>
      <c r="J110" s="145"/>
      <c r="K110" s="145"/>
      <c r="L110" s="145"/>
    </row>
    <row r="111" spans="3:12">
      <c r="C111" s="145"/>
      <c r="D111" s="145"/>
      <c r="E111" s="145"/>
      <c r="F111" s="145"/>
      <c r="G111" s="145"/>
      <c r="H111" s="145"/>
      <c r="I111" s="145"/>
      <c r="J111" s="145"/>
      <c r="K111" s="145"/>
      <c r="L111" s="145"/>
    </row>
    <row r="112" spans="3:12">
      <c r="C112" s="145"/>
      <c r="D112" s="145"/>
      <c r="E112" s="145"/>
      <c r="F112" s="145"/>
      <c r="G112" s="145"/>
      <c r="H112" s="145"/>
      <c r="I112" s="145"/>
      <c r="J112" s="145"/>
      <c r="K112" s="145"/>
      <c r="L112" s="145"/>
    </row>
    <row r="113" spans="3:12">
      <c r="C113" s="145"/>
      <c r="D113" s="145"/>
      <c r="E113" s="145"/>
      <c r="F113" s="145"/>
      <c r="G113" s="145"/>
      <c r="H113" s="145"/>
      <c r="I113" s="145"/>
      <c r="J113" s="145"/>
      <c r="K113" s="145"/>
      <c r="L113" s="145"/>
    </row>
    <row r="114" spans="3:12">
      <c r="C114" s="145"/>
      <c r="D114" s="145"/>
      <c r="E114" s="145"/>
      <c r="F114" s="145"/>
      <c r="G114" s="145"/>
      <c r="H114" s="145"/>
      <c r="I114" s="145"/>
      <c r="J114" s="145"/>
      <c r="K114" s="145"/>
      <c r="L114" s="145"/>
    </row>
    <row r="115" spans="3:12">
      <c r="C115" s="145"/>
      <c r="D115" s="145"/>
      <c r="E115" s="145"/>
      <c r="F115" s="145"/>
      <c r="G115" s="145"/>
      <c r="H115" s="145"/>
      <c r="I115" s="145"/>
      <c r="J115" s="145"/>
      <c r="K115" s="145"/>
      <c r="L115" s="145"/>
    </row>
    <row r="116" spans="3:12">
      <c r="C116" s="145"/>
      <c r="D116" s="145"/>
      <c r="E116" s="145"/>
      <c r="F116" s="145"/>
      <c r="G116" s="145"/>
      <c r="H116" s="145"/>
      <c r="I116" s="145"/>
      <c r="J116" s="145"/>
      <c r="K116" s="145"/>
      <c r="L116" s="145"/>
    </row>
    <row r="117" spans="3:12">
      <c r="C117" s="145"/>
      <c r="D117" s="145"/>
      <c r="E117" s="145"/>
      <c r="F117" s="145"/>
      <c r="G117" s="145"/>
      <c r="H117" s="145"/>
      <c r="I117" s="145"/>
      <c r="J117" s="145"/>
      <c r="K117" s="145"/>
      <c r="L117" s="145"/>
    </row>
    <row r="118" spans="3:12">
      <c r="C118" s="145"/>
      <c r="D118" s="145"/>
      <c r="E118" s="145"/>
      <c r="F118" s="145"/>
      <c r="G118" s="145"/>
      <c r="H118" s="145"/>
      <c r="I118" s="145"/>
      <c r="J118" s="145"/>
      <c r="K118" s="145"/>
      <c r="L118" s="145"/>
    </row>
    <row r="119" spans="3:12">
      <c r="C119" s="145"/>
      <c r="D119" s="145"/>
      <c r="E119" s="145"/>
      <c r="F119" s="145"/>
      <c r="G119" s="145"/>
      <c r="H119" s="145"/>
      <c r="I119" s="145"/>
      <c r="J119" s="145"/>
      <c r="K119" s="145"/>
      <c r="L119" s="145"/>
    </row>
    <row r="120" spans="3:12">
      <c r="C120" s="145"/>
      <c r="D120" s="145"/>
      <c r="E120" s="145"/>
      <c r="F120" s="145"/>
      <c r="G120" s="145"/>
      <c r="H120" s="145"/>
      <c r="I120" s="145"/>
      <c r="J120" s="145"/>
      <c r="K120" s="145"/>
      <c r="L120" s="145"/>
    </row>
    <row r="121" spans="3:12">
      <c r="C121" s="145"/>
      <c r="D121" s="145"/>
      <c r="E121" s="145"/>
      <c r="F121" s="145"/>
      <c r="G121" s="145"/>
      <c r="H121" s="145"/>
      <c r="I121" s="145"/>
      <c r="J121" s="145"/>
      <c r="K121" s="145"/>
      <c r="L121" s="145"/>
    </row>
    <row r="122" spans="3:12">
      <c r="C122" s="145"/>
      <c r="D122" s="145"/>
      <c r="E122" s="145"/>
      <c r="F122" s="145"/>
      <c r="G122" s="145"/>
      <c r="H122" s="145"/>
      <c r="I122" s="145"/>
      <c r="J122" s="145"/>
      <c r="K122" s="145"/>
      <c r="L122" s="145"/>
    </row>
    <row r="123" spans="3:12">
      <c r="C123" s="145"/>
      <c r="D123" s="145"/>
      <c r="E123" s="145"/>
      <c r="F123" s="145"/>
      <c r="G123" s="145"/>
      <c r="H123" s="145"/>
      <c r="I123" s="145"/>
      <c r="J123" s="145"/>
      <c r="K123" s="145"/>
      <c r="L123" s="145"/>
    </row>
    <row r="124" spans="3:12">
      <c r="C124" s="145"/>
      <c r="D124" s="145"/>
      <c r="E124" s="145"/>
      <c r="F124" s="145"/>
      <c r="G124" s="145"/>
      <c r="H124" s="145"/>
      <c r="I124" s="145"/>
      <c r="J124" s="145"/>
      <c r="K124" s="145"/>
      <c r="L124" s="145"/>
    </row>
    <row r="125" spans="3:12">
      <c r="C125" s="145"/>
      <c r="D125" s="145"/>
      <c r="E125" s="145"/>
      <c r="F125" s="145"/>
      <c r="G125" s="145"/>
      <c r="H125" s="145"/>
      <c r="I125" s="145"/>
      <c r="J125" s="145"/>
      <c r="K125" s="145"/>
      <c r="L125" s="145"/>
    </row>
    <row r="126" spans="3:12">
      <c r="C126" s="145"/>
      <c r="D126" s="145"/>
      <c r="E126" s="145"/>
      <c r="F126" s="145"/>
      <c r="G126" s="145"/>
      <c r="H126" s="145"/>
      <c r="I126" s="145"/>
      <c r="J126" s="145"/>
      <c r="K126" s="145"/>
      <c r="L126" s="145"/>
    </row>
    <row r="127" spans="3:12">
      <c r="C127" s="145"/>
      <c r="D127" s="145"/>
      <c r="E127" s="145"/>
      <c r="F127" s="145"/>
      <c r="G127" s="145"/>
      <c r="H127" s="145"/>
      <c r="I127" s="145"/>
      <c r="J127" s="145"/>
      <c r="K127" s="145"/>
      <c r="L127" s="145"/>
    </row>
    <row r="128" spans="3:12">
      <c r="C128" s="145"/>
      <c r="D128" s="145"/>
      <c r="E128" s="145"/>
      <c r="F128" s="145"/>
      <c r="G128" s="145"/>
      <c r="H128" s="145"/>
      <c r="I128" s="145"/>
      <c r="J128" s="145"/>
      <c r="K128" s="145"/>
      <c r="L128" s="145"/>
    </row>
    <row r="129" spans="3:12">
      <c r="C129" s="145"/>
      <c r="D129" s="145"/>
      <c r="E129" s="145"/>
      <c r="F129" s="145"/>
      <c r="G129" s="145"/>
      <c r="H129" s="145"/>
      <c r="I129" s="145"/>
      <c r="J129" s="145"/>
      <c r="K129" s="145"/>
      <c r="L129" s="145"/>
    </row>
    <row r="130" spans="3:12">
      <c r="C130" s="145"/>
      <c r="D130" s="145"/>
      <c r="E130" s="145"/>
      <c r="F130" s="145"/>
      <c r="G130" s="145"/>
      <c r="H130" s="145"/>
      <c r="I130" s="145"/>
      <c r="J130" s="145"/>
      <c r="K130" s="145"/>
      <c r="L130" s="145"/>
    </row>
    <row r="131" spans="3:12">
      <c r="C131" s="145"/>
      <c r="D131" s="145"/>
      <c r="E131" s="145"/>
      <c r="F131" s="145"/>
      <c r="G131" s="145"/>
      <c r="H131" s="145"/>
      <c r="I131" s="145"/>
      <c r="J131" s="145"/>
      <c r="K131" s="145"/>
      <c r="L131" s="145"/>
    </row>
    <row r="132" spans="3:12">
      <c r="C132" s="145"/>
      <c r="D132" s="145"/>
      <c r="E132" s="145"/>
      <c r="F132" s="145"/>
      <c r="G132" s="145"/>
      <c r="H132" s="145"/>
      <c r="I132" s="145"/>
      <c r="J132" s="145"/>
      <c r="K132" s="145"/>
      <c r="L132" s="145"/>
    </row>
    <row r="133" spans="3:12">
      <c r="C133" s="145"/>
      <c r="D133" s="145"/>
      <c r="E133" s="145"/>
      <c r="F133" s="145"/>
      <c r="G133" s="145"/>
      <c r="H133" s="145"/>
      <c r="I133" s="145"/>
      <c r="J133" s="145"/>
      <c r="K133" s="145"/>
      <c r="L133" s="145"/>
    </row>
    <row r="134" spans="3:12">
      <c r="C134" s="145"/>
      <c r="D134" s="145"/>
      <c r="E134" s="145"/>
      <c r="F134" s="145"/>
      <c r="G134" s="145"/>
      <c r="H134" s="145"/>
      <c r="I134" s="145"/>
      <c r="J134" s="145"/>
      <c r="K134" s="145"/>
      <c r="L134" s="145"/>
    </row>
    <row r="135" spans="3:12">
      <c r="C135" s="145"/>
      <c r="D135" s="145"/>
      <c r="E135" s="145"/>
      <c r="F135" s="145"/>
      <c r="G135" s="145"/>
      <c r="H135" s="145"/>
      <c r="I135" s="145"/>
      <c r="J135" s="145"/>
      <c r="K135" s="145"/>
      <c r="L135" s="145"/>
    </row>
    <row r="136" spans="3:12">
      <c r="C136" s="145"/>
      <c r="D136" s="145"/>
      <c r="E136" s="145"/>
      <c r="F136" s="145"/>
      <c r="G136" s="145"/>
      <c r="H136" s="145"/>
      <c r="I136" s="145"/>
      <c r="J136" s="145"/>
      <c r="K136" s="145"/>
      <c r="L136" s="145"/>
    </row>
    <row r="137" spans="3:12">
      <c r="C137" s="145"/>
      <c r="D137" s="145"/>
      <c r="E137" s="145"/>
      <c r="F137" s="145"/>
      <c r="G137" s="145"/>
      <c r="H137" s="145"/>
      <c r="I137" s="145"/>
      <c r="J137" s="145"/>
      <c r="K137" s="145"/>
      <c r="L137" s="145"/>
    </row>
    <row r="138" spans="3:12">
      <c r="C138" s="145"/>
      <c r="D138" s="145"/>
      <c r="E138" s="145"/>
      <c r="F138" s="145"/>
      <c r="G138" s="145"/>
      <c r="H138" s="145"/>
      <c r="I138" s="145"/>
      <c r="J138" s="145"/>
      <c r="K138" s="145"/>
      <c r="L138" s="145"/>
    </row>
    <row r="139" spans="3:12">
      <c r="C139" s="145"/>
      <c r="D139" s="145"/>
      <c r="E139" s="145"/>
      <c r="F139" s="145"/>
      <c r="G139" s="145"/>
      <c r="H139" s="145"/>
      <c r="I139" s="145"/>
      <c r="J139" s="145"/>
      <c r="K139" s="145"/>
      <c r="L139" s="145"/>
    </row>
    <row r="140" spans="3:12">
      <c r="C140" s="145"/>
      <c r="D140" s="145"/>
      <c r="E140" s="145"/>
      <c r="F140" s="145"/>
      <c r="G140" s="145"/>
      <c r="H140" s="145"/>
      <c r="I140" s="145"/>
      <c r="J140" s="145"/>
      <c r="K140" s="145"/>
      <c r="L140" s="145"/>
    </row>
    <row r="141" spans="3:12">
      <c r="C141" s="145"/>
      <c r="D141" s="145"/>
      <c r="E141" s="145"/>
      <c r="F141" s="145"/>
      <c r="G141" s="145"/>
      <c r="H141" s="145"/>
      <c r="I141" s="145"/>
      <c r="J141" s="145"/>
      <c r="K141" s="145"/>
      <c r="L141" s="145"/>
    </row>
    <row r="142" spans="3:12">
      <c r="C142" s="145"/>
      <c r="D142" s="145"/>
      <c r="E142" s="145"/>
      <c r="F142" s="145"/>
      <c r="G142" s="145"/>
      <c r="H142" s="145"/>
      <c r="I142" s="145"/>
      <c r="J142" s="145"/>
      <c r="K142" s="145"/>
      <c r="L142" s="145"/>
    </row>
    <row r="143" spans="3:12">
      <c r="C143" s="145"/>
      <c r="D143" s="145"/>
      <c r="E143" s="145"/>
      <c r="F143" s="145"/>
      <c r="G143" s="145"/>
      <c r="H143" s="145"/>
      <c r="I143" s="145"/>
      <c r="J143" s="145"/>
      <c r="K143" s="145"/>
      <c r="L143" s="145"/>
    </row>
    <row r="144" spans="3:12">
      <c r="C144" s="145"/>
      <c r="D144" s="145"/>
      <c r="E144" s="145"/>
      <c r="F144" s="145"/>
      <c r="G144" s="145"/>
      <c r="H144" s="145"/>
      <c r="I144" s="145"/>
      <c r="J144" s="145"/>
      <c r="K144" s="145"/>
      <c r="L144" s="145"/>
    </row>
    <row r="145" spans="3:12">
      <c r="C145" s="145"/>
      <c r="D145" s="145"/>
      <c r="E145" s="145"/>
      <c r="F145" s="145"/>
      <c r="G145" s="145"/>
      <c r="H145" s="145"/>
      <c r="I145" s="145"/>
      <c r="J145" s="145"/>
      <c r="K145" s="145"/>
      <c r="L145" s="145"/>
    </row>
    <row r="146" spans="3:12">
      <c r="C146" s="145"/>
      <c r="D146" s="145"/>
      <c r="E146" s="145"/>
      <c r="F146" s="145"/>
      <c r="G146" s="145"/>
      <c r="H146" s="145"/>
      <c r="I146" s="145"/>
      <c r="J146" s="145"/>
      <c r="K146" s="145"/>
      <c r="L146" s="145"/>
    </row>
    <row r="147" spans="3:12">
      <c r="C147" s="145"/>
      <c r="D147" s="145"/>
      <c r="E147" s="145"/>
      <c r="F147" s="145"/>
      <c r="G147" s="145"/>
      <c r="H147" s="145"/>
      <c r="I147" s="145"/>
      <c r="J147" s="145"/>
      <c r="K147" s="145"/>
      <c r="L147" s="145"/>
    </row>
    <row r="148" spans="3:12">
      <c r="C148" s="145"/>
      <c r="D148" s="145"/>
      <c r="E148" s="145"/>
      <c r="F148" s="145"/>
      <c r="G148" s="145"/>
      <c r="H148" s="145"/>
      <c r="I148" s="145"/>
      <c r="J148" s="145"/>
      <c r="K148" s="145"/>
      <c r="L148" s="145"/>
    </row>
    <row r="149" spans="3:12">
      <c r="C149" s="145"/>
      <c r="D149" s="145"/>
      <c r="E149" s="145"/>
      <c r="F149" s="145"/>
      <c r="G149" s="145"/>
      <c r="H149" s="145"/>
      <c r="I149" s="145"/>
      <c r="J149" s="145"/>
      <c r="K149" s="145"/>
      <c r="L149" s="145"/>
    </row>
    <row r="150" spans="3:12">
      <c r="C150" s="145"/>
      <c r="D150" s="145"/>
      <c r="E150" s="145"/>
      <c r="F150" s="145"/>
      <c r="G150" s="145"/>
      <c r="H150" s="145"/>
      <c r="I150" s="145"/>
      <c r="J150" s="145"/>
      <c r="K150" s="145"/>
      <c r="L150" s="145"/>
    </row>
    <row r="151" spans="3:12">
      <c r="C151" s="145"/>
      <c r="D151" s="145"/>
      <c r="E151" s="145"/>
      <c r="F151" s="145"/>
      <c r="G151" s="145"/>
      <c r="H151" s="145"/>
      <c r="I151" s="145"/>
      <c r="J151" s="145"/>
      <c r="K151" s="145"/>
      <c r="L151" s="145"/>
    </row>
    <row r="152" spans="3:12">
      <c r="C152" s="145"/>
      <c r="D152" s="145"/>
      <c r="E152" s="145"/>
      <c r="F152" s="145"/>
      <c r="G152" s="145"/>
      <c r="H152" s="145"/>
      <c r="I152" s="145"/>
      <c r="J152" s="145"/>
      <c r="K152" s="145"/>
      <c r="L152" s="145"/>
    </row>
    <row r="153" spans="3:12">
      <c r="C153" s="145"/>
      <c r="D153" s="145"/>
      <c r="E153" s="145"/>
      <c r="F153" s="145"/>
      <c r="G153" s="145"/>
      <c r="H153" s="145"/>
      <c r="I153" s="145"/>
      <c r="J153" s="145"/>
      <c r="K153" s="145"/>
      <c r="L153" s="145"/>
    </row>
    <row r="154" spans="3:12">
      <c r="C154" s="145"/>
      <c r="D154" s="145"/>
      <c r="E154" s="145"/>
      <c r="F154" s="145"/>
      <c r="G154" s="145"/>
      <c r="H154" s="145"/>
      <c r="I154" s="145"/>
      <c r="J154" s="145"/>
      <c r="K154" s="145"/>
      <c r="L154" s="145"/>
    </row>
    <row r="155" spans="3:12">
      <c r="C155" s="145"/>
      <c r="D155" s="145"/>
      <c r="E155" s="145"/>
      <c r="F155" s="145"/>
      <c r="G155" s="145"/>
      <c r="H155" s="145"/>
      <c r="I155" s="145"/>
      <c r="J155" s="145"/>
      <c r="K155" s="145"/>
      <c r="L155" s="145"/>
    </row>
    <row r="156" spans="3:12">
      <c r="C156" s="145"/>
      <c r="D156" s="145"/>
      <c r="E156" s="145"/>
      <c r="F156" s="145"/>
      <c r="G156" s="145"/>
      <c r="H156" s="145"/>
      <c r="I156" s="145"/>
      <c r="J156" s="145"/>
      <c r="K156" s="145"/>
      <c r="L156" s="145"/>
    </row>
    <row r="157" spans="3:12">
      <c r="C157" s="145"/>
      <c r="D157" s="145"/>
      <c r="E157" s="145"/>
      <c r="F157" s="145"/>
      <c r="G157" s="145"/>
      <c r="H157" s="145"/>
      <c r="I157" s="145"/>
      <c r="J157" s="145"/>
      <c r="K157" s="145"/>
      <c r="L157" s="145"/>
    </row>
    <row r="158" spans="3:12">
      <c r="C158" s="145"/>
      <c r="D158" s="145"/>
      <c r="E158" s="145"/>
      <c r="F158" s="145"/>
      <c r="G158" s="145"/>
      <c r="H158" s="145"/>
      <c r="I158" s="145"/>
      <c r="J158" s="145"/>
      <c r="K158" s="145"/>
      <c r="L158" s="145"/>
    </row>
    <row r="159" spans="3:12">
      <c r="C159" s="145"/>
      <c r="D159" s="145"/>
      <c r="E159" s="145"/>
      <c r="F159" s="145"/>
      <c r="G159" s="145"/>
      <c r="H159" s="145"/>
      <c r="I159" s="145"/>
      <c r="J159" s="145"/>
      <c r="K159" s="145"/>
      <c r="L159" s="145"/>
    </row>
    <row r="160" spans="3:12">
      <c r="C160" s="145"/>
      <c r="D160" s="145"/>
      <c r="E160" s="145"/>
      <c r="F160" s="145"/>
      <c r="G160" s="145"/>
      <c r="H160" s="145"/>
      <c r="I160" s="145"/>
      <c r="J160" s="145"/>
      <c r="K160" s="145"/>
      <c r="L160" s="145"/>
    </row>
    <row r="161" spans="3:12">
      <c r="C161" s="145"/>
      <c r="D161" s="145"/>
      <c r="E161" s="145"/>
      <c r="F161" s="145"/>
      <c r="G161" s="145"/>
      <c r="H161" s="145"/>
      <c r="I161" s="145"/>
      <c r="J161" s="145"/>
      <c r="K161" s="145"/>
      <c r="L161" s="145"/>
    </row>
    <row r="162" spans="3:12">
      <c r="C162" s="145"/>
      <c r="D162" s="145"/>
      <c r="E162" s="145"/>
      <c r="F162" s="145"/>
      <c r="G162" s="145"/>
      <c r="H162" s="145"/>
      <c r="I162" s="145"/>
      <c r="J162" s="145"/>
      <c r="K162" s="145"/>
      <c r="L162" s="145"/>
    </row>
    <row r="163" spans="3:12">
      <c r="C163" s="145"/>
      <c r="D163" s="145"/>
      <c r="E163" s="145"/>
      <c r="F163" s="145"/>
      <c r="G163" s="145"/>
      <c r="H163" s="145"/>
      <c r="I163" s="145"/>
      <c r="J163" s="145"/>
      <c r="K163" s="145"/>
      <c r="L163" s="145"/>
    </row>
    <row r="164" spans="3:12">
      <c r="C164" s="145"/>
      <c r="D164" s="145"/>
      <c r="E164" s="145"/>
      <c r="F164" s="145"/>
      <c r="G164" s="145"/>
      <c r="H164" s="145"/>
      <c r="I164" s="145"/>
      <c r="J164" s="145"/>
      <c r="K164" s="145"/>
      <c r="L164" s="145"/>
    </row>
    <row r="165" spans="3:12">
      <c r="C165" s="145"/>
      <c r="D165" s="145"/>
      <c r="E165" s="145"/>
      <c r="F165" s="145"/>
      <c r="G165" s="145"/>
      <c r="H165" s="145"/>
      <c r="I165" s="145"/>
      <c r="J165" s="145"/>
      <c r="K165" s="145"/>
      <c r="L165" s="145"/>
    </row>
    <row r="166" spans="3:12">
      <c r="C166" s="145"/>
      <c r="D166" s="145"/>
      <c r="E166" s="145"/>
      <c r="F166" s="145"/>
      <c r="G166" s="145"/>
      <c r="H166" s="145"/>
      <c r="I166" s="145"/>
      <c r="J166" s="145"/>
      <c r="K166" s="145"/>
      <c r="L166" s="145"/>
    </row>
    <row r="167" spans="3:12">
      <c r="C167" s="145"/>
      <c r="D167" s="145"/>
      <c r="E167" s="145"/>
      <c r="F167" s="145"/>
      <c r="G167" s="145"/>
      <c r="H167" s="145"/>
      <c r="I167" s="145"/>
      <c r="J167" s="145"/>
      <c r="K167" s="145"/>
      <c r="L167" s="145"/>
    </row>
    <row r="168" spans="3:12">
      <c r="C168" s="145"/>
      <c r="D168" s="145"/>
      <c r="E168" s="145"/>
      <c r="F168" s="145"/>
      <c r="G168" s="145"/>
      <c r="H168" s="145"/>
      <c r="I168" s="145"/>
      <c r="J168" s="145"/>
      <c r="K168" s="145"/>
      <c r="L168" s="145"/>
    </row>
    <row r="169" spans="3:12">
      <c r="C169" s="145"/>
      <c r="D169" s="145"/>
      <c r="E169" s="145"/>
      <c r="F169" s="145"/>
      <c r="G169" s="145"/>
      <c r="H169" s="145"/>
      <c r="I169" s="145"/>
      <c r="J169" s="145"/>
      <c r="K169" s="145"/>
      <c r="L169" s="145"/>
    </row>
    <row r="170" spans="3:12">
      <c r="C170" s="145"/>
      <c r="D170" s="145"/>
      <c r="E170" s="145"/>
      <c r="F170" s="145"/>
      <c r="G170" s="145"/>
      <c r="H170" s="145"/>
      <c r="I170" s="145"/>
      <c r="J170" s="145"/>
      <c r="K170" s="145"/>
      <c r="L170" s="145"/>
    </row>
    <row r="171" spans="3:12">
      <c r="C171" s="145"/>
      <c r="D171" s="145"/>
      <c r="E171" s="145"/>
      <c r="F171" s="145"/>
      <c r="G171" s="145"/>
      <c r="H171" s="145"/>
      <c r="I171" s="145"/>
      <c r="J171" s="145"/>
      <c r="K171" s="145"/>
      <c r="L171" s="145"/>
    </row>
    <row r="172" spans="3:12">
      <c r="C172" s="145"/>
      <c r="D172" s="145"/>
      <c r="E172" s="145"/>
      <c r="F172" s="145"/>
      <c r="G172" s="145"/>
      <c r="H172" s="145"/>
      <c r="I172" s="145"/>
      <c r="J172" s="145"/>
      <c r="K172" s="145"/>
      <c r="L172" s="145"/>
    </row>
    <row r="173" spans="3:12">
      <c r="C173" s="145"/>
      <c r="D173" s="145"/>
      <c r="E173" s="145"/>
      <c r="F173" s="145"/>
      <c r="G173" s="145"/>
      <c r="H173" s="145"/>
      <c r="I173" s="145"/>
      <c r="J173" s="145"/>
      <c r="K173" s="145"/>
      <c r="L173" s="145"/>
    </row>
    <row r="174" spans="3:12">
      <c r="C174" s="145"/>
      <c r="D174" s="145"/>
      <c r="E174" s="145"/>
      <c r="F174" s="145"/>
      <c r="G174" s="145"/>
      <c r="H174" s="145"/>
      <c r="I174" s="145"/>
      <c r="J174" s="145"/>
      <c r="K174" s="145"/>
      <c r="L174" s="145"/>
    </row>
    <row r="175" spans="3:12">
      <c r="C175" s="145"/>
      <c r="D175" s="145"/>
      <c r="E175" s="145"/>
      <c r="F175" s="145"/>
      <c r="G175" s="145"/>
      <c r="H175" s="145"/>
      <c r="I175" s="145"/>
      <c r="J175" s="145"/>
      <c r="K175" s="145"/>
      <c r="L175" s="145"/>
    </row>
    <row r="176" spans="3:12">
      <c r="C176" s="145"/>
      <c r="D176" s="145"/>
      <c r="E176" s="145"/>
      <c r="F176" s="145"/>
      <c r="G176" s="145"/>
      <c r="H176" s="145"/>
      <c r="I176" s="145"/>
      <c r="J176" s="145"/>
      <c r="K176" s="145"/>
      <c r="L176" s="145"/>
    </row>
    <row r="177" spans="3:12">
      <c r="C177" s="145"/>
      <c r="D177" s="145"/>
      <c r="E177" s="145"/>
      <c r="F177" s="145"/>
      <c r="G177" s="145"/>
      <c r="H177" s="145"/>
      <c r="I177" s="145"/>
      <c r="J177" s="145"/>
      <c r="K177" s="145"/>
      <c r="L177" s="145"/>
    </row>
    <row r="178" spans="3:12">
      <c r="C178" s="145"/>
      <c r="D178" s="145"/>
      <c r="E178" s="145"/>
      <c r="F178" s="145"/>
      <c r="G178" s="145"/>
      <c r="H178" s="145"/>
      <c r="I178" s="145"/>
      <c r="J178" s="145"/>
      <c r="K178" s="145"/>
      <c r="L178" s="145"/>
    </row>
    <row r="179" spans="3:12">
      <c r="C179" s="145"/>
      <c r="D179" s="145"/>
      <c r="E179" s="145"/>
      <c r="F179" s="145"/>
      <c r="G179" s="145"/>
      <c r="H179" s="145"/>
      <c r="I179" s="145"/>
      <c r="J179" s="145"/>
      <c r="K179" s="145"/>
      <c r="L179" s="145"/>
    </row>
    <row r="180" spans="3:12">
      <c r="C180" s="145"/>
      <c r="D180" s="145"/>
      <c r="E180" s="145"/>
      <c r="F180" s="145"/>
      <c r="G180" s="145"/>
      <c r="H180" s="145"/>
      <c r="I180" s="145"/>
      <c r="J180" s="145"/>
      <c r="K180" s="145"/>
      <c r="L180" s="145"/>
    </row>
    <row r="181" spans="3:12">
      <c r="C181" s="145"/>
      <c r="D181" s="145"/>
      <c r="E181" s="145"/>
      <c r="F181" s="145"/>
      <c r="G181" s="145"/>
      <c r="H181" s="145"/>
      <c r="I181" s="145"/>
      <c r="J181" s="145"/>
      <c r="K181" s="145"/>
      <c r="L181" s="145"/>
    </row>
    <row r="182" spans="3:12">
      <c r="C182" s="145"/>
      <c r="D182" s="145"/>
      <c r="E182" s="145"/>
      <c r="F182" s="145"/>
      <c r="G182" s="145"/>
      <c r="H182" s="145"/>
      <c r="I182" s="145"/>
      <c r="J182" s="145"/>
      <c r="K182" s="145"/>
      <c r="L182" s="145"/>
    </row>
    <row r="183" spans="3:12">
      <c r="C183" s="145"/>
      <c r="D183" s="145"/>
      <c r="E183" s="145"/>
      <c r="F183" s="145"/>
      <c r="G183" s="145"/>
      <c r="H183" s="145"/>
      <c r="I183" s="145"/>
      <c r="J183" s="145"/>
      <c r="K183" s="145"/>
      <c r="L183" s="145"/>
    </row>
    <row r="184" spans="3:12">
      <c r="C184" s="145"/>
      <c r="D184" s="145"/>
      <c r="E184" s="145"/>
      <c r="F184" s="145"/>
      <c r="G184" s="145"/>
      <c r="H184" s="145"/>
      <c r="I184" s="145"/>
      <c r="J184" s="145"/>
      <c r="K184" s="145"/>
      <c r="L184" s="145"/>
    </row>
    <row r="185" spans="3:12">
      <c r="C185" s="145"/>
      <c r="D185" s="145"/>
      <c r="E185" s="145"/>
      <c r="F185" s="145"/>
      <c r="G185" s="145"/>
      <c r="H185" s="145"/>
      <c r="I185" s="145"/>
      <c r="J185" s="145"/>
      <c r="K185" s="145"/>
      <c r="L185" s="145"/>
    </row>
    <row r="186" spans="3:12">
      <c r="C186" s="145"/>
      <c r="D186" s="145"/>
      <c r="E186" s="145"/>
      <c r="F186" s="145"/>
      <c r="G186" s="145"/>
      <c r="H186" s="145"/>
      <c r="I186" s="145"/>
      <c r="J186" s="145"/>
      <c r="K186" s="145"/>
      <c r="L186" s="145"/>
    </row>
    <row r="187" spans="3:12">
      <c r="C187" s="145"/>
      <c r="D187" s="145"/>
      <c r="E187" s="145"/>
      <c r="F187" s="145"/>
      <c r="G187" s="145"/>
      <c r="H187" s="145"/>
      <c r="I187" s="145"/>
      <c r="J187" s="145"/>
      <c r="K187" s="145"/>
      <c r="L187" s="145"/>
    </row>
    <row r="188" spans="3:12">
      <c r="C188" s="145"/>
      <c r="D188" s="145"/>
      <c r="E188" s="145"/>
      <c r="F188" s="145"/>
      <c r="G188" s="145"/>
      <c r="H188" s="145"/>
      <c r="I188" s="145"/>
      <c r="J188" s="145"/>
      <c r="K188" s="145"/>
      <c r="L188" s="145"/>
    </row>
    <row r="189" spans="3:12">
      <c r="C189" s="145"/>
      <c r="D189" s="145"/>
      <c r="E189" s="145"/>
      <c r="F189" s="145"/>
      <c r="G189" s="145"/>
      <c r="H189" s="145"/>
      <c r="I189" s="145"/>
      <c r="J189" s="145"/>
      <c r="K189" s="145"/>
      <c r="L189" s="145"/>
    </row>
    <row r="190" spans="3:12">
      <c r="C190" s="145"/>
      <c r="D190" s="145"/>
      <c r="E190" s="145"/>
      <c r="F190" s="145"/>
      <c r="G190" s="145"/>
      <c r="H190" s="145"/>
      <c r="I190" s="145"/>
      <c r="J190" s="145"/>
      <c r="K190" s="145"/>
      <c r="L190" s="145"/>
    </row>
    <row r="191" spans="3:12">
      <c r="C191" s="145"/>
      <c r="D191" s="145"/>
      <c r="E191" s="145"/>
      <c r="F191" s="145"/>
      <c r="G191" s="145"/>
      <c r="H191" s="145"/>
      <c r="I191" s="145"/>
      <c r="J191" s="145"/>
      <c r="K191" s="145"/>
      <c r="L191" s="145"/>
    </row>
    <row r="192" spans="3:12">
      <c r="C192" s="145"/>
      <c r="D192" s="145"/>
      <c r="E192" s="145"/>
      <c r="F192" s="145"/>
      <c r="G192" s="145"/>
      <c r="H192" s="145"/>
      <c r="I192" s="145"/>
      <c r="J192" s="145"/>
      <c r="K192" s="145"/>
      <c r="L192" s="145"/>
    </row>
    <row r="193" spans="3:12">
      <c r="C193" s="145"/>
      <c r="D193" s="145"/>
      <c r="E193" s="145"/>
      <c r="F193" s="145"/>
      <c r="G193" s="145"/>
      <c r="H193" s="145"/>
      <c r="I193" s="145"/>
      <c r="J193" s="145"/>
      <c r="K193" s="145"/>
      <c r="L193" s="145"/>
    </row>
    <row r="194" spans="3:12">
      <c r="C194" s="145"/>
      <c r="D194" s="145"/>
      <c r="E194" s="145"/>
      <c r="F194" s="145"/>
      <c r="G194" s="145"/>
      <c r="H194" s="145"/>
      <c r="I194" s="145"/>
      <c r="J194" s="145"/>
      <c r="K194" s="145"/>
      <c r="L194" s="145"/>
    </row>
    <row r="195" spans="3:12">
      <c r="C195" s="145"/>
      <c r="D195" s="145"/>
      <c r="E195" s="145"/>
      <c r="F195" s="145"/>
      <c r="G195" s="145"/>
      <c r="H195" s="145"/>
      <c r="I195" s="145"/>
      <c r="J195" s="145"/>
      <c r="K195" s="145"/>
      <c r="L195" s="145"/>
    </row>
    <row r="196" spans="3:12">
      <c r="C196" s="145"/>
      <c r="D196" s="145"/>
      <c r="E196" s="145"/>
      <c r="F196" s="145"/>
      <c r="G196" s="145"/>
      <c r="H196" s="145"/>
      <c r="I196" s="145"/>
      <c r="J196" s="145"/>
      <c r="K196" s="145"/>
      <c r="L196" s="145"/>
    </row>
    <row r="197" spans="3:12">
      <c r="C197" s="145"/>
      <c r="D197" s="145"/>
      <c r="E197" s="145"/>
      <c r="F197" s="145"/>
      <c r="G197" s="145"/>
      <c r="H197" s="145"/>
      <c r="I197" s="145"/>
      <c r="J197" s="145"/>
      <c r="K197" s="145"/>
      <c r="L197" s="145"/>
    </row>
    <row r="198" spans="3:12">
      <c r="C198" s="145"/>
      <c r="D198" s="145"/>
      <c r="E198" s="145"/>
      <c r="F198" s="145"/>
      <c r="G198" s="145"/>
      <c r="H198" s="145"/>
      <c r="I198" s="145"/>
      <c r="J198" s="145"/>
      <c r="K198" s="145"/>
      <c r="L198" s="145"/>
    </row>
    <row r="199" spans="3:12">
      <c r="C199" s="145"/>
      <c r="D199" s="145"/>
      <c r="E199" s="145"/>
      <c r="F199" s="145"/>
      <c r="G199" s="145"/>
      <c r="H199" s="145"/>
      <c r="I199" s="145"/>
      <c r="J199" s="145"/>
      <c r="K199" s="145"/>
      <c r="L199" s="145"/>
    </row>
    <row r="200" spans="3:12">
      <c r="C200" s="145"/>
      <c r="D200" s="145"/>
      <c r="E200" s="145"/>
      <c r="F200" s="145"/>
      <c r="G200" s="145"/>
      <c r="H200" s="145"/>
      <c r="I200" s="145"/>
      <c r="J200" s="145"/>
      <c r="K200" s="145"/>
      <c r="L200" s="145"/>
    </row>
    <row r="201" spans="3:12">
      <c r="C201" s="145"/>
      <c r="D201" s="145"/>
      <c r="E201" s="145"/>
      <c r="F201" s="145"/>
      <c r="G201" s="145"/>
      <c r="H201" s="145"/>
      <c r="I201" s="145"/>
      <c r="J201" s="145"/>
      <c r="K201" s="145"/>
      <c r="L201" s="145"/>
    </row>
    <row r="202" spans="3:12">
      <c r="C202" s="145"/>
      <c r="D202" s="145"/>
      <c r="E202" s="145"/>
      <c r="F202" s="145"/>
      <c r="G202" s="145"/>
      <c r="H202" s="145"/>
      <c r="I202" s="145"/>
      <c r="J202" s="145"/>
      <c r="K202" s="145"/>
      <c r="L202" s="145"/>
    </row>
    <row r="203" spans="3:12">
      <c r="C203" s="145"/>
      <c r="D203" s="145"/>
      <c r="E203" s="145"/>
      <c r="F203" s="145"/>
      <c r="G203" s="145"/>
      <c r="H203" s="145"/>
      <c r="I203" s="145"/>
      <c r="J203" s="145"/>
      <c r="K203" s="145"/>
      <c r="L203" s="145"/>
    </row>
    <row r="204" spans="3:12">
      <c r="C204" s="145"/>
      <c r="D204" s="145"/>
      <c r="E204" s="145"/>
      <c r="F204" s="145"/>
      <c r="G204" s="145"/>
      <c r="H204" s="145"/>
      <c r="I204" s="145"/>
      <c r="J204" s="145"/>
      <c r="K204" s="145"/>
      <c r="L204" s="145"/>
    </row>
    <row r="205" spans="3:12">
      <c r="C205" s="145"/>
      <c r="D205" s="145"/>
      <c r="E205" s="145"/>
      <c r="F205" s="145"/>
      <c r="G205" s="145"/>
      <c r="H205" s="145"/>
      <c r="I205" s="145"/>
      <c r="J205" s="145"/>
      <c r="K205" s="145"/>
      <c r="L205" s="145"/>
    </row>
    <row r="206" spans="3:12">
      <c r="C206" s="145"/>
      <c r="D206" s="145"/>
      <c r="E206" s="145"/>
      <c r="F206" s="145"/>
      <c r="G206" s="145"/>
      <c r="H206" s="145"/>
      <c r="I206" s="145"/>
      <c r="J206" s="145"/>
      <c r="K206" s="145"/>
      <c r="L206" s="145"/>
    </row>
    <row r="207" spans="3:12">
      <c r="C207" s="145"/>
      <c r="D207" s="145"/>
      <c r="E207" s="145"/>
      <c r="F207" s="145"/>
      <c r="G207" s="145"/>
      <c r="H207" s="145"/>
      <c r="I207" s="145"/>
      <c r="J207" s="145"/>
      <c r="K207" s="145"/>
      <c r="L207" s="145"/>
    </row>
    <row r="208" spans="3:12">
      <c r="C208" s="145"/>
      <c r="D208" s="145"/>
      <c r="E208" s="145"/>
      <c r="F208" s="145"/>
      <c r="G208" s="145"/>
      <c r="H208" s="145"/>
      <c r="I208" s="145"/>
      <c r="J208" s="145"/>
      <c r="K208" s="145"/>
      <c r="L208" s="145"/>
    </row>
    <row r="209" spans="3:12">
      <c r="C209" s="145"/>
      <c r="D209" s="145"/>
      <c r="E209" s="145"/>
      <c r="F209" s="145"/>
      <c r="G209" s="145"/>
      <c r="H209" s="145"/>
      <c r="I209" s="145"/>
      <c r="J209" s="145"/>
      <c r="K209" s="145"/>
      <c r="L209" s="145"/>
    </row>
    <row r="210" spans="3:12">
      <c r="C210" s="145"/>
      <c r="D210" s="145"/>
      <c r="E210" s="145"/>
      <c r="F210" s="145"/>
      <c r="G210" s="145"/>
      <c r="H210" s="145"/>
      <c r="I210" s="145"/>
      <c r="J210" s="145"/>
      <c r="K210" s="145"/>
      <c r="L210" s="145"/>
    </row>
    <row r="211" spans="3:12">
      <c r="C211" s="145"/>
      <c r="D211" s="145"/>
      <c r="E211" s="145"/>
      <c r="F211" s="145"/>
      <c r="G211" s="145"/>
      <c r="H211" s="145"/>
      <c r="I211" s="145"/>
      <c r="J211" s="145"/>
      <c r="K211" s="145"/>
      <c r="L211" s="145"/>
    </row>
    <row r="212" spans="3:12">
      <c r="C212" s="145"/>
      <c r="D212" s="145"/>
      <c r="E212" s="145"/>
      <c r="F212" s="145"/>
      <c r="G212" s="145"/>
      <c r="H212" s="145"/>
      <c r="I212" s="145"/>
      <c r="J212" s="145"/>
      <c r="K212" s="145"/>
      <c r="L212" s="145"/>
    </row>
    <row r="213" spans="3:12">
      <c r="C213" s="145"/>
      <c r="D213" s="145"/>
      <c r="E213" s="145"/>
      <c r="F213" s="145"/>
      <c r="G213" s="145"/>
      <c r="H213" s="145"/>
      <c r="I213" s="145"/>
      <c r="J213" s="145"/>
      <c r="K213" s="145"/>
      <c r="L213" s="145"/>
    </row>
    <row r="214" spans="3:12">
      <c r="C214" s="145"/>
      <c r="D214" s="145"/>
      <c r="E214" s="145"/>
      <c r="F214" s="145"/>
      <c r="G214" s="145"/>
      <c r="H214" s="145"/>
      <c r="I214" s="145"/>
      <c r="J214" s="145"/>
      <c r="K214" s="145"/>
      <c r="L214" s="145"/>
    </row>
    <row r="215" spans="3:12">
      <c r="C215" s="145"/>
      <c r="D215" s="145"/>
      <c r="E215" s="145"/>
      <c r="F215" s="145"/>
      <c r="G215" s="145"/>
      <c r="H215" s="145"/>
      <c r="I215" s="145"/>
      <c r="J215" s="145"/>
      <c r="K215" s="145"/>
      <c r="L215" s="145"/>
    </row>
    <row r="216" spans="3:12">
      <c r="C216" s="145"/>
      <c r="D216" s="145"/>
      <c r="E216" s="145"/>
      <c r="F216" s="145"/>
      <c r="G216" s="145"/>
      <c r="H216" s="145"/>
      <c r="I216" s="145"/>
      <c r="J216" s="145"/>
      <c r="K216" s="145"/>
      <c r="L216" s="145"/>
    </row>
    <row r="217" spans="3:12">
      <c r="C217" s="145"/>
      <c r="D217" s="145"/>
      <c r="E217" s="145"/>
      <c r="F217" s="145"/>
      <c r="G217" s="145"/>
      <c r="H217" s="145"/>
      <c r="I217" s="145"/>
      <c r="J217" s="145"/>
      <c r="K217" s="145"/>
      <c r="L217" s="145"/>
    </row>
    <row r="218" spans="3:12">
      <c r="C218" s="145"/>
      <c r="D218" s="145"/>
      <c r="E218" s="145"/>
      <c r="F218" s="145"/>
      <c r="G218" s="145"/>
      <c r="H218" s="145"/>
      <c r="I218" s="145"/>
      <c r="J218" s="145"/>
      <c r="K218" s="145"/>
      <c r="L218" s="145"/>
    </row>
    <row r="219" spans="3:12">
      <c r="C219" s="145"/>
      <c r="D219" s="145"/>
      <c r="E219" s="145"/>
      <c r="F219" s="145"/>
      <c r="G219" s="145"/>
      <c r="H219" s="145"/>
      <c r="I219" s="145"/>
      <c r="J219" s="145"/>
      <c r="K219" s="145"/>
      <c r="L219" s="145"/>
    </row>
    <row r="220" spans="3:12">
      <c r="C220" s="145"/>
      <c r="D220" s="145"/>
      <c r="E220" s="145"/>
      <c r="F220" s="145"/>
      <c r="G220" s="145"/>
      <c r="H220" s="145"/>
      <c r="I220" s="145"/>
      <c r="J220" s="145"/>
      <c r="K220" s="145"/>
      <c r="L220" s="145"/>
    </row>
    <row r="221" spans="3:12">
      <c r="C221" s="145"/>
      <c r="D221" s="145"/>
      <c r="E221" s="145"/>
      <c r="F221" s="145"/>
      <c r="G221" s="145"/>
      <c r="H221" s="145"/>
      <c r="I221" s="145"/>
      <c r="J221" s="145"/>
      <c r="K221" s="145"/>
      <c r="L221" s="145"/>
    </row>
    <row r="222" spans="3:12">
      <c r="C222" s="145"/>
      <c r="D222" s="145"/>
      <c r="E222" s="145"/>
      <c r="F222" s="145"/>
      <c r="G222" s="145"/>
      <c r="H222" s="145"/>
      <c r="I222" s="145"/>
      <c r="J222" s="145"/>
      <c r="K222" s="145"/>
      <c r="L222" s="145"/>
    </row>
    <row r="223" spans="3:12">
      <c r="C223" s="145"/>
      <c r="D223" s="145"/>
      <c r="E223" s="145"/>
      <c r="F223" s="145"/>
      <c r="G223" s="145"/>
      <c r="H223" s="145"/>
      <c r="I223" s="145"/>
      <c r="J223" s="145"/>
      <c r="K223" s="145"/>
      <c r="L223" s="145"/>
    </row>
    <row r="224" spans="3:12">
      <c r="C224" s="145"/>
      <c r="D224" s="145"/>
      <c r="E224" s="145"/>
      <c r="F224" s="145"/>
      <c r="G224" s="145"/>
      <c r="H224" s="145"/>
      <c r="I224" s="145"/>
      <c r="J224" s="145"/>
      <c r="K224" s="145"/>
      <c r="L224" s="145"/>
    </row>
    <row r="225" spans="3:12">
      <c r="C225" s="145"/>
      <c r="D225" s="145"/>
      <c r="E225" s="145"/>
      <c r="F225" s="145"/>
      <c r="G225" s="145"/>
      <c r="H225" s="145"/>
      <c r="I225" s="145"/>
      <c r="J225" s="145"/>
      <c r="K225" s="145"/>
      <c r="L225" s="145"/>
    </row>
    <row r="226" spans="3:12">
      <c r="C226" s="145"/>
      <c r="D226" s="145"/>
      <c r="E226" s="145"/>
      <c r="F226" s="145"/>
      <c r="G226" s="145"/>
      <c r="H226" s="145"/>
      <c r="I226" s="145"/>
      <c r="J226" s="145"/>
      <c r="K226" s="145"/>
      <c r="L226" s="145"/>
    </row>
    <row r="227" spans="3:12">
      <c r="C227" s="145"/>
      <c r="D227" s="145"/>
      <c r="E227" s="145"/>
      <c r="F227" s="145"/>
      <c r="G227" s="145"/>
      <c r="H227" s="145"/>
      <c r="I227" s="145"/>
      <c r="J227" s="145"/>
      <c r="K227" s="145"/>
      <c r="L227" s="145"/>
    </row>
    <row r="228" spans="3:12">
      <c r="C228" s="145"/>
      <c r="D228" s="145"/>
      <c r="E228" s="145"/>
      <c r="F228" s="145"/>
      <c r="G228" s="145"/>
      <c r="H228" s="145"/>
      <c r="I228" s="145"/>
      <c r="J228" s="145"/>
      <c r="K228" s="145"/>
      <c r="L228" s="145"/>
    </row>
    <row r="229" spans="3:12">
      <c r="C229" s="145"/>
      <c r="D229" s="145"/>
      <c r="E229" s="145"/>
      <c r="F229" s="145"/>
      <c r="G229" s="145"/>
      <c r="H229" s="145"/>
      <c r="I229" s="145"/>
      <c r="J229" s="145"/>
      <c r="K229" s="145"/>
      <c r="L229" s="145"/>
    </row>
    <row r="230" spans="3:12">
      <c r="C230" s="145"/>
      <c r="D230" s="145"/>
      <c r="E230" s="145"/>
      <c r="F230" s="145"/>
      <c r="G230" s="145"/>
      <c r="H230" s="145"/>
      <c r="I230" s="145"/>
      <c r="J230" s="145"/>
      <c r="K230" s="145"/>
      <c r="L230" s="145"/>
    </row>
    <row r="231" spans="3:12">
      <c r="C231" s="145"/>
      <c r="D231" s="145"/>
      <c r="E231" s="145"/>
      <c r="F231" s="145"/>
      <c r="G231" s="145"/>
      <c r="H231" s="145"/>
      <c r="I231" s="145"/>
      <c r="J231" s="145"/>
      <c r="K231" s="145"/>
      <c r="L231" s="145"/>
    </row>
    <row r="232" spans="3:12">
      <c r="C232" s="145"/>
      <c r="D232" s="145"/>
      <c r="E232" s="145"/>
      <c r="F232" s="145"/>
      <c r="G232" s="145"/>
      <c r="H232" s="145"/>
      <c r="I232" s="145"/>
      <c r="J232" s="145"/>
      <c r="K232" s="145"/>
      <c r="L232" s="145"/>
    </row>
    <row r="233" spans="3:12">
      <c r="C233" s="145"/>
      <c r="D233" s="145"/>
      <c r="E233" s="145"/>
      <c r="F233" s="145"/>
      <c r="G233" s="145"/>
      <c r="H233" s="145"/>
      <c r="I233" s="145"/>
      <c r="J233" s="145"/>
      <c r="K233" s="145"/>
      <c r="L233" s="145"/>
    </row>
    <row r="234" spans="3:12">
      <c r="C234" s="145"/>
      <c r="D234" s="145"/>
      <c r="E234" s="145"/>
      <c r="F234" s="145"/>
      <c r="G234" s="145"/>
      <c r="H234" s="145"/>
      <c r="I234" s="145"/>
      <c r="J234" s="145"/>
      <c r="K234" s="145"/>
      <c r="L234" s="145"/>
    </row>
    <row r="235" spans="3:12">
      <c r="C235" s="145"/>
      <c r="D235" s="145"/>
      <c r="E235" s="145"/>
      <c r="F235" s="145"/>
      <c r="G235" s="145"/>
      <c r="H235" s="145"/>
      <c r="I235" s="145"/>
      <c r="J235" s="145"/>
      <c r="K235" s="145"/>
      <c r="L235" s="145"/>
    </row>
    <row r="236" spans="3:12">
      <c r="C236" s="145"/>
      <c r="D236" s="145"/>
      <c r="E236" s="145"/>
      <c r="F236" s="145"/>
      <c r="G236" s="145"/>
      <c r="H236" s="145"/>
      <c r="I236" s="145"/>
      <c r="J236" s="145"/>
      <c r="K236" s="145"/>
      <c r="L236" s="145"/>
    </row>
    <row r="237" spans="3:12">
      <c r="C237" s="145"/>
      <c r="D237" s="145"/>
      <c r="E237" s="145"/>
      <c r="F237" s="145"/>
      <c r="G237" s="145"/>
      <c r="H237" s="145"/>
      <c r="I237" s="145"/>
      <c r="J237" s="145"/>
      <c r="K237" s="145"/>
      <c r="L237" s="145"/>
    </row>
    <row r="238" spans="3:12">
      <c r="C238" s="145"/>
      <c r="D238" s="145"/>
      <c r="E238" s="145"/>
      <c r="F238" s="145"/>
      <c r="G238" s="145"/>
      <c r="H238" s="145"/>
      <c r="I238" s="145"/>
      <c r="J238" s="145"/>
      <c r="K238" s="145"/>
      <c r="L238" s="145"/>
    </row>
    <row r="239" spans="3:12">
      <c r="C239" s="145"/>
      <c r="D239" s="145"/>
      <c r="E239" s="145"/>
      <c r="F239" s="145"/>
      <c r="G239" s="145"/>
      <c r="H239" s="145"/>
      <c r="I239" s="145"/>
      <c r="J239" s="145"/>
      <c r="K239" s="145"/>
      <c r="L239" s="145"/>
    </row>
    <row r="240" spans="3:12">
      <c r="C240" s="145"/>
      <c r="D240" s="145"/>
      <c r="E240" s="145"/>
      <c r="F240" s="145"/>
      <c r="G240" s="145"/>
      <c r="H240" s="145"/>
      <c r="I240" s="145"/>
      <c r="J240" s="145"/>
      <c r="K240" s="145"/>
      <c r="L240" s="145"/>
    </row>
    <row r="241" spans="3:12">
      <c r="C241" s="145"/>
      <c r="D241" s="145"/>
      <c r="E241" s="145"/>
      <c r="F241" s="145"/>
      <c r="G241" s="145"/>
      <c r="H241" s="145"/>
      <c r="I241" s="145"/>
      <c r="J241" s="145"/>
      <c r="K241" s="145"/>
      <c r="L241" s="145"/>
    </row>
    <row r="242" spans="3:12">
      <c r="C242" s="145"/>
      <c r="D242" s="145"/>
      <c r="E242" s="145"/>
      <c r="F242" s="145"/>
      <c r="G242" s="145"/>
      <c r="H242" s="145"/>
      <c r="I242" s="145"/>
      <c r="J242" s="145"/>
      <c r="K242" s="145"/>
      <c r="L242" s="145"/>
    </row>
    <row r="243" spans="3:12">
      <c r="C243" s="145"/>
      <c r="D243" s="145"/>
      <c r="E243" s="145"/>
      <c r="F243" s="145"/>
      <c r="G243" s="145"/>
      <c r="H243" s="145"/>
      <c r="I243" s="145"/>
      <c r="J243" s="145"/>
      <c r="K243" s="145"/>
      <c r="L243" s="145"/>
    </row>
  </sheetData>
  <customSheetViews>
    <customSheetView guid="{E1861F40-EBD5-44AE-868B-FDE0ED504D72}" scale="65" showPageBreaks="1" printArea="1" view="pageBreakPreview">
      <selection activeCell="D40" sqref="D40"/>
      <pageMargins left="0.25" right="0.25" top="0.75" bottom="0.25" header="0.4" footer="0.5"/>
      <printOptions horizontalCentered="1"/>
      <pageSetup scale="51" fitToHeight="3" orientation="landscape" r:id="rId1"/>
      <headerFooter alignWithMargins="0"/>
    </customSheetView>
  </customSheetViews>
  <mergeCells count="3">
    <mergeCell ref="A8:L8"/>
    <mergeCell ref="A9:L9"/>
    <mergeCell ref="N18:V24"/>
  </mergeCells>
  <printOptions horizontalCentered="1"/>
  <pageMargins left="0.7" right="0.7" top="0.75" bottom="0.75" header="0.3" footer="0.3"/>
  <pageSetup scale="44" fitToHeight="0" orientation="landscape"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6">
    <pageSetUpPr fitToPage="1"/>
  </sheetPr>
  <dimension ref="A1:T84"/>
  <sheetViews>
    <sheetView topLeftCell="A27" zoomScale="80" zoomScaleNormal="80" zoomScalePageLayoutView="60" workbookViewId="0">
      <selection activeCell="I62" sqref="I62"/>
    </sheetView>
  </sheetViews>
  <sheetFormatPr defaultColWidth="8.7265625" defaultRowHeight="15.6"/>
  <cols>
    <col min="1" max="1" width="4.26953125" style="676" bestFit="1" customWidth="1"/>
    <col min="2" max="2" width="1.54296875" style="675" customWidth="1"/>
    <col min="3" max="3" width="11.08984375" style="676" customWidth="1"/>
    <col min="4" max="4" width="1.7265625" style="675" customWidth="1"/>
    <col min="5" max="5" width="11.54296875" style="673" customWidth="1"/>
    <col min="6" max="6" width="5" style="675" customWidth="1"/>
    <col min="7" max="7" width="11.08984375" style="673" customWidth="1"/>
    <col min="8" max="8" width="1.7265625" style="675" customWidth="1"/>
    <col min="9" max="9" width="11.08984375" style="673" customWidth="1"/>
    <col min="10" max="10" width="1.7265625" style="675" customWidth="1"/>
    <col min="11" max="11" width="11.08984375" style="673" customWidth="1"/>
    <col min="12" max="12" width="1.7265625" style="675" customWidth="1"/>
    <col min="13" max="13" width="13.26953125" style="673" customWidth="1"/>
    <col min="14" max="14" width="8.7265625" style="675"/>
    <col min="15" max="15" width="11.54296875" style="675" bestFit="1" customWidth="1"/>
    <col min="16" max="16384" width="8.7265625" style="675"/>
  </cols>
  <sheetData>
    <row r="1" spans="1:15">
      <c r="K1" s="675" t="s">
        <v>981</v>
      </c>
      <c r="M1" s="675"/>
    </row>
    <row r="2" spans="1:15">
      <c r="K2" s="675" t="s">
        <v>144</v>
      </c>
      <c r="M2" s="675"/>
    </row>
    <row r="3" spans="1:15">
      <c r="K3" s="675" t="str">
        <f>'Attachment 12 - TEC True-up'!M3</f>
        <v>For the 12 months ended 12/31/2022</v>
      </c>
      <c r="M3" s="675"/>
    </row>
    <row r="5" spans="1:15">
      <c r="C5" s="624" t="s">
        <v>627</v>
      </c>
      <c r="D5" s="604"/>
      <c r="E5" s="624" t="str">
        <f>"("&amp;CHAR(CODE(MID(C5,2,1))+1)&amp;")"</f>
        <v>(B)</v>
      </c>
      <c r="F5" s="1"/>
      <c r="G5" s="624" t="str">
        <f t="shared" ref="G5" si="0">"("&amp;CHAR(CODE(MID(E5,2,1))+1)&amp;")"</f>
        <v>(C)</v>
      </c>
      <c r="H5" s="1"/>
      <c r="I5" s="624" t="str">
        <f t="shared" ref="I5" si="1">"("&amp;CHAR(CODE(MID(G5,2,1))+1)&amp;")"</f>
        <v>(D)</v>
      </c>
      <c r="J5" s="1"/>
      <c r="K5" s="624" t="str">
        <f t="shared" ref="K5" si="2">"("&amp;CHAR(CODE(MID(I5,2,1))+1)&amp;")"</f>
        <v>(E)</v>
      </c>
      <c r="L5" s="1"/>
      <c r="M5" s="624" t="str">
        <f t="shared" ref="M5" si="3">"("&amp;CHAR(CODE(MID(K5,2,1))+1)&amp;")"</f>
        <v>(F)</v>
      </c>
    </row>
    <row r="6" spans="1:15" s="677" customFormat="1" ht="31.2">
      <c r="A6" s="689" t="s">
        <v>5</v>
      </c>
      <c r="C6" s="689" t="s">
        <v>685</v>
      </c>
      <c r="E6" s="690" t="s">
        <v>688</v>
      </c>
      <c r="G6" s="690" t="s">
        <v>218</v>
      </c>
      <c r="I6" s="690" t="s">
        <v>689</v>
      </c>
      <c r="K6" s="690" t="s">
        <v>346</v>
      </c>
      <c r="M6" s="690" t="s">
        <v>690</v>
      </c>
    </row>
    <row r="7" spans="1:15">
      <c r="A7" s="676">
        <v>1</v>
      </c>
      <c r="C7" s="678">
        <f>DATE(E62,1,1)</f>
        <v>44562</v>
      </c>
      <c r="E7" s="684">
        <f>'Attachment 13a - TEC True-Up'!E7</f>
        <v>3.2500000000000001E-2</v>
      </c>
      <c r="G7" s="673">
        <f>E7/365*DAY(EOMONTH(C7,0))</f>
        <v>2.7602739726027398E-3</v>
      </c>
      <c r="I7" s="682">
        <f>1/12</f>
        <v>8.3333333333333329E-2</v>
      </c>
      <c r="K7" s="682">
        <f>G7*I7</f>
        <v>2.3002283105022831E-4</v>
      </c>
      <c r="M7" s="682">
        <v>0</v>
      </c>
    </row>
    <row r="8" spans="1:15">
      <c r="A8" s="676">
        <f>IF(ISBLANK(I8)=TRUE,"",MAX($A$7:A7)+1)</f>
        <v>2</v>
      </c>
      <c r="C8" s="678">
        <f>EOMONTH(C7,1)</f>
        <v>44620</v>
      </c>
      <c r="E8" s="673">
        <f>E7</f>
        <v>3.2500000000000001E-2</v>
      </c>
      <c r="G8" s="673">
        <f>E8/365*DAY(EOMONTH(C8,0))</f>
        <v>2.4931506849315069E-3</v>
      </c>
      <c r="I8" s="682">
        <f>I7+1/12</f>
        <v>0.16666666666666666</v>
      </c>
      <c r="K8" s="682">
        <f>G8*I8</f>
        <v>4.1552511415525115E-4</v>
      </c>
      <c r="M8" s="682">
        <v>0</v>
      </c>
    </row>
    <row r="9" spans="1:15">
      <c r="A9" s="676">
        <f>IF(ISBLANK(I9)=TRUE,"",MAX($A$7:A8)+1)</f>
        <v>3</v>
      </c>
      <c r="C9" s="678">
        <f t="shared" ref="C9:C17" si="4">EOMONTH(C8,1)</f>
        <v>44651</v>
      </c>
      <c r="E9" s="673">
        <f>E8</f>
        <v>3.2500000000000001E-2</v>
      </c>
      <c r="G9" s="673">
        <f>E9/365*DAY(EOMONTH(C9,0))</f>
        <v>2.7602739726027398E-3</v>
      </c>
      <c r="I9" s="683">
        <f>I8+1/12</f>
        <v>0.25</v>
      </c>
      <c r="K9" s="682">
        <f t="shared" ref="K9:K52" si="5">G9*I9</f>
        <v>6.9006849315068495E-4</v>
      </c>
      <c r="M9" s="682">
        <f>M8+SUM(K7:K9)</f>
        <v>1.3356164383561643E-3</v>
      </c>
    </row>
    <row r="10" spans="1:15">
      <c r="A10" s="676">
        <f>IF(ISBLANK(I10)=TRUE,"",MAX($A$7:A9)+1)</f>
        <v>4</v>
      </c>
      <c r="C10" s="678">
        <f t="shared" si="4"/>
        <v>44681</v>
      </c>
      <c r="E10" s="684">
        <f>'Attachment 13a - TEC True-Up'!E10</f>
        <v>3.2500000000000001E-2</v>
      </c>
      <c r="G10" s="673">
        <f t="shared" ref="G10:G18" si="6">E10/365*DAY(EOMONTH(C10,0))</f>
        <v>2.6712328767123285E-3</v>
      </c>
      <c r="I10" s="682">
        <f>I9+1/12+M9</f>
        <v>0.33466894977168948</v>
      </c>
      <c r="K10" s="682">
        <f t="shared" si="5"/>
        <v>8.9397870144492387E-4</v>
      </c>
      <c r="M10" s="682">
        <v>0</v>
      </c>
      <c r="O10" s="679"/>
    </row>
    <row r="11" spans="1:15">
      <c r="A11" s="676">
        <f>IF(ISBLANK(I11)=TRUE,"",MAX($A$7:A10)+1)</f>
        <v>5</v>
      </c>
      <c r="C11" s="678">
        <f t="shared" si="4"/>
        <v>44712</v>
      </c>
      <c r="E11" s="673">
        <f>E10</f>
        <v>3.2500000000000001E-2</v>
      </c>
      <c r="G11" s="673">
        <f t="shared" si="6"/>
        <v>2.7602739726027398E-3</v>
      </c>
      <c r="I11" s="682">
        <f t="shared" ref="I11" si="7">I10+1/12</f>
        <v>0.4180022831050228</v>
      </c>
      <c r="K11" s="682">
        <f t="shared" si="5"/>
        <v>1.1538008225433164E-3</v>
      </c>
      <c r="M11" s="682">
        <v>0</v>
      </c>
    </row>
    <row r="12" spans="1:15">
      <c r="A12" s="676">
        <f>IF(ISBLANK(I12)=TRUE,"",MAX($A$7:A11)+1)</f>
        <v>6</v>
      </c>
      <c r="C12" s="678">
        <f t="shared" si="4"/>
        <v>44742</v>
      </c>
      <c r="E12" s="673">
        <f>E11</f>
        <v>3.2500000000000001E-2</v>
      </c>
      <c r="G12" s="673">
        <f t="shared" si="6"/>
        <v>2.6712328767123285E-3</v>
      </c>
      <c r="I12" s="683">
        <f t="shared" ref="I12:I15" si="8">I11+1/12</f>
        <v>0.50133561643835611</v>
      </c>
      <c r="K12" s="682">
        <f t="shared" si="5"/>
        <v>1.3391841808969786E-3</v>
      </c>
      <c r="M12" s="682">
        <f t="shared" ref="M12" si="9">M11+SUM(K10:K12)</f>
        <v>3.386963704885219E-3</v>
      </c>
    </row>
    <row r="13" spans="1:15">
      <c r="A13" s="676">
        <f>IF(ISBLANK(I13)=TRUE,"",MAX($A$7:A12)+1)</f>
        <v>7</v>
      </c>
      <c r="C13" s="678">
        <f t="shared" si="4"/>
        <v>44773</v>
      </c>
      <c r="E13" s="684">
        <f>'Attachment 13a - TEC True-Up'!E13</f>
        <v>3.5999999999999997E-2</v>
      </c>
      <c r="G13" s="673">
        <f t="shared" si="6"/>
        <v>3.0575342465753424E-3</v>
      </c>
      <c r="I13" s="682">
        <f t="shared" ref="I13" si="10">I12+1/12+M12</f>
        <v>0.58805591347657471</v>
      </c>
      <c r="K13" s="682">
        <f t="shared" si="5"/>
        <v>1.7980010943557737E-3</v>
      </c>
      <c r="M13" s="682">
        <v>0</v>
      </c>
    </row>
    <row r="14" spans="1:15">
      <c r="A14" s="676">
        <f>IF(ISBLANK(I14)=TRUE,"",MAX($A$7:A13)+1)</f>
        <v>8</v>
      </c>
      <c r="C14" s="678">
        <f t="shared" si="4"/>
        <v>44804</v>
      </c>
      <c r="E14" s="673">
        <f>E13</f>
        <v>3.5999999999999997E-2</v>
      </c>
      <c r="G14" s="673">
        <f t="shared" si="6"/>
        <v>3.0575342465753424E-3</v>
      </c>
      <c r="I14" s="682">
        <f>I13+1/12</f>
        <v>0.67138924680990808</v>
      </c>
      <c r="K14" s="682">
        <f t="shared" si="5"/>
        <v>2.0527956149037187E-3</v>
      </c>
      <c r="M14" s="682">
        <v>0</v>
      </c>
    </row>
    <row r="15" spans="1:15">
      <c r="A15" s="676">
        <f>IF(ISBLANK(I15)=TRUE,"",MAX($A$7:A14)+1)</f>
        <v>9</v>
      </c>
      <c r="C15" s="678">
        <f t="shared" si="4"/>
        <v>44834</v>
      </c>
      <c r="E15" s="673">
        <f>E14</f>
        <v>3.5999999999999997E-2</v>
      </c>
      <c r="G15" s="673">
        <f t="shared" si="6"/>
        <v>2.958904109589041E-3</v>
      </c>
      <c r="I15" s="683">
        <f t="shared" si="8"/>
        <v>0.75472258014324145</v>
      </c>
      <c r="K15" s="682">
        <f t="shared" si="5"/>
        <v>2.2331517439854814E-3</v>
      </c>
      <c r="M15" s="682">
        <f>M14+SUM(K13:K15)</f>
        <v>6.0839484532449733E-3</v>
      </c>
    </row>
    <row r="16" spans="1:15">
      <c r="A16" s="676">
        <f>IF(ISBLANK(I16)=TRUE,"",MAX($A$7:A15)+1)</f>
        <v>10</v>
      </c>
      <c r="C16" s="678">
        <f t="shared" si="4"/>
        <v>44865</v>
      </c>
      <c r="E16" s="684">
        <f>'Attachment 13a - TEC True-Up'!E16</f>
        <v>4.9099999999999998E-2</v>
      </c>
      <c r="G16" s="673">
        <f>E16/365*DAY(EOMONTH(C16,0))</f>
        <v>4.1701369863013692E-3</v>
      </c>
      <c r="I16" s="682">
        <f t="shared" ref="I16" si="11">I15+1/12+M15</f>
        <v>0.84413986192981982</v>
      </c>
      <c r="K16" s="682">
        <f t="shared" si="5"/>
        <v>3.5201788598448729E-3</v>
      </c>
      <c r="M16" s="682">
        <v>0</v>
      </c>
    </row>
    <row r="17" spans="1:20">
      <c r="A17" s="676">
        <f>IF(ISBLANK(I17)=TRUE,"",MAX($A$7:A16)+1)</f>
        <v>11</v>
      </c>
      <c r="C17" s="678">
        <f t="shared" si="4"/>
        <v>44895</v>
      </c>
      <c r="E17" s="673">
        <f>E16</f>
        <v>4.9099999999999998E-2</v>
      </c>
      <c r="G17" s="673">
        <f t="shared" si="6"/>
        <v>4.0356164383561636E-3</v>
      </c>
      <c r="I17" s="682">
        <f>I16+1/12</f>
        <v>0.92747319526315319</v>
      </c>
      <c r="K17" s="682">
        <f t="shared" si="5"/>
        <v>3.7429260729386969E-3</v>
      </c>
      <c r="M17" s="682">
        <v>0</v>
      </c>
    </row>
    <row r="18" spans="1:20">
      <c r="A18" s="676">
        <f>IF(ISBLANK(I18)=TRUE,"",MAX($A$7:A17)+1)</f>
        <v>12</v>
      </c>
      <c r="C18" s="678">
        <f>EOMONTH(C17,1)</f>
        <v>44926</v>
      </c>
      <c r="E18" s="673">
        <f>E17</f>
        <v>4.9099999999999998E-2</v>
      </c>
      <c r="G18" s="673">
        <f t="shared" si="6"/>
        <v>4.1701369863013692E-3</v>
      </c>
      <c r="I18" s="683">
        <f>I17+1/12</f>
        <v>1.0108065285964865</v>
      </c>
      <c r="K18" s="682">
        <f t="shared" si="5"/>
        <v>4.2152016908951007E-3</v>
      </c>
      <c r="M18" s="682">
        <f t="shared" ref="M18" si="12">M17+SUM(K16:K18)</f>
        <v>1.1478306623678672E-2</v>
      </c>
    </row>
    <row r="19" spans="1:20">
      <c r="A19" s="676" t="str">
        <f>IF(ISBLANK(I19)=TRUE,"",MAX($A$7:A18)+1)</f>
        <v/>
      </c>
      <c r="C19" s="678"/>
      <c r="I19" s="682"/>
      <c r="K19" s="682"/>
      <c r="M19" s="682"/>
    </row>
    <row r="20" spans="1:20">
      <c r="A20" s="676">
        <f>IF(ISBLANK(I20)=TRUE,"",MAX($A$7:A19)+1)</f>
        <v>13</v>
      </c>
      <c r="C20" s="678"/>
      <c r="G20" s="674" t="s">
        <v>691</v>
      </c>
      <c r="I20" s="682">
        <f>I18+M18</f>
        <v>1.0222848352201652</v>
      </c>
      <c r="K20" s="682"/>
      <c r="M20" s="682"/>
    </row>
    <row r="21" spans="1:20">
      <c r="A21" s="676" t="str">
        <f>IF(ISBLANK(I21)=TRUE,"",MAX($A$7:A20)+1)</f>
        <v/>
      </c>
      <c r="C21" s="678"/>
      <c r="I21" s="682"/>
      <c r="K21" s="682"/>
      <c r="M21" s="682"/>
    </row>
    <row r="22" spans="1:20">
      <c r="A22" s="676">
        <f>IF(ISBLANK(I22)=TRUE,"",MAX($A$7:A21)+1)</f>
        <v>14</v>
      </c>
      <c r="C22" s="678">
        <f>EOMONTH(C18,1)</f>
        <v>44957</v>
      </c>
      <c r="E22" s="684">
        <f>'Attachment 13a - TEC True-Up'!E22</f>
        <v>6.3100000000000003E-2</v>
      </c>
      <c r="G22" s="673">
        <f>E22/365*DAY(EOMONTH(C22,0))</f>
        <v>5.3591780821917812E-3</v>
      </c>
      <c r="I22" s="682">
        <f>I20</f>
        <v>1.0222848352201652</v>
      </c>
      <c r="K22" s="682">
        <f>G22*I22</f>
        <v>5.4786064826689461E-3</v>
      </c>
      <c r="M22" s="682">
        <v>0</v>
      </c>
    </row>
    <row r="23" spans="1:20">
      <c r="A23" s="676">
        <f>IF(ISBLANK(I23)=TRUE,"",MAX($A$7:A22)+1)</f>
        <v>15</v>
      </c>
      <c r="C23" s="678">
        <f>EOMONTH(C22,1)</f>
        <v>44985</v>
      </c>
      <c r="E23" s="673">
        <f>E22</f>
        <v>6.3100000000000003E-2</v>
      </c>
      <c r="G23" s="673">
        <f t="shared" ref="G23:G26" si="13">E23/365*DAY(EOMONTH(C23,0))</f>
        <v>4.8405479452054796E-3</v>
      </c>
      <c r="I23" s="682">
        <f>I22</f>
        <v>1.0222848352201652</v>
      </c>
      <c r="K23" s="682">
        <f t="shared" si="5"/>
        <v>4.9484187585396933E-3</v>
      </c>
      <c r="M23" s="682">
        <v>0</v>
      </c>
    </row>
    <row r="24" spans="1:20">
      <c r="A24" s="676">
        <f>IF(ISBLANK(I24)=TRUE,"",MAX($A$7:A23)+1)</f>
        <v>16</v>
      </c>
      <c r="C24" s="678">
        <f t="shared" ref="C24:C33" si="14">EOMONTH(C23,1)</f>
        <v>45016</v>
      </c>
      <c r="E24" s="673">
        <f>E23</f>
        <v>6.3100000000000003E-2</v>
      </c>
      <c r="G24" s="673">
        <f t="shared" si="13"/>
        <v>5.3591780821917812E-3</v>
      </c>
      <c r="I24" s="683">
        <f>I23</f>
        <v>1.0222848352201652</v>
      </c>
      <c r="K24" s="682">
        <f t="shared" si="5"/>
        <v>5.4786064826689461E-3</v>
      </c>
      <c r="M24" s="682">
        <f>M23+SUM(K22:K24)</f>
        <v>1.5905631723877586E-2</v>
      </c>
    </row>
    <row r="25" spans="1:20">
      <c r="A25" s="676">
        <f>IF(ISBLANK(I25)=TRUE,"",MAX($A$7:A24)+1)</f>
        <v>17</v>
      </c>
      <c r="C25" s="678">
        <f t="shared" si="14"/>
        <v>45046</v>
      </c>
      <c r="E25" s="684">
        <f>'Attachment 13a - TEC True-Up'!E25</f>
        <v>7.4999999999999997E-2</v>
      </c>
      <c r="G25" s="673">
        <f t="shared" si="13"/>
        <v>6.1643835616438354E-3</v>
      </c>
      <c r="I25" s="682">
        <f>I24+M24</f>
        <v>1.0381904669440427</v>
      </c>
      <c r="K25" s="682">
        <f t="shared" si="5"/>
        <v>6.3998042482851947E-3</v>
      </c>
      <c r="M25" s="682">
        <v>0</v>
      </c>
    </row>
    <row r="26" spans="1:20">
      <c r="A26" s="676">
        <f>IF(ISBLANK(I26)=TRUE,"",MAX($A$7:A25)+1)</f>
        <v>18</v>
      </c>
      <c r="C26" s="678">
        <f t="shared" si="14"/>
        <v>45077</v>
      </c>
      <c r="E26" s="673">
        <f>E25</f>
        <v>7.4999999999999997E-2</v>
      </c>
      <c r="G26" s="673">
        <f t="shared" si="13"/>
        <v>6.3698630136986298E-3</v>
      </c>
      <c r="I26" s="682">
        <f>I25</f>
        <v>1.0381904669440427</v>
      </c>
      <c r="K26" s="682">
        <f t="shared" si="5"/>
        <v>6.613131056561368E-3</v>
      </c>
      <c r="M26" s="682">
        <v>0</v>
      </c>
    </row>
    <row r="27" spans="1:20">
      <c r="A27" s="676">
        <f>IF(ISBLANK(I27)=TRUE,"",MAX($A$7:A26)+1)</f>
        <v>19</v>
      </c>
      <c r="C27" s="678">
        <f t="shared" si="14"/>
        <v>45107</v>
      </c>
      <c r="E27" s="673">
        <f>E26</f>
        <v>7.4999999999999997E-2</v>
      </c>
      <c r="G27" s="673">
        <f t="shared" ref="G27:G33" si="15">E27/365*DAY(EOMONTH(C27,0))</f>
        <v>6.1643835616438354E-3</v>
      </c>
      <c r="I27" s="683">
        <f t="shared" ref="I27" si="16">I26</f>
        <v>1.0381904669440427</v>
      </c>
      <c r="K27" s="682">
        <f t="shared" si="5"/>
        <v>6.3998042482851947E-3</v>
      </c>
      <c r="M27" s="682">
        <f t="shared" ref="M27" si="17">M26+SUM(K25:K27)</f>
        <v>1.9412739553131757E-2</v>
      </c>
    </row>
    <row r="28" spans="1:20">
      <c r="A28" s="676">
        <f>IF(ISBLANK(I28)=TRUE,"",MAX($A$7:A27)+1)</f>
        <v>20</v>
      </c>
      <c r="C28" s="678">
        <f t="shared" si="14"/>
        <v>45138</v>
      </c>
      <c r="E28" s="684">
        <f>'Attachment 13a - TEC True-Up'!E28</f>
        <v>7.4999999999999997E-2</v>
      </c>
      <c r="G28" s="673">
        <f t="shared" si="15"/>
        <v>6.3698630136986298E-3</v>
      </c>
      <c r="I28" s="682">
        <f>I27+M27</f>
        <v>1.0576032064971745</v>
      </c>
      <c r="K28" s="682">
        <f t="shared" si="5"/>
        <v>6.7367875482354268E-3</v>
      </c>
      <c r="M28" s="682">
        <v>0</v>
      </c>
    </row>
    <row r="29" spans="1:20">
      <c r="A29" s="676">
        <f>IF(ISBLANK(I29)=TRUE,"",MAX($A$7:A28)+1)</f>
        <v>21</v>
      </c>
      <c r="C29" s="678">
        <f t="shared" si="14"/>
        <v>45169</v>
      </c>
      <c r="E29" s="673">
        <f>E28</f>
        <v>7.4999999999999997E-2</v>
      </c>
      <c r="G29" s="673">
        <f t="shared" si="15"/>
        <v>6.3698630136986298E-3</v>
      </c>
      <c r="I29" s="682">
        <f>I28</f>
        <v>1.0576032064971745</v>
      </c>
      <c r="K29" s="682">
        <f>G29*I29</f>
        <v>6.7367875482354268E-3</v>
      </c>
      <c r="M29" s="682">
        <v>0</v>
      </c>
    </row>
    <row r="30" spans="1:20">
      <c r="A30" s="676">
        <f>IF(ISBLANK(I30)=TRUE,"",MAX($A$7:A29)+1)</f>
        <v>22</v>
      </c>
      <c r="C30" s="678">
        <f t="shared" si="14"/>
        <v>45199</v>
      </c>
      <c r="E30" s="673">
        <f>E29</f>
        <v>7.4999999999999997E-2</v>
      </c>
      <c r="G30" s="682">
        <f t="shared" si="15"/>
        <v>6.1643835616438354E-3</v>
      </c>
      <c r="I30" s="683">
        <f t="shared" ref="I30" si="18">I29</f>
        <v>1.0576032064971745</v>
      </c>
      <c r="K30" s="682">
        <f>G30*I30</f>
        <v>6.5194718208729935E-3</v>
      </c>
      <c r="M30" s="682">
        <f>M29+SUM(K28:K30)</f>
        <v>1.9993046917343847E-2</v>
      </c>
      <c r="O30" s="821"/>
    </row>
    <row r="31" spans="1:20">
      <c r="A31" s="676">
        <f>IF(ISBLANK(I31)=TRUE,"",MAX($A$7:A30)+1)</f>
        <v>23</v>
      </c>
      <c r="C31" s="678">
        <f>EOMONTH(C30,1)</f>
        <v>45230</v>
      </c>
      <c r="E31" s="684">
        <f>'Attachment 13a - TEC True-Up'!E31</f>
        <v>7.4999999999999997E-2</v>
      </c>
      <c r="G31" s="682">
        <f t="shared" si="15"/>
        <v>6.3698630136986298E-3</v>
      </c>
      <c r="I31" s="682">
        <f>I30+M30</f>
        <v>1.0775962534145185</v>
      </c>
      <c r="K31" s="682">
        <f>G31*I31</f>
        <v>6.8641405183253569E-3</v>
      </c>
      <c r="M31" s="682">
        <v>0</v>
      </c>
      <c r="O31" s="831"/>
      <c r="P31" s="831"/>
      <c r="Q31" s="831"/>
      <c r="R31" s="831"/>
      <c r="S31" s="831"/>
      <c r="T31" s="831"/>
    </row>
    <row r="32" spans="1:20">
      <c r="A32" s="676">
        <f>IF(ISBLANK(I32)=TRUE,"",MAX($A$7:A31)+1)</f>
        <v>24</v>
      </c>
      <c r="C32" s="678">
        <f t="shared" si="14"/>
        <v>45260</v>
      </c>
      <c r="E32" s="682">
        <f>E31</f>
        <v>7.4999999999999997E-2</v>
      </c>
      <c r="G32" s="682">
        <f t="shared" si="15"/>
        <v>6.1643835616438354E-3</v>
      </c>
      <c r="I32" s="682">
        <f t="shared" ref="I32:I33" si="19">I31</f>
        <v>1.0775962534145185</v>
      </c>
      <c r="K32" s="682">
        <f t="shared" si="5"/>
        <v>6.6427166306374423E-3</v>
      </c>
      <c r="M32" s="682">
        <v>0</v>
      </c>
    </row>
    <row r="33" spans="1:18">
      <c r="A33" s="676">
        <f>IF(ISBLANK(I33)=TRUE,"",MAX($A$7:A32)+1)</f>
        <v>25</v>
      </c>
      <c r="C33" s="678">
        <f t="shared" si="14"/>
        <v>45291</v>
      </c>
      <c r="E33" s="682">
        <f>E32</f>
        <v>7.4999999999999997E-2</v>
      </c>
      <c r="G33" s="682">
        <f t="shared" si="15"/>
        <v>6.3698630136986298E-3</v>
      </c>
      <c r="I33" s="683">
        <f t="shared" si="19"/>
        <v>1.0775962534145185</v>
      </c>
      <c r="K33" s="682">
        <f t="shared" si="5"/>
        <v>6.8641405183253569E-3</v>
      </c>
      <c r="M33" s="682">
        <f t="shared" ref="M33" si="20">M32+SUM(K31:K33)</f>
        <v>2.0370997667288157E-2</v>
      </c>
    </row>
    <row r="34" spans="1:18">
      <c r="A34" s="676" t="str">
        <f>IF(ISBLANK(I34)=TRUE,"",MAX($A$7:A33)+1)</f>
        <v/>
      </c>
      <c r="C34" s="678"/>
      <c r="I34" s="682"/>
      <c r="J34" s="682"/>
      <c r="K34" s="682"/>
      <c r="M34" s="682"/>
    </row>
    <row r="35" spans="1:18">
      <c r="A35" s="676">
        <f>IF(ISBLANK(I35)=TRUE,"",MAX($A$7:A34)+1)</f>
        <v>26</v>
      </c>
      <c r="C35" s="678"/>
      <c r="G35" s="674" t="s">
        <v>692</v>
      </c>
      <c r="I35" s="682">
        <f>I33+M33</f>
        <v>1.0979672510818066</v>
      </c>
      <c r="K35" s="682"/>
      <c r="M35" s="682"/>
    </row>
    <row r="36" spans="1:18">
      <c r="A36" s="676" t="str">
        <f>IF(ISBLANK(I36)=TRUE,"",MAX($A$7:A35)+1)</f>
        <v/>
      </c>
      <c r="C36" s="678"/>
      <c r="G36" s="674"/>
      <c r="I36" s="682"/>
      <c r="K36" s="682"/>
      <c r="M36" s="682"/>
      <c r="N36" s="680"/>
    </row>
    <row r="37" spans="1:18">
      <c r="A37" s="676">
        <f>IF(ISBLANK(I37)=TRUE,"",MAX($A$7:A36)+1)</f>
        <v>27</v>
      </c>
      <c r="C37" s="678"/>
      <c r="G37" s="674" t="s">
        <v>693</v>
      </c>
      <c r="I37" s="682">
        <f>I35/12</f>
        <v>9.1497270923483878E-2</v>
      </c>
      <c r="K37" s="682"/>
      <c r="M37" s="682"/>
    </row>
    <row r="38" spans="1:18">
      <c r="A38" s="676">
        <f>IF(ISBLANK(I38)=TRUE,"",MAX($A$7:A37)+1)</f>
        <v>28</v>
      </c>
      <c r="C38" s="678"/>
      <c r="E38" s="682"/>
      <c r="G38" s="844" t="s">
        <v>694</v>
      </c>
      <c r="H38" s="845" t="s">
        <v>686</v>
      </c>
      <c r="I38" s="684">
        <v>3.003485275664769E-3</v>
      </c>
      <c r="K38" s="682" t="s">
        <v>1030</v>
      </c>
      <c r="M38" s="682"/>
      <c r="N38" s="821"/>
      <c r="O38" s="952"/>
    </row>
    <row r="39" spans="1:18">
      <c r="A39" s="676">
        <f>IF(ISBLANK(I39)=TRUE,"",MAX($A$7:A38)+1)</f>
        <v>29</v>
      </c>
      <c r="C39" s="678"/>
      <c r="G39" s="674" t="s">
        <v>695</v>
      </c>
      <c r="I39" s="682">
        <f>SUM(I37:I38)</f>
        <v>9.4500756199148647E-2</v>
      </c>
      <c r="K39" s="682"/>
      <c r="M39" s="682"/>
      <c r="O39" s="831"/>
      <c r="P39" s="831"/>
      <c r="Q39" s="831"/>
      <c r="R39" s="831"/>
    </row>
    <row r="40" spans="1:18">
      <c r="A40" s="676" t="str">
        <f>IF(ISBLANK(I40)=TRUE,"",MAX($A$7:A39)+1)</f>
        <v/>
      </c>
      <c r="C40" s="678"/>
      <c r="I40" s="682"/>
      <c r="K40" s="682"/>
      <c r="M40" s="682"/>
    </row>
    <row r="41" spans="1:18">
      <c r="A41" s="676">
        <f>IF(ISBLANK(I41)=TRUE,"",MAX($A$7:A40)+1)</f>
        <v>30</v>
      </c>
      <c r="C41" s="678">
        <f>EOMONTH(C33,1)</f>
        <v>45322</v>
      </c>
      <c r="E41" s="682">
        <f>$E$31</f>
        <v>7.4999999999999997E-2</v>
      </c>
      <c r="G41" s="673">
        <f>E41/365*DAY(EOMONTH(C41,0))</f>
        <v>6.3698630136986298E-3</v>
      </c>
      <c r="I41" s="682">
        <f>$I$35-($I$39*A7)</f>
        <v>1.0034664948826579</v>
      </c>
      <c r="K41" s="682">
        <f>G41*I41</f>
        <v>6.3919441112388481E-3</v>
      </c>
      <c r="M41" s="682">
        <v>0</v>
      </c>
    </row>
    <row r="42" spans="1:18">
      <c r="A42" s="676">
        <f>IF(ISBLANK(I42)=TRUE,"",MAX($A$7:A41)+1)</f>
        <v>31</v>
      </c>
      <c r="C42" s="678">
        <f>EOMONTH(C41,1)</f>
        <v>45351</v>
      </c>
      <c r="E42" s="682">
        <f>E41</f>
        <v>7.4999999999999997E-2</v>
      </c>
      <c r="G42" s="673">
        <f>E42/365*DAY(EOMONTH(C42,0))</f>
        <v>5.9589041095890411E-3</v>
      </c>
      <c r="I42" s="682">
        <f>I41-$I$39</f>
        <v>0.90896573868350927</v>
      </c>
      <c r="K42" s="682">
        <f t="shared" si="5"/>
        <v>5.4164396757168014E-3</v>
      </c>
      <c r="M42" s="682">
        <v>0</v>
      </c>
    </row>
    <row r="43" spans="1:18">
      <c r="A43" s="676">
        <f>IF(ISBLANK(I43)=TRUE,"",MAX($A$7:A42)+1)</f>
        <v>32</v>
      </c>
      <c r="C43" s="678">
        <f t="shared" ref="C43:C52" si="21">EOMONTH(C42,1)</f>
        <v>45382</v>
      </c>
      <c r="E43" s="682">
        <f t="shared" ref="E43:E52" si="22">E42</f>
        <v>7.4999999999999997E-2</v>
      </c>
      <c r="G43" s="673">
        <f t="shared" ref="G43:G52" si="23">E43/365*DAY(EOMONTH(C43,0))</f>
        <v>6.3698630136986298E-3</v>
      </c>
      <c r="I43" s="683">
        <f t="shared" ref="I43:I52" si="24">I42-$I$39</f>
        <v>0.81446498248436061</v>
      </c>
      <c r="K43" s="682">
        <f t="shared" si="5"/>
        <v>5.1880303678798314E-3</v>
      </c>
      <c r="M43" s="682">
        <f>M42+SUM(K41:K43)</f>
        <v>1.6996414154835479E-2</v>
      </c>
      <c r="O43" s="681"/>
    </row>
    <row r="44" spans="1:18">
      <c r="A44" s="676">
        <f>IF(ISBLANK(I44)=TRUE,"",MAX($A$7:A43)+1)</f>
        <v>33</v>
      </c>
      <c r="C44" s="678">
        <f t="shared" si="21"/>
        <v>45412</v>
      </c>
      <c r="E44" s="682">
        <f>E43</f>
        <v>7.4999999999999997E-2</v>
      </c>
      <c r="G44" s="673">
        <f t="shared" si="23"/>
        <v>6.1643835616438354E-3</v>
      </c>
      <c r="I44" s="682">
        <f>I43-$I$39+M43</f>
        <v>0.73696064044004739</v>
      </c>
      <c r="K44" s="682">
        <f t="shared" si="5"/>
        <v>4.5429080575071414E-3</v>
      </c>
      <c r="M44" s="682">
        <v>0</v>
      </c>
    </row>
    <row r="45" spans="1:18">
      <c r="A45" s="676">
        <f>IF(ISBLANK(I45)=TRUE,"",MAX($A$7:A44)+1)</f>
        <v>34</v>
      </c>
      <c r="C45" s="678">
        <f t="shared" si="21"/>
        <v>45443</v>
      </c>
      <c r="E45" s="682">
        <f>E44</f>
        <v>7.4999999999999997E-2</v>
      </c>
      <c r="G45" s="673">
        <f t="shared" si="23"/>
        <v>6.3698630136986298E-3</v>
      </c>
      <c r="I45" s="682">
        <f t="shared" ref="I45" si="25">I44-$I$39</f>
        <v>0.64245988424089873</v>
      </c>
      <c r="K45" s="682">
        <f t="shared" si="5"/>
        <v>4.0923814544112039E-3</v>
      </c>
      <c r="M45" s="682">
        <v>0</v>
      </c>
    </row>
    <row r="46" spans="1:18">
      <c r="A46" s="676">
        <f>IF(ISBLANK(I46)=TRUE,"",MAX($A$7:A45)+1)</f>
        <v>35</v>
      </c>
      <c r="C46" s="678">
        <f t="shared" si="21"/>
        <v>45473</v>
      </c>
      <c r="E46" s="682">
        <f>E45</f>
        <v>7.4999999999999997E-2</v>
      </c>
      <c r="G46" s="673">
        <f t="shared" si="23"/>
        <v>6.1643835616438354E-3</v>
      </c>
      <c r="I46" s="683">
        <f t="shared" si="24"/>
        <v>0.54795912804175007</v>
      </c>
      <c r="K46" s="682">
        <f t="shared" si="5"/>
        <v>3.3778302413532539E-3</v>
      </c>
      <c r="M46" s="682">
        <f t="shared" ref="M46" si="26">M45+SUM(K44:K46)</f>
        <v>1.2013119753271599E-2</v>
      </c>
      <c r="O46" s="681"/>
    </row>
    <row r="47" spans="1:18">
      <c r="A47" s="676">
        <f>IF(ISBLANK(I47)=TRUE,"",MAX($A$7:A46)+1)</f>
        <v>36</v>
      </c>
      <c r="C47" s="678">
        <f t="shared" si="21"/>
        <v>45504</v>
      </c>
      <c r="E47" s="682">
        <f>E46</f>
        <v>7.4999999999999997E-2</v>
      </c>
      <c r="G47" s="673">
        <f t="shared" si="23"/>
        <v>6.3698630136986298E-3</v>
      </c>
      <c r="I47" s="682">
        <f t="shared" ref="I47" si="27">I46-$I$39+M46</f>
        <v>0.46547149159587298</v>
      </c>
      <c r="K47" s="682">
        <f t="shared" si="5"/>
        <v>2.9649896382476838E-3</v>
      </c>
      <c r="M47" s="682">
        <v>0</v>
      </c>
    </row>
    <row r="48" spans="1:18">
      <c r="A48" s="676">
        <f>IF(ISBLANK(I48)=TRUE,"",MAX($A$7:A47)+1)</f>
        <v>37</v>
      </c>
      <c r="C48" s="678">
        <f t="shared" si="21"/>
        <v>45535</v>
      </c>
      <c r="E48" s="682">
        <f>E47</f>
        <v>7.4999999999999997E-2</v>
      </c>
      <c r="G48" s="673">
        <f t="shared" si="23"/>
        <v>6.3698630136986298E-3</v>
      </c>
      <c r="I48" s="682">
        <f t="shared" ref="I48" si="28">I47-$I$39</f>
        <v>0.37097073539672432</v>
      </c>
      <c r="K48" s="682">
        <f t="shared" si="5"/>
        <v>2.3630327665681754E-3</v>
      </c>
      <c r="M48" s="682">
        <v>0</v>
      </c>
    </row>
    <row r="49" spans="1:15">
      <c r="A49" s="676">
        <f>IF(ISBLANK(I49)=TRUE,"",MAX($A$7:A48)+1)</f>
        <v>38</v>
      </c>
      <c r="C49" s="678">
        <f t="shared" si="21"/>
        <v>45565</v>
      </c>
      <c r="E49" s="682">
        <f t="shared" si="22"/>
        <v>7.4999999999999997E-2</v>
      </c>
      <c r="G49" s="673">
        <f t="shared" si="23"/>
        <v>6.1643835616438354E-3</v>
      </c>
      <c r="I49" s="683">
        <f t="shared" si="24"/>
        <v>0.27646997919757565</v>
      </c>
      <c r="K49" s="682">
        <f t="shared" si="5"/>
        <v>1.7042669950535485E-3</v>
      </c>
      <c r="M49" s="682">
        <f t="shared" ref="M49" si="29">M48+SUM(K47:K49)</f>
        <v>7.0322893998694081E-3</v>
      </c>
      <c r="O49" s="681"/>
    </row>
    <row r="50" spans="1:15">
      <c r="A50" s="676">
        <f>IF(ISBLANK(I50)=TRUE,"",MAX($A$7:A49)+1)</f>
        <v>39</v>
      </c>
      <c r="C50" s="678">
        <f t="shared" si="21"/>
        <v>45596</v>
      </c>
      <c r="E50" s="682">
        <f t="shared" si="22"/>
        <v>7.4999999999999997E-2</v>
      </c>
      <c r="G50" s="673">
        <f t="shared" si="23"/>
        <v>6.3698630136986298E-3</v>
      </c>
      <c r="I50" s="682">
        <f t="shared" ref="I50" si="30">I49-$I$39+M49</f>
        <v>0.18900151239829641</v>
      </c>
      <c r="K50" s="682">
        <f t="shared" si="5"/>
        <v>1.2039137433590113E-3</v>
      </c>
      <c r="M50" s="682">
        <v>0</v>
      </c>
    </row>
    <row r="51" spans="1:15">
      <c r="A51" s="676">
        <f>IF(ISBLANK(I51)=TRUE,"",MAX($A$7:A50)+1)</f>
        <v>40</v>
      </c>
      <c r="C51" s="678">
        <f t="shared" si="21"/>
        <v>45626</v>
      </c>
      <c r="E51" s="682">
        <f t="shared" si="22"/>
        <v>7.4999999999999997E-2</v>
      </c>
      <c r="G51" s="673">
        <f t="shared" si="23"/>
        <v>6.1643835616438354E-3</v>
      </c>
      <c r="I51" s="682">
        <f t="shared" ref="I51" si="31">I50-$I$39</f>
        <v>9.4500756199147759E-2</v>
      </c>
      <c r="K51" s="682">
        <f t="shared" si="5"/>
        <v>5.8253890807693825E-4</v>
      </c>
      <c r="M51" s="682">
        <v>0</v>
      </c>
    </row>
    <row r="52" spans="1:15">
      <c r="A52" s="676">
        <f>IF(ISBLANK(I52)=TRUE,"",MAX($A$7:A51)+1)</f>
        <v>41</v>
      </c>
      <c r="C52" s="678">
        <f t="shared" si="21"/>
        <v>45657</v>
      </c>
      <c r="E52" s="682">
        <f t="shared" si="22"/>
        <v>7.4999999999999997E-2</v>
      </c>
      <c r="G52" s="673">
        <f t="shared" si="23"/>
        <v>6.3698630136986298E-3</v>
      </c>
      <c r="I52" s="683">
        <f t="shared" si="24"/>
        <v>-8.8817841970012523E-16</v>
      </c>
      <c r="K52" s="682">
        <f t="shared" si="5"/>
        <v>-5.6575748652131262E-18</v>
      </c>
      <c r="M52" s="682">
        <f t="shared" ref="M52" si="32">M51+SUM(K50:K52)</f>
        <v>1.7864526514359438E-3</v>
      </c>
      <c r="O52" s="681"/>
    </row>
    <row r="53" spans="1:15">
      <c r="A53" s="676" t="str">
        <f>IF(ISBLANK(I53)=TRUE,"",MAX($A$7:A52)+1)</f>
        <v/>
      </c>
      <c r="I53" s="682"/>
      <c r="J53" s="682"/>
      <c r="K53" s="682"/>
      <c r="M53" s="682"/>
    </row>
    <row r="54" spans="1:15">
      <c r="A54" s="676">
        <f>IF(ISBLANK(I54)=TRUE,"",MAX($A$7:A53)+1)</f>
        <v>42</v>
      </c>
      <c r="G54" s="674" t="s">
        <v>696</v>
      </c>
      <c r="I54" s="682">
        <f>I52+M52</f>
        <v>1.7864526514350556E-3</v>
      </c>
      <c r="K54" s="682"/>
      <c r="M54" s="682"/>
      <c r="O54" s="681"/>
    </row>
    <row r="55" spans="1:15">
      <c r="A55" s="676" t="str">
        <f>IF(ISBLANK(I55)=TRUE,"",MAX($A$7:A54)+1)</f>
        <v/>
      </c>
      <c r="I55" s="682"/>
      <c r="K55" s="682"/>
      <c r="M55" s="682"/>
    </row>
    <row r="56" spans="1:15">
      <c r="A56" s="676">
        <f>IF(ISBLANK(I56)=TRUE,"",MAX($A$7:A55)+1)</f>
        <v>43</v>
      </c>
      <c r="G56" s="674" t="s">
        <v>697</v>
      </c>
      <c r="I56" s="682">
        <f>I39*12</f>
        <v>1.1340090743897837</v>
      </c>
      <c r="K56" s="682"/>
      <c r="M56" s="682"/>
    </row>
    <row r="57" spans="1:15">
      <c r="A57" s="676">
        <f>IF(ISBLANK(I57)=TRUE,"",MAX($A$7:A56)+1)</f>
        <v>44</v>
      </c>
      <c r="G57" s="674" t="s">
        <v>698</v>
      </c>
      <c r="H57" s="675" t="s">
        <v>641</v>
      </c>
      <c r="I57" s="683">
        <v>1</v>
      </c>
      <c r="K57" s="682"/>
      <c r="M57" s="682"/>
    </row>
    <row r="58" spans="1:15">
      <c r="A58" s="676">
        <f>IF(ISBLANK(I58)=TRUE,"",MAX($A$7:A57)+1)</f>
        <v>45</v>
      </c>
      <c r="G58" s="674" t="s">
        <v>699</v>
      </c>
      <c r="I58" s="682">
        <f>I56-I57</f>
        <v>0.13400907438978371</v>
      </c>
      <c r="K58" s="682"/>
      <c r="M58" s="682"/>
    </row>
    <row r="59" spans="1:15">
      <c r="A59" s="676" t="str">
        <f>IF(ISBLANK(I59)=TRUE,"",MAX($A$7:A58)+1)</f>
        <v/>
      </c>
    </row>
    <row r="60" spans="1:15">
      <c r="A60" s="676" t="str">
        <f>IF(ISBLANK(I60)=TRUE,"",MAX($A$7:A59)+1)</f>
        <v/>
      </c>
    </row>
    <row r="61" spans="1:15">
      <c r="A61" s="676">
        <f>IF(ISBLANK(G61)=TRUE,"",MAX($A$7:A60)+1)</f>
        <v>46</v>
      </c>
      <c r="C61" s="682"/>
      <c r="E61" s="682"/>
      <c r="G61" s="688" t="s">
        <v>793</v>
      </c>
      <c r="H61" s="688"/>
      <c r="I61" s="807">
        <f>'Attachment 13b - PJM Billings'!L20</f>
        <v>175634210.41540539</v>
      </c>
      <c r="J61" s="808"/>
      <c r="K61" s="693"/>
      <c r="L61" s="673"/>
      <c r="M61" s="675"/>
    </row>
    <row r="62" spans="1:15">
      <c r="A62" s="676">
        <f>IF(ISBLANK(G62)=TRUE,"",MAX($A$7:A61)+1)</f>
        <v>47</v>
      </c>
      <c r="B62" s="685"/>
      <c r="C62" s="685"/>
      <c r="E62" s="691">
        <v>2022</v>
      </c>
      <c r="G62" s="688" t="s">
        <v>914</v>
      </c>
      <c r="H62" s="694" t="s">
        <v>641</v>
      </c>
      <c r="I62" s="802">
        <v>179935967.38490236</v>
      </c>
      <c r="J62" s="809"/>
      <c r="K62" s="693"/>
      <c r="L62" s="673"/>
      <c r="M62" s="675"/>
    </row>
    <row r="63" spans="1:15">
      <c r="A63" s="676">
        <f>IF(ISBLANK(G63)=TRUE,"",MAX($A$7:A62)+1)</f>
        <v>48</v>
      </c>
      <c r="C63" s="686"/>
      <c r="E63" s="686"/>
      <c r="G63" s="688" t="s">
        <v>700</v>
      </c>
      <c r="H63" s="688"/>
      <c r="I63" s="804">
        <f>I61-I62</f>
        <v>-4301756.9694969654</v>
      </c>
      <c r="J63" s="808"/>
      <c r="K63" s="693"/>
      <c r="L63" s="673"/>
      <c r="M63" s="675"/>
    </row>
    <row r="64" spans="1:15">
      <c r="A64" s="676">
        <f>IF(ISBLANK(G64)=TRUE,"",MAX($A$7:A63)+1)</f>
        <v>49</v>
      </c>
      <c r="C64" s="686"/>
      <c r="E64" s="687"/>
      <c r="G64" s="688" t="str">
        <f>"Interest (Line "&amp;A58&amp;" "&amp;CHAR(215)&amp;" Line "&amp;A63&amp;"):"</f>
        <v>Interest (Line 45 × Line 48):</v>
      </c>
      <c r="H64" s="694" t="s">
        <v>686</v>
      </c>
      <c r="I64" s="805">
        <f>I58*I63</f>
        <v>-576474.46973208943</v>
      </c>
      <c r="J64" s="808"/>
      <c r="K64" s="693"/>
      <c r="L64" s="673"/>
      <c r="M64" s="675"/>
    </row>
    <row r="65" spans="1:13" ht="16.2" thickBot="1">
      <c r="A65" s="676">
        <f>IF(ISBLANK(G65)=TRUE,"",MAX($A$7:A64)+1)</f>
        <v>50</v>
      </c>
      <c r="C65" s="686"/>
      <c r="E65" s="686"/>
      <c r="G65" s="688" t="s">
        <v>701</v>
      </c>
      <c r="H65" s="688"/>
      <c r="I65" s="806">
        <f>I63+I64</f>
        <v>-4878231.4392290544</v>
      </c>
      <c r="J65" s="808"/>
      <c r="K65" s="693"/>
      <c r="L65" s="673"/>
      <c r="M65" s="675"/>
    </row>
    <row r="66" spans="1:13" ht="16.2" thickTop="1">
      <c r="E66" s="686"/>
      <c r="G66" s="686"/>
    </row>
    <row r="67" spans="1:13">
      <c r="B67" s="692"/>
      <c r="C67" s="692" t="s">
        <v>153</v>
      </c>
      <c r="E67" s="686"/>
      <c r="G67" s="686"/>
    </row>
    <row r="68" spans="1:13" ht="15.75" customHeight="1">
      <c r="C68" s="891" t="s">
        <v>891</v>
      </c>
      <c r="D68" s="891"/>
      <c r="E68" s="891"/>
      <c r="F68" s="891"/>
      <c r="G68" s="891"/>
      <c r="H68" s="891"/>
      <c r="I68" s="891"/>
      <c r="J68" s="891"/>
      <c r="K68" s="891"/>
      <c r="L68" s="891"/>
    </row>
    <row r="69" spans="1:13" ht="15.6" customHeight="1">
      <c r="C69" s="1018" t="s">
        <v>899</v>
      </c>
      <c r="D69" s="1018"/>
      <c r="E69" s="1018"/>
      <c r="F69" s="1018"/>
      <c r="G69" s="1018"/>
      <c r="H69" s="1018"/>
      <c r="I69" s="1018"/>
      <c r="J69" s="1018"/>
      <c r="K69" s="1018"/>
      <c r="L69" s="1018"/>
      <c r="M69" s="1018"/>
    </row>
    <row r="70" spans="1:13">
      <c r="C70" s="1018"/>
      <c r="D70" s="1018"/>
      <c r="E70" s="1018"/>
      <c r="F70" s="1018"/>
      <c r="G70" s="1018"/>
      <c r="H70" s="1018"/>
      <c r="I70" s="1018"/>
      <c r="J70" s="1018"/>
      <c r="K70" s="1018"/>
      <c r="L70" s="1018"/>
      <c r="M70" s="1018"/>
    </row>
    <row r="71" spans="1:13">
      <c r="C71" s="1018"/>
      <c r="D71" s="1018"/>
      <c r="E71" s="1018"/>
      <c r="F71" s="1018"/>
      <c r="G71" s="1018"/>
      <c r="H71" s="1018"/>
      <c r="I71" s="1018"/>
      <c r="J71" s="1018"/>
      <c r="K71" s="1018"/>
      <c r="L71" s="1018"/>
      <c r="M71" s="1018"/>
    </row>
    <row r="72" spans="1:13">
      <c r="C72" s="1018"/>
      <c r="D72" s="1018"/>
      <c r="E72" s="1018"/>
      <c r="F72" s="1018"/>
      <c r="G72" s="1018"/>
      <c r="H72" s="1018"/>
      <c r="I72" s="1018"/>
      <c r="J72" s="1018"/>
      <c r="K72" s="1018"/>
      <c r="L72" s="1018"/>
      <c r="M72" s="1018"/>
    </row>
    <row r="73" spans="1:13">
      <c r="C73" s="1018"/>
      <c r="D73" s="1018"/>
      <c r="E73" s="1018"/>
      <c r="F73" s="1018"/>
      <c r="G73" s="1018"/>
      <c r="H73" s="1018"/>
      <c r="I73" s="1018"/>
      <c r="J73" s="1018"/>
      <c r="K73" s="1018"/>
      <c r="L73" s="1018"/>
      <c r="M73" s="1018"/>
    </row>
    <row r="74" spans="1:13">
      <c r="C74" s="1018"/>
      <c r="D74" s="1018"/>
      <c r="E74" s="1018"/>
      <c r="F74" s="1018"/>
      <c r="G74" s="1018"/>
      <c r="H74" s="1018"/>
      <c r="I74" s="1018"/>
      <c r="J74" s="1018"/>
      <c r="K74" s="1018"/>
      <c r="L74" s="1018"/>
      <c r="M74" s="1018"/>
    </row>
    <row r="75" spans="1:13">
      <c r="C75" s="891" t="s">
        <v>977</v>
      </c>
      <c r="E75" s="798"/>
      <c r="F75" s="798"/>
      <c r="G75" s="798"/>
      <c r="H75" s="798"/>
      <c r="I75" s="798"/>
      <c r="K75" s="682"/>
      <c r="M75" s="682"/>
    </row>
    <row r="76" spans="1:13">
      <c r="E76" s="798"/>
      <c r="F76" s="798"/>
      <c r="G76" s="798"/>
      <c r="H76" s="798"/>
      <c r="I76" s="798"/>
    </row>
    <row r="77" spans="1:13">
      <c r="E77" s="798"/>
      <c r="F77" s="798"/>
      <c r="G77" s="798"/>
      <c r="H77" s="798"/>
      <c r="I77" s="798"/>
    </row>
    <row r="78" spans="1:13">
      <c r="E78" s="798"/>
      <c r="F78" s="798"/>
      <c r="G78" s="798"/>
      <c r="H78" s="798"/>
      <c r="I78" s="798"/>
    </row>
    <row r="79" spans="1:13">
      <c r="E79" s="798"/>
      <c r="F79" s="798"/>
      <c r="G79" s="798"/>
      <c r="H79" s="798"/>
      <c r="I79" s="798"/>
    </row>
    <row r="80" spans="1:13">
      <c r="E80" s="798"/>
      <c r="F80" s="798"/>
      <c r="G80" s="798"/>
      <c r="H80" s="798"/>
      <c r="I80" s="798"/>
    </row>
    <row r="81" spans="5:9">
      <c r="E81" s="798"/>
      <c r="F81" s="798"/>
      <c r="G81" s="798"/>
      <c r="H81" s="798"/>
      <c r="I81" s="798"/>
    </row>
    <row r="82" spans="5:9">
      <c r="E82" s="798"/>
      <c r="F82" s="798"/>
      <c r="G82" s="798"/>
      <c r="H82" s="798"/>
      <c r="I82" s="798"/>
    </row>
    <row r="83" spans="5:9">
      <c r="E83" s="798"/>
      <c r="F83" s="798"/>
      <c r="G83" s="798"/>
      <c r="H83" s="798"/>
      <c r="I83" s="798"/>
    </row>
    <row r="84" spans="5:9">
      <c r="E84" s="798"/>
      <c r="F84" s="798"/>
      <c r="G84" s="798"/>
      <c r="H84" s="798"/>
      <c r="I84" s="798"/>
    </row>
  </sheetData>
  <mergeCells count="1">
    <mergeCell ref="C69:M74"/>
  </mergeCells>
  <pageMargins left="0.25" right="0.25" top="0.75" bottom="0.75" header="0.3" footer="0.3"/>
  <pageSetup scale="58" orientation="portrait" r:id="rId1"/>
  <headerFooter>
    <oddHeader xml:space="preserve">&amp;R&amp;"Times New Roman,Regular"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pageSetUpPr fitToPage="1"/>
  </sheetPr>
  <dimension ref="A1:O84"/>
  <sheetViews>
    <sheetView topLeftCell="A31" zoomScale="80" zoomScaleNormal="80" zoomScalePageLayoutView="60" workbookViewId="0">
      <selection activeCell="R63" sqref="R63"/>
    </sheetView>
  </sheetViews>
  <sheetFormatPr defaultColWidth="8.7265625" defaultRowHeight="15.6"/>
  <cols>
    <col min="1" max="1" width="4.26953125" style="676" bestFit="1" customWidth="1"/>
    <col min="2" max="2" width="1.54296875" style="675" customWidth="1"/>
    <col min="3" max="3" width="11.08984375" style="676" customWidth="1"/>
    <col min="4" max="4" width="1.7265625" style="675" customWidth="1"/>
    <col min="5" max="5" width="11.7265625" style="673" customWidth="1"/>
    <col min="6" max="6" width="5.26953125" style="675" customWidth="1"/>
    <col min="7" max="7" width="11.08984375" style="673" customWidth="1"/>
    <col min="8" max="8" width="1.7265625" style="675" customWidth="1"/>
    <col min="9" max="9" width="13.7265625" style="673" customWidth="1"/>
    <col min="10" max="10" width="1.7265625" style="675" customWidth="1"/>
    <col min="11" max="11" width="11.08984375" style="673" customWidth="1"/>
    <col min="12" max="12" width="1.7265625" style="675" customWidth="1"/>
    <col min="13" max="13" width="13.26953125" style="673" customWidth="1"/>
    <col min="14" max="14" width="8.7265625" style="675"/>
    <col min="15" max="15" width="11.54296875" style="675" bestFit="1" customWidth="1"/>
    <col min="16" max="16384" width="8.7265625" style="675"/>
  </cols>
  <sheetData>
    <row r="1" spans="1:15">
      <c r="K1" s="675" t="s">
        <v>982</v>
      </c>
      <c r="M1" s="675"/>
    </row>
    <row r="2" spans="1:15">
      <c r="K2" s="675" t="s">
        <v>144</v>
      </c>
      <c r="M2" s="675"/>
    </row>
    <row r="3" spans="1:15">
      <c r="K3" s="675" t="str">
        <f>'Attachment 12 - TEC True-up'!M3</f>
        <v>For the 12 months ended 12/31/2022</v>
      </c>
      <c r="M3" s="675"/>
    </row>
    <row r="5" spans="1:15">
      <c r="C5" s="624" t="s">
        <v>627</v>
      </c>
      <c r="D5" s="604"/>
      <c r="E5" s="624" t="str">
        <f>"("&amp;CHAR(CODE(MID(C5,2,1))+1)&amp;")"</f>
        <v>(B)</v>
      </c>
      <c r="F5" s="1"/>
      <c r="G5" s="624" t="str">
        <f t="shared" ref="G5" si="0">"("&amp;CHAR(CODE(MID(E5,2,1))+1)&amp;")"</f>
        <v>(C)</v>
      </c>
      <c r="H5" s="1"/>
      <c r="I5" s="624" t="str">
        <f t="shared" ref="I5" si="1">"("&amp;CHAR(CODE(MID(G5,2,1))+1)&amp;")"</f>
        <v>(D)</v>
      </c>
      <c r="J5" s="1"/>
      <c r="K5" s="624" t="str">
        <f t="shared" ref="K5" si="2">"("&amp;CHAR(CODE(MID(I5,2,1))+1)&amp;")"</f>
        <v>(E)</v>
      </c>
      <c r="L5" s="1"/>
      <c r="M5" s="624" t="str">
        <f t="shared" ref="M5" si="3">"("&amp;CHAR(CODE(MID(K5,2,1))+1)&amp;")"</f>
        <v>(F)</v>
      </c>
    </row>
    <row r="6" spans="1:15" s="677" customFormat="1">
      <c r="A6" s="689" t="s">
        <v>5</v>
      </c>
      <c r="C6" s="689" t="s">
        <v>685</v>
      </c>
      <c r="E6" s="690" t="s">
        <v>688</v>
      </c>
      <c r="G6" s="690" t="s">
        <v>218</v>
      </c>
      <c r="I6" s="690" t="s">
        <v>689</v>
      </c>
      <c r="K6" s="690" t="s">
        <v>346</v>
      </c>
      <c r="M6" s="690" t="s">
        <v>690</v>
      </c>
    </row>
    <row r="7" spans="1:15">
      <c r="A7" s="676">
        <v>1</v>
      </c>
      <c r="C7" s="678">
        <f>DATE(E62,1,1)</f>
        <v>44562</v>
      </c>
      <c r="E7" s="684">
        <v>3.2500000000000001E-2</v>
      </c>
      <c r="G7" s="673">
        <f>E7/365*DAY(EOMONTH(C7,0))</f>
        <v>2.7602739726027398E-3</v>
      </c>
      <c r="I7" s="682">
        <f>1/12</f>
        <v>8.3333333333333329E-2</v>
      </c>
      <c r="K7" s="682">
        <f>G7*I7</f>
        <v>2.3002283105022831E-4</v>
      </c>
      <c r="M7" s="682">
        <v>0</v>
      </c>
    </row>
    <row r="8" spans="1:15">
      <c r="A8" s="676">
        <f>IF(ISBLANK(I8)=TRUE,"",MAX($A$7:A7)+1)</f>
        <v>2</v>
      </c>
      <c r="C8" s="678">
        <f>EOMONTH(C7,1)</f>
        <v>44620</v>
      </c>
      <c r="E8" s="673">
        <f>E7</f>
        <v>3.2500000000000001E-2</v>
      </c>
      <c r="G8" s="673">
        <f>E8/365*DAY(EOMONTH(C8,0))</f>
        <v>2.4931506849315069E-3</v>
      </c>
      <c r="I8" s="682">
        <f>I7+1/12</f>
        <v>0.16666666666666666</v>
      </c>
      <c r="K8" s="682">
        <f>G8*I8</f>
        <v>4.1552511415525115E-4</v>
      </c>
      <c r="M8" s="682">
        <v>0</v>
      </c>
    </row>
    <row r="9" spans="1:15">
      <c r="A9" s="676">
        <f>IF(ISBLANK(I9)=TRUE,"",MAX($A$7:A8)+1)</f>
        <v>3</v>
      </c>
      <c r="C9" s="678">
        <f t="shared" ref="C9:C17" si="4">EOMONTH(C8,1)</f>
        <v>44651</v>
      </c>
      <c r="E9" s="673">
        <f>E8</f>
        <v>3.2500000000000001E-2</v>
      </c>
      <c r="G9" s="673">
        <f>E9/365*DAY(EOMONTH(C9,0))</f>
        <v>2.7602739726027398E-3</v>
      </c>
      <c r="I9" s="683">
        <f>I8+1/12</f>
        <v>0.25</v>
      </c>
      <c r="K9" s="682">
        <f t="shared" ref="K9:K51" si="5">G9*I9</f>
        <v>6.9006849315068495E-4</v>
      </c>
      <c r="M9" s="682">
        <f>M8+SUM(K7:K9)</f>
        <v>1.3356164383561643E-3</v>
      </c>
    </row>
    <row r="10" spans="1:15">
      <c r="A10" s="676">
        <f>IF(ISBLANK(I10)=TRUE,"",MAX($A$7:A9)+1)</f>
        <v>4</v>
      </c>
      <c r="C10" s="678">
        <f t="shared" si="4"/>
        <v>44681</v>
      </c>
      <c r="E10" s="684">
        <v>3.2500000000000001E-2</v>
      </c>
      <c r="G10" s="673">
        <f t="shared" ref="G10:G18" si="6">E10/365*DAY(EOMONTH(C10,0))</f>
        <v>2.6712328767123285E-3</v>
      </c>
      <c r="I10" s="682">
        <f>I9+1/12+M9</f>
        <v>0.33466894977168948</v>
      </c>
      <c r="K10" s="682">
        <f t="shared" si="5"/>
        <v>8.9397870144492387E-4</v>
      </c>
      <c r="M10" s="682">
        <v>0</v>
      </c>
      <c r="O10" s="679"/>
    </row>
    <row r="11" spans="1:15">
      <c r="A11" s="676">
        <f>IF(ISBLANK(I11)=TRUE,"",MAX($A$7:A10)+1)</f>
        <v>5</v>
      </c>
      <c r="C11" s="678">
        <f t="shared" si="4"/>
        <v>44712</v>
      </c>
      <c r="E11" s="673">
        <f>E10</f>
        <v>3.2500000000000001E-2</v>
      </c>
      <c r="G11" s="673">
        <f t="shared" si="6"/>
        <v>2.7602739726027398E-3</v>
      </c>
      <c r="I11" s="682">
        <f t="shared" ref="I11:I15" si="7">I10+1/12</f>
        <v>0.4180022831050228</v>
      </c>
      <c r="K11" s="682">
        <f t="shared" si="5"/>
        <v>1.1538008225433164E-3</v>
      </c>
      <c r="M11" s="682">
        <v>0</v>
      </c>
    </row>
    <row r="12" spans="1:15">
      <c r="A12" s="676">
        <f>IF(ISBLANK(I12)=TRUE,"",MAX($A$7:A11)+1)</f>
        <v>6</v>
      </c>
      <c r="C12" s="678">
        <f t="shared" si="4"/>
        <v>44742</v>
      </c>
      <c r="E12" s="673">
        <f>E11</f>
        <v>3.2500000000000001E-2</v>
      </c>
      <c r="G12" s="673">
        <f t="shared" si="6"/>
        <v>2.6712328767123285E-3</v>
      </c>
      <c r="I12" s="683">
        <f t="shared" si="7"/>
        <v>0.50133561643835611</v>
      </c>
      <c r="K12" s="682">
        <f t="shared" si="5"/>
        <v>1.3391841808969786E-3</v>
      </c>
      <c r="M12" s="682">
        <f t="shared" ref="M12" si="8">M11+SUM(K10:K12)</f>
        <v>3.386963704885219E-3</v>
      </c>
    </row>
    <row r="13" spans="1:15">
      <c r="A13" s="676">
        <f>IF(ISBLANK(I13)=TRUE,"",MAX($A$7:A12)+1)</f>
        <v>7</v>
      </c>
      <c r="C13" s="678">
        <f t="shared" si="4"/>
        <v>44773</v>
      </c>
      <c r="E13" s="684">
        <v>3.5999999999999997E-2</v>
      </c>
      <c r="G13" s="673">
        <f t="shared" si="6"/>
        <v>3.0575342465753424E-3</v>
      </c>
      <c r="I13" s="682">
        <f t="shared" ref="I13" si="9">I12+1/12+M12</f>
        <v>0.58805591347657471</v>
      </c>
      <c r="K13" s="682">
        <f t="shared" si="5"/>
        <v>1.7980010943557737E-3</v>
      </c>
      <c r="M13" s="682">
        <v>0</v>
      </c>
    </row>
    <row r="14" spans="1:15">
      <c r="A14" s="676">
        <f>IF(ISBLANK(I14)=TRUE,"",MAX($A$7:A13)+1)</f>
        <v>8</v>
      </c>
      <c r="C14" s="678">
        <f t="shared" si="4"/>
        <v>44804</v>
      </c>
      <c r="E14" s="673">
        <f>E13</f>
        <v>3.5999999999999997E-2</v>
      </c>
      <c r="G14" s="673">
        <f t="shared" si="6"/>
        <v>3.0575342465753424E-3</v>
      </c>
      <c r="I14" s="682">
        <f>I13+1/12</f>
        <v>0.67138924680990808</v>
      </c>
      <c r="K14" s="682">
        <f t="shared" si="5"/>
        <v>2.0527956149037187E-3</v>
      </c>
      <c r="M14" s="682">
        <v>0</v>
      </c>
    </row>
    <row r="15" spans="1:15">
      <c r="A15" s="676">
        <f>IF(ISBLANK(I15)=TRUE,"",MAX($A$7:A14)+1)</f>
        <v>9</v>
      </c>
      <c r="C15" s="678">
        <f t="shared" si="4"/>
        <v>44834</v>
      </c>
      <c r="E15" s="673">
        <f>E14</f>
        <v>3.5999999999999997E-2</v>
      </c>
      <c r="G15" s="673">
        <f t="shared" si="6"/>
        <v>2.958904109589041E-3</v>
      </c>
      <c r="I15" s="683">
        <f t="shared" si="7"/>
        <v>0.75472258014324145</v>
      </c>
      <c r="K15" s="682">
        <f t="shared" si="5"/>
        <v>2.2331517439854814E-3</v>
      </c>
      <c r="M15" s="682">
        <f>M14+SUM(K13:K15)</f>
        <v>6.0839484532449733E-3</v>
      </c>
    </row>
    <row r="16" spans="1:15">
      <c r="A16" s="676">
        <f>IF(ISBLANK(I16)=TRUE,"",MAX($A$7:A15)+1)</f>
        <v>10</v>
      </c>
      <c r="C16" s="678">
        <f t="shared" si="4"/>
        <v>44865</v>
      </c>
      <c r="E16" s="684">
        <v>4.9099999999999998E-2</v>
      </c>
      <c r="G16" s="673">
        <f>E16/365*DAY(EOMONTH(C16,0))</f>
        <v>4.1701369863013692E-3</v>
      </c>
      <c r="I16" s="682">
        <f t="shared" ref="I16" si="10">I15+1/12+M15</f>
        <v>0.84413986192981982</v>
      </c>
      <c r="K16" s="682">
        <f t="shared" si="5"/>
        <v>3.5201788598448729E-3</v>
      </c>
      <c r="M16" s="682">
        <v>0</v>
      </c>
    </row>
    <row r="17" spans="1:13">
      <c r="A17" s="676">
        <f>IF(ISBLANK(I17)=TRUE,"",MAX($A$7:A16)+1)</f>
        <v>11</v>
      </c>
      <c r="C17" s="678">
        <f t="shared" si="4"/>
        <v>44895</v>
      </c>
      <c r="E17" s="673">
        <f>E16</f>
        <v>4.9099999999999998E-2</v>
      </c>
      <c r="G17" s="673">
        <f t="shared" si="6"/>
        <v>4.0356164383561636E-3</v>
      </c>
      <c r="I17" s="682">
        <f>I16+1/12</f>
        <v>0.92747319526315319</v>
      </c>
      <c r="K17" s="682">
        <f t="shared" si="5"/>
        <v>3.7429260729386969E-3</v>
      </c>
      <c r="M17" s="682">
        <v>0</v>
      </c>
    </row>
    <row r="18" spans="1:13">
      <c r="A18" s="676">
        <f>IF(ISBLANK(I18)=TRUE,"",MAX($A$7:A17)+1)</f>
        <v>12</v>
      </c>
      <c r="C18" s="678">
        <f>EOMONTH(C17,1)</f>
        <v>44926</v>
      </c>
      <c r="E18" s="673">
        <f>E17</f>
        <v>4.9099999999999998E-2</v>
      </c>
      <c r="G18" s="673">
        <f t="shared" si="6"/>
        <v>4.1701369863013692E-3</v>
      </c>
      <c r="I18" s="683">
        <f>I17+1/12</f>
        <v>1.0108065285964865</v>
      </c>
      <c r="K18" s="682">
        <f t="shared" si="5"/>
        <v>4.2152016908951007E-3</v>
      </c>
      <c r="M18" s="682">
        <f t="shared" ref="M18" si="11">M17+SUM(K16:K18)</f>
        <v>1.1478306623678672E-2</v>
      </c>
    </row>
    <row r="19" spans="1:13">
      <c r="A19" s="676" t="str">
        <f>IF(ISBLANK(I19)=TRUE,"",MAX($A$7:A18)+1)</f>
        <v/>
      </c>
      <c r="C19" s="678"/>
      <c r="I19" s="682"/>
      <c r="K19" s="682"/>
      <c r="M19" s="682"/>
    </row>
    <row r="20" spans="1:13">
      <c r="A20" s="676">
        <f>IF(ISBLANK(I20)=TRUE,"",MAX($A$7:A19)+1)</f>
        <v>13</v>
      </c>
      <c r="C20" s="678"/>
      <c r="G20" s="674" t="s">
        <v>691</v>
      </c>
      <c r="I20" s="682">
        <f>I18+M18</f>
        <v>1.0222848352201652</v>
      </c>
      <c r="K20" s="682"/>
      <c r="M20" s="682"/>
    </row>
    <row r="21" spans="1:13">
      <c r="A21" s="676" t="str">
        <f>IF(ISBLANK(I21)=TRUE,"",MAX($A$7:A20)+1)</f>
        <v/>
      </c>
      <c r="C21" s="678"/>
      <c r="I21" s="682"/>
      <c r="K21" s="682"/>
      <c r="M21" s="682"/>
    </row>
    <row r="22" spans="1:13">
      <c r="A22" s="676">
        <f>IF(ISBLANK(I22)=TRUE,"",MAX($A$7:A21)+1)</f>
        <v>14</v>
      </c>
      <c r="C22" s="678">
        <f>EOMONTH(C18,1)</f>
        <v>44957</v>
      </c>
      <c r="E22" s="684">
        <v>6.3100000000000003E-2</v>
      </c>
      <c r="G22" s="673">
        <f>E22/365*DAY(EOMONTH(C22,0))</f>
        <v>5.3591780821917812E-3</v>
      </c>
      <c r="I22" s="682">
        <f>I20</f>
        <v>1.0222848352201652</v>
      </c>
      <c r="K22" s="682">
        <f>G22*I22</f>
        <v>5.4786064826689461E-3</v>
      </c>
      <c r="M22" s="682">
        <v>0</v>
      </c>
    </row>
    <row r="23" spans="1:13">
      <c r="A23" s="676">
        <f>IF(ISBLANK(I23)=TRUE,"",MAX($A$7:A22)+1)</f>
        <v>15</v>
      </c>
      <c r="C23" s="678">
        <f>EOMONTH(C22,1)</f>
        <v>44985</v>
      </c>
      <c r="E23" s="673">
        <f>E22</f>
        <v>6.3100000000000003E-2</v>
      </c>
      <c r="G23" s="673">
        <f t="shared" ref="G23:G32" si="12">E23/365*DAY(EOMONTH(C23,0))</f>
        <v>4.8405479452054796E-3</v>
      </c>
      <c r="I23" s="682">
        <f>I22</f>
        <v>1.0222848352201652</v>
      </c>
      <c r="K23" s="682">
        <f t="shared" si="5"/>
        <v>4.9484187585396933E-3</v>
      </c>
      <c r="M23" s="682">
        <v>0</v>
      </c>
    </row>
    <row r="24" spans="1:13">
      <c r="A24" s="676">
        <f>IF(ISBLANK(I24)=TRUE,"",MAX($A$7:A23)+1)</f>
        <v>16</v>
      </c>
      <c r="C24" s="678">
        <f t="shared" ref="C24:C33" si="13">EOMONTH(C23,1)</f>
        <v>45016</v>
      </c>
      <c r="E24" s="673">
        <f>E23</f>
        <v>6.3100000000000003E-2</v>
      </c>
      <c r="G24" s="673">
        <f t="shared" si="12"/>
        <v>5.3591780821917812E-3</v>
      </c>
      <c r="I24" s="683">
        <f>I23</f>
        <v>1.0222848352201652</v>
      </c>
      <c r="K24" s="682">
        <f t="shared" si="5"/>
        <v>5.4786064826689461E-3</v>
      </c>
      <c r="M24" s="682">
        <f>M23+SUM(K22:K24)</f>
        <v>1.5905631723877586E-2</v>
      </c>
    </row>
    <row r="25" spans="1:13">
      <c r="A25" s="676">
        <f>IF(ISBLANK(I25)=TRUE,"",MAX($A$7:A24)+1)</f>
        <v>17</v>
      </c>
      <c r="C25" s="678">
        <f t="shared" si="13"/>
        <v>45046</v>
      </c>
      <c r="E25" s="684">
        <v>7.4999999999999997E-2</v>
      </c>
      <c r="G25" s="673">
        <f t="shared" si="12"/>
        <v>6.1643835616438354E-3</v>
      </c>
      <c r="I25" s="682">
        <f>I24+M24</f>
        <v>1.0381904669440427</v>
      </c>
      <c r="K25" s="682">
        <f t="shared" si="5"/>
        <v>6.3998042482851947E-3</v>
      </c>
      <c r="M25" s="682">
        <v>0</v>
      </c>
    </row>
    <row r="26" spans="1:13">
      <c r="A26" s="676">
        <f>IF(ISBLANK(I26)=TRUE,"",MAX($A$7:A25)+1)</f>
        <v>18</v>
      </c>
      <c r="C26" s="678">
        <f t="shared" si="13"/>
        <v>45077</v>
      </c>
      <c r="E26" s="673">
        <f>E25</f>
        <v>7.4999999999999997E-2</v>
      </c>
      <c r="G26" s="673">
        <f t="shared" si="12"/>
        <v>6.3698630136986298E-3</v>
      </c>
      <c r="I26" s="682">
        <f>I25</f>
        <v>1.0381904669440427</v>
      </c>
      <c r="K26" s="682">
        <f t="shared" si="5"/>
        <v>6.613131056561368E-3</v>
      </c>
      <c r="M26" s="682">
        <v>0</v>
      </c>
    </row>
    <row r="27" spans="1:13">
      <c r="A27" s="676">
        <f>IF(ISBLANK(I27)=TRUE,"",MAX($A$7:A26)+1)</f>
        <v>19</v>
      </c>
      <c r="C27" s="678">
        <f t="shared" si="13"/>
        <v>45107</v>
      </c>
      <c r="E27" s="673">
        <f>E26</f>
        <v>7.4999999999999997E-2</v>
      </c>
      <c r="G27" s="673">
        <f>E27/365*DAY(EOMONTH(C27,0))</f>
        <v>6.1643835616438354E-3</v>
      </c>
      <c r="I27" s="683">
        <f t="shared" ref="I27" si="14">I26</f>
        <v>1.0381904669440427</v>
      </c>
      <c r="K27" s="682">
        <f t="shared" si="5"/>
        <v>6.3998042482851947E-3</v>
      </c>
      <c r="M27" s="682">
        <f t="shared" ref="M27" si="15">M26+SUM(K25:K27)</f>
        <v>1.9412739553131757E-2</v>
      </c>
    </row>
    <row r="28" spans="1:13">
      <c r="A28" s="676">
        <f>IF(ISBLANK(I28)=TRUE,"",MAX($A$7:A27)+1)</f>
        <v>20</v>
      </c>
      <c r="C28" s="678">
        <f t="shared" si="13"/>
        <v>45138</v>
      </c>
      <c r="E28" s="684">
        <v>7.4999999999999997E-2</v>
      </c>
      <c r="G28" s="673">
        <f>E28/365*DAY(EOMONTH(C28,0))</f>
        <v>6.3698630136986298E-3</v>
      </c>
      <c r="I28" s="682">
        <f>I27+M27</f>
        <v>1.0576032064971745</v>
      </c>
      <c r="K28" s="682">
        <f t="shared" si="5"/>
        <v>6.7367875482354268E-3</v>
      </c>
      <c r="M28" s="682">
        <v>0</v>
      </c>
    </row>
    <row r="29" spans="1:13">
      <c r="A29" s="676">
        <f>IF(ISBLANK(I29)=TRUE,"",MAX($A$7:A28)+1)</f>
        <v>21</v>
      </c>
      <c r="C29" s="678">
        <f t="shared" si="13"/>
        <v>45169</v>
      </c>
      <c r="E29" s="673">
        <f>E28</f>
        <v>7.4999999999999997E-2</v>
      </c>
      <c r="G29" s="673">
        <f>E29/365*DAY(EOMONTH(C29,0))</f>
        <v>6.3698630136986298E-3</v>
      </c>
      <c r="I29" s="682">
        <f>I28</f>
        <v>1.0576032064971745</v>
      </c>
      <c r="K29" s="682">
        <f>G29*I29</f>
        <v>6.7367875482354268E-3</v>
      </c>
      <c r="M29" s="682">
        <v>0</v>
      </c>
    </row>
    <row r="30" spans="1:13">
      <c r="A30" s="676">
        <f>IF(ISBLANK(I30)=TRUE,"",MAX($A$7:A29)+1)</f>
        <v>22</v>
      </c>
      <c r="C30" s="678">
        <f t="shared" si="13"/>
        <v>45199</v>
      </c>
      <c r="E30" s="682">
        <f>E29</f>
        <v>7.4999999999999997E-2</v>
      </c>
      <c r="G30" s="682">
        <f>E30/365*DAY(EOMONTH(C30,0))</f>
        <v>6.1643835616438354E-3</v>
      </c>
      <c r="I30" s="683">
        <f t="shared" ref="I30" si="16">I29</f>
        <v>1.0576032064971745</v>
      </c>
      <c r="K30" s="682">
        <f>G30*I30</f>
        <v>6.5194718208729935E-3</v>
      </c>
      <c r="M30" s="682">
        <f>M29+SUM(K28:K30)</f>
        <v>1.9993046917343847E-2</v>
      </c>
    </row>
    <row r="31" spans="1:13">
      <c r="A31" s="676">
        <f>IF(ISBLANK(I31)=TRUE,"",MAX($A$7:A30)+1)</f>
        <v>23</v>
      </c>
      <c r="C31" s="678">
        <f>EOMONTH(C30,1)</f>
        <v>45230</v>
      </c>
      <c r="E31" s="684">
        <v>7.4999999999999997E-2</v>
      </c>
      <c r="G31" s="682">
        <f>E31/365*DAY(EOMONTH(C31,0))</f>
        <v>6.3698630136986298E-3</v>
      </c>
      <c r="I31" s="682">
        <f>I30+M30</f>
        <v>1.0775962534145185</v>
      </c>
      <c r="K31" s="682">
        <f>G31*I31</f>
        <v>6.8641405183253569E-3</v>
      </c>
      <c r="M31" s="682">
        <v>0</v>
      </c>
    </row>
    <row r="32" spans="1:13">
      <c r="A32" s="676">
        <f>IF(ISBLANK(I32)=TRUE,"",MAX($A$7:A31)+1)</f>
        <v>24</v>
      </c>
      <c r="C32" s="678">
        <f t="shared" si="13"/>
        <v>45260</v>
      </c>
      <c r="E32" s="682">
        <f>E31</f>
        <v>7.4999999999999997E-2</v>
      </c>
      <c r="G32" s="682">
        <f t="shared" si="12"/>
        <v>6.1643835616438354E-3</v>
      </c>
      <c r="I32" s="682">
        <f t="shared" ref="I32:I33" si="17">I31</f>
        <v>1.0775962534145185</v>
      </c>
      <c r="K32" s="682">
        <f t="shared" si="5"/>
        <v>6.6427166306374423E-3</v>
      </c>
      <c r="M32" s="682">
        <v>0</v>
      </c>
    </row>
    <row r="33" spans="1:15">
      <c r="A33" s="676">
        <f>IF(ISBLANK(I33)=TRUE,"",MAX($A$7:A32)+1)</f>
        <v>25</v>
      </c>
      <c r="C33" s="678">
        <f t="shared" si="13"/>
        <v>45291</v>
      </c>
      <c r="E33" s="682">
        <f>E32</f>
        <v>7.4999999999999997E-2</v>
      </c>
      <c r="G33" s="682">
        <f>E33/365*DAY(EOMONTH(C33,0))</f>
        <v>6.3698630136986298E-3</v>
      </c>
      <c r="I33" s="683">
        <f t="shared" si="17"/>
        <v>1.0775962534145185</v>
      </c>
      <c r="K33" s="682">
        <f t="shared" si="5"/>
        <v>6.8641405183253569E-3</v>
      </c>
      <c r="M33" s="682">
        <f t="shared" ref="M33" si="18">M32+SUM(K31:K33)</f>
        <v>2.0370997667288157E-2</v>
      </c>
    </row>
    <row r="34" spans="1:15">
      <c r="A34" s="676" t="str">
        <f>IF(ISBLANK(I34)=TRUE,"",MAX($A$7:A33)+1)</f>
        <v/>
      </c>
      <c r="C34" s="678"/>
      <c r="I34" s="682"/>
      <c r="J34" s="682"/>
      <c r="K34" s="682"/>
      <c r="M34" s="682"/>
    </row>
    <row r="35" spans="1:15">
      <c r="A35" s="676">
        <f>IF(ISBLANK(I35)=TRUE,"",MAX($A$7:A34)+1)</f>
        <v>26</v>
      </c>
      <c r="C35" s="678"/>
      <c r="G35" s="674" t="s">
        <v>692</v>
      </c>
      <c r="I35" s="682">
        <f>I33+M33</f>
        <v>1.0979672510818066</v>
      </c>
      <c r="K35" s="682"/>
      <c r="M35" s="682"/>
    </row>
    <row r="36" spans="1:15">
      <c r="A36" s="676" t="str">
        <f>IF(ISBLANK(I36)=TRUE,"",MAX($A$7:A35)+1)</f>
        <v/>
      </c>
      <c r="C36" s="678"/>
      <c r="G36" s="674"/>
      <c r="I36" s="682"/>
      <c r="K36" s="682"/>
      <c r="M36" s="682"/>
      <c r="N36" s="680"/>
    </row>
    <row r="37" spans="1:15">
      <c r="A37" s="676">
        <f>IF(ISBLANK(I37)=TRUE,"",MAX($A$7:A36)+1)</f>
        <v>27</v>
      </c>
      <c r="C37" s="678"/>
      <c r="G37" s="674" t="s">
        <v>693</v>
      </c>
      <c r="I37" s="682">
        <f>I35/12</f>
        <v>9.1497270923483878E-2</v>
      </c>
      <c r="K37" s="682"/>
      <c r="M37" s="682"/>
    </row>
    <row r="38" spans="1:15">
      <c r="A38" s="676">
        <f>IF(ISBLANK(I38)=TRUE,"",MAX($A$7:A37)+1)</f>
        <v>28</v>
      </c>
      <c r="C38" s="678"/>
      <c r="E38" s="682"/>
      <c r="G38" s="844" t="s">
        <v>694</v>
      </c>
      <c r="H38" s="845" t="s">
        <v>686</v>
      </c>
      <c r="I38" s="684">
        <v>3.0034852756648522E-3</v>
      </c>
      <c r="K38" s="682" t="s">
        <v>1030</v>
      </c>
      <c r="M38" s="682"/>
      <c r="O38" s="953"/>
    </row>
    <row r="39" spans="1:15">
      <c r="A39" s="676">
        <f>IF(ISBLANK(I39)=TRUE,"",MAX($A$7:A38)+1)</f>
        <v>29</v>
      </c>
      <c r="C39" s="678"/>
      <c r="G39" s="674" t="s">
        <v>695</v>
      </c>
      <c r="I39" s="682">
        <f>SUM(I37:I38)</f>
        <v>9.450075619914873E-2</v>
      </c>
      <c r="K39" s="682"/>
      <c r="M39" s="682"/>
    </row>
    <row r="40" spans="1:15">
      <c r="A40" s="676" t="str">
        <f>IF(ISBLANK(I40)=TRUE,"",MAX($A$7:A39)+1)</f>
        <v/>
      </c>
      <c r="C40" s="678"/>
      <c r="I40" s="682"/>
      <c r="K40" s="682"/>
      <c r="M40" s="682"/>
    </row>
    <row r="41" spans="1:15">
      <c r="A41" s="676">
        <f>IF(ISBLANK(I41)=TRUE,"",MAX($A$7:A40)+1)</f>
        <v>30</v>
      </c>
      <c r="C41" s="678">
        <f>EOMONTH(C33,1)</f>
        <v>45322</v>
      </c>
      <c r="E41" s="682">
        <f>$E$31</f>
        <v>7.4999999999999997E-2</v>
      </c>
      <c r="G41" s="673">
        <f>E41/365*DAY(EOMONTH(C41,0))</f>
        <v>6.3698630136986298E-3</v>
      </c>
      <c r="I41" s="682">
        <f>$I$35-($I$39*A7)</f>
        <v>1.0034664948826579</v>
      </c>
      <c r="K41" s="682">
        <f>G41*I41</f>
        <v>6.3919441112388481E-3</v>
      </c>
      <c r="M41" s="682">
        <v>0</v>
      </c>
    </row>
    <row r="42" spans="1:15">
      <c r="A42" s="676">
        <f>IF(ISBLANK(I42)=TRUE,"",MAX($A$7:A41)+1)</f>
        <v>31</v>
      </c>
      <c r="C42" s="678">
        <f>EOMONTH(C41,1)</f>
        <v>45351</v>
      </c>
      <c r="E42" s="682">
        <f>E41</f>
        <v>7.4999999999999997E-2</v>
      </c>
      <c r="G42" s="673">
        <f>E42/365*DAY(EOMONTH(C42,0))</f>
        <v>5.9589041095890411E-3</v>
      </c>
      <c r="I42" s="682">
        <f>I41-$I$39</f>
        <v>0.90896573868350916</v>
      </c>
      <c r="K42" s="682">
        <f t="shared" si="5"/>
        <v>5.4164396757168014E-3</v>
      </c>
      <c r="M42" s="682">
        <v>0</v>
      </c>
    </row>
    <row r="43" spans="1:15">
      <c r="A43" s="676">
        <f>IF(ISBLANK(I43)=TRUE,"",MAX($A$7:A42)+1)</f>
        <v>32</v>
      </c>
      <c r="C43" s="678">
        <f t="shared" ref="C43:C52" si="19">EOMONTH(C42,1)</f>
        <v>45382</v>
      </c>
      <c r="E43" s="682">
        <f t="shared" ref="E43:E52" si="20">E42</f>
        <v>7.4999999999999997E-2</v>
      </c>
      <c r="G43" s="673">
        <f t="shared" ref="G43:G52" si="21">E43/365*DAY(EOMONTH(C43,0))</f>
        <v>6.3698630136986298E-3</v>
      </c>
      <c r="I43" s="683">
        <f t="shared" ref="I43:I52" si="22">I42-$I$39</f>
        <v>0.81446498248436039</v>
      </c>
      <c r="K43" s="682">
        <f t="shared" si="5"/>
        <v>5.1880303678798296E-3</v>
      </c>
      <c r="M43" s="682">
        <f>M42+SUM(K41:K43)</f>
        <v>1.6996414154835479E-2</v>
      </c>
      <c r="O43" s="681"/>
    </row>
    <row r="44" spans="1:15">
      <c r="A44" s="676">
        <f>IF(ISBLANK(I44)=TRUE,"",MAX($A$7:A43)+1)</f>
        <v>33</v>
      </c>
      <c r="C44" s="678">
        <f t="shared" si="19"/>
        <v>45412</v>
      </c>
      <c r="E44" s="682">
        <f>E43</f>
        <v>7.4999999999999997E-2</v>
      </c>
      <c r="G44" s="673">
        <f t="shared" si="21"/>
        <v>6.1643835616438354E-3</v>
      </c>
      <c r="I44" s="682">
        <f>I43-$I$39+M43</f>
        <v>0.73696064044004705</v>
      </c>
      <c r="K44" s="682">
        <f t="shared" si="5"/>
        <v>4.5429080575071388E-3</v>
      </c>
      <c r="M44" s="682">
        <v>0</v>
      </c>
    </row>
    <row r="45" spans="1:15">
      <c r="A45" s="676">
        <f>IF(ISBLANK(I45)=TRUE,"",MAX($A$7:A44)+1)</f>
        <v>34</v>
      </c>
      <c r="C45" s="678">
        <f t="shared" si="19"/>
        <v>45443</v>
      </c>
      <c r="E45" s="682">
        <f>E44</f>
        <v>7.4999999999999997E-2</v>
      </c>
      <c r="G45" s="673">
        <f t="shared" si="21"/>
        <v>6.3698630136986298E-3</v>
      </c>
      <c r="I45" s="682">
        <f t="shared" ref="I45" si="23">I44-$I$39</f>
        <v>0.64245988424089828</v>
      </c>
      <c r="K45" s="682">
        <f t="shared" si="5"/>
        <v>4.0923814544112013E-3</v>
      </c>
      <c r="M45" s="682">
        <v>0</v>
      </c>
    </row>
    <row r="46" spans="1:15">
      <c r="A46" s="676">
        <f>IF(ISBLANK(I46)=TRUE,"",MAX($A$7:A45)+1)</f>
        <v>35</v>
      </c>
      <c r="C46" s="678">
        <f t="shared" si="19"/>
        <v>45473</v>
      </c>
      <c r="E46" s="682">
        <f>E45</f>
        <v>7.4999999999999997E-2</v>
      </c>
      <c r="G46" s="673">
        <f t="shared" si="21"/>
        <v>6.1643835616438354E-3</v>
      </c>
      <c r="I46" s="683">
        <f t="shared" si="22"/>
        <v>0.54795912804174951</v>
      </c>
      <c r="K46" s="682">
        <f t="shared" si="5"/>
        <v>3.3778302413532504E-3</v>
      </c>
      <c r="M46" s="682">
        <f t="shared" ref="M46" si="24">M45+SUM(K44:K46)</f>
        <v>1.201311975327159E-2</v>
      </c>
      <c r="O46" s="681"/>
    </row>
    <row r="47" spans="1:15">
      <c r="A47" s="676">
        <f>IF(ISBLANK(I47)=TRUE,"",MAX($A$7:A46)+1)</f>
        <v>36</v>
      </c>
      <c r="C47" s="678">
        <f t="shared" si="19"/>
        <v>45504</v>
      </c>
      <c r="E47" s="682">
        <f>E46</f>
        <v>7.4999999999999997E-2</v>
      </c>
      <c r="G47" s="673">
        <f t="shared" si="21"/>
        <v>6.3698630136986298E-3</v>
      </c>
      <c r="I47" s="682">
        <f t="shared" ref="I47" si="25">I46-$I$39+M46</f>
        <v>0.46547149159587237</v>
      </c>
      <c r="K47" s="682">
        <f t="shared" si="5"/>
        <v>2.9649896382476799E-3</v>
      </c>
      <c r="M47" s="682">
        <v>0</v>
      </c>
    </row>
    <row r="48" spans="1:15">
      <c r="A48" s="676">
        <f>IF(ISBLANK(I48)=TRUE,"",MAX($A$7:A47)+1)</f>
        <v>37</v>
      </c>
      <c r="C48" s="678">
        <f t="shared" si="19"/>
        <v>45535</v>
      </c>
      <c r="E48" s="682">
        <f>E47</f>
        <v>7.4999999999999997E-2</v>
      </c>
      <c r="G48" s="673">
        <f t="shared" si="21"/>
        <v>6.3698630136986298E-3</v>
      </c>
      <c r="I48" s="682">
        <f t="shared" ref="I48" si="26">I47-$I$39</f>
        <v>0.37097073539672365</v>
      </c>
      <c r="K48" s="682">
        <f t="shared" si="5"/>
        <v>2.3630327665681711E-3</v>
      </c>
      <c r="M48" s="682">
        <v>0</v>
      </c>
    </row>
    <row r="49" spans="1:15">
      <c r="A49" s="676">
        <f>IF(ISBLANK(I49)=TRUE,"",MAX($A$7:A48)+1)</f>
        <v>38</v>
      </c>
      <c r="C49" s="678">
        <f t="shared" si="19"/>
        <v>45565</v>
      </c>
      <c r="E49" s="682">
        <f t="shared" si="20"/>
        <v>7.4999999999999997E-2</v>
      </c>
      <c r="G49" s="673">
        <f t="shared" si="21"/>
        <v>6.1643835616438354E-3</v>
      </c>
      <c r="I49" s="683">
        <f t="shared" si="22"/>
        <v>0.27646997919757493</v>
      </c>
      <c r="K49" s="682">
        <f t="shared" si="5"/>
        <v>1.704266995053544E-3</v>
      </c>
      <c r="M49" s="682">
        <f t="shared" ref="M49" si="27">M48+SUM(K47:K49)</f>
        <v>7.0322893998693951E-3</v>
      </c>
      <c r="O49" s="681"/>
    </row>
    <row r="50" spans="1:15">
      <c r="A50" s="676">
        <f>IF(ISBLANK(I50)=TRUE,"",MAX($A$7:A49)+1)</f>
        <v>39</v>
      </c>
      <c r="C50" s="678">
        <f t="shared" si="19"/>
        <v>45596</v>
      </c>
      <c r="E50" s="682">
        <f t="shared" si="20"/>
        <v>7.4999999999999997E-2</v>
      </c>
      <c r="G50" s="673">
        <f t="shared" si="21"/>
        <v>6.3698630136986298E-3</v>
      </c>
      <c r="I50" s="682">
        <f t="shared" ref="I50" si="28">I49-$I$39+M49</f>
        <v>0.1890015123982956</v>
      </c>
      <c r="K50" s="682">
        <f t="shared" si="5"/>
        <v>1.2039137433590061E-3</v>
      </c>
      <c r="M50" s="682">
        <v>0</v>
      </c>
    </row>
    <row r="51" spans="1:15">
      <c r="A51" s="676">
        <f>IF(ISBLANK(I51)=TRUE,"",MAX($A$7:A50)+1)</f>
        <v>40</v>
      </c>
      <c r="C51" s="678">
        <f t="shared" si="19"/>
        <v>45626</v>
      </c>
      <c r="E51" s="682">
        <f t="shared" si="20"/>
        <v>7.4999999999999997E-2</v>
      </c>
      <c r="G51" s="673">
        <f t="shared" si="21"/>
        <v>6.1643835616438354E-3</v>
      </c>
      <c r="I51" s="682">
        <f t="shared" ref="I51" si="29">I50-$I$39</f>
        <v>9.4500756199146871E-2</v>
      </c>
      <c r="K51" s="682">
        <f t="shared" si="5"/>
        <v>5.8253890807693273E-4</v>
      </c>
      <c r="M51" s="682">
        <v>0</v>
      </c>
    </row>
    <row r="52" spans="1:15">
      <c r="A52" s="676">
        <f>IF(ISBLANK(I52)=TRUE,"",MAX($A$7:A51)+1)</f>
        <v>41</v>
      </c>
      <c r="C52" s="678">
        <f t="shared" si="19"/>
        <v>45657</v>
      </c>
      <c r="E52" s="682">
        <f t="shared" si="20"/>
        <v>7.4999999999999997E-2</v>
      </c>
      <c r="G52" s="673">
        <f t="shared" si="21"/>
        <v>6.3698630136986298E-3</v>
      </c>
      <c r="I52" s="683">
        <f t="shared" si="22"/>
        <v>-1.8596235662471372E-15</v>
      </c>
      <c r="K52" s="682">
        <f>G52*I52</f>
        <v>-1.1845547374039983E-17</v>
      </c>
      <c r="M52" s="682">
        <f>M51+SUM(K50:K52)</f>
        <v>1.7864526514359269E-3</v>
      </c>
      <c r="O52" s="681"/>
    </row>
    <row r="53" spans="1:15">
      <c r="A53" s="676" t="str">
        <f>IF(ISBLANK(I53)=TRUE,"",MAX($A$7:A52)+1)</f>
        <v/>
      </c>
      <c r="I53" s="682"/>
      <c r="J53" s="682"/>
      <c r="K53" s="682"/>
      <c r="M53" s="682"/>
    </row>
    <row r="54" spans="1:15">
      <c r="A54" s="676">
        <f>IF(ISBLANK(I54)=TRUE,"",MAX($A$7:A53)+1)</f>
        <v>42</v>
      </c>
      <c r="G54" s="674" t="s">
        <v>696</v>
      </c>
      <c r="I54" s="682">
        <f>I52+M52</f>
        <v>1.7864526514340673E-3</v>
      </c>
      <c r="K54" s="682"/>
      <c r="M54" s="682"/>
      <c r="O54" s="681"/>
    </row>
    <row r="55" spans="1:15">
      <c r="A55" s="676" t="str">
        <f>IF(ISBLANK(I55)=TRUE,"",MAX($A$7:A54)+1)</f>
        <v/>
      </c>
      <c r="I55" s="682"/>
      <c r="K55" s="682"/>
      <c r="M55" s="682"/>
    </row>
    <row r="56" spans="1:15">
      <c r="A56" s="676">
        <f>IF(ISBLANK(I56)=TRUE,"",MAX($A$7:A55)+1)</f>
        <v>43</v>
      </c>
      <c r="G56" s="674" t="s">
        <v>697</v>
      </c>
      <c r="I56" s="682">
        <f>I39*12</f>
        <v>1.1340090743897848</v>
      </c>
      <c r="K56" s="682"/>
      <c r="M56" s="682"/>
    </row>
    <row r="57" spans="1:15">
      <c r="A57" s="676">
        <f>IF(ISBLANK(I57)=TRUE,"",MAX($A$7:A56)+1)</f>
        <v>44</v>
      </c>
      <c r="G57" s="674" t="s">
        <v>698</v>
      </c>
      <c r="H57" s="675" t="s">
        <v>641</v>
      </c>
      <c r="I57" s="683">
        <v>1</v>
      </c>
      <c r="K57" s="682"/>
      <c r="M57" s="682"/>
    </row>
    <row r="58" spans="1:15">
      <c r="A58" s="676">
        <f>IF(ISBLANK(I58)=TRUE,"",MAX($A$7:A57)+1)</f>
        <v>45</v>
      </c>
      <c r="G58" s="674" t="s">
        <v>699</v>
      </c>
      <c r="I58" s="682">
        <f>I56-I57</f>
        <v>0.13400907438978482</v>
      </c>
      <c r="K58" s="682"/>
      <c r="M58" s="682"/>
    </row>
    <row r="59" spans="1:15">
      <c r="A59" s="676" t="str">
        <f>IF(ISBLANK(I59)=TRUE,"",MAX($A$7:A58)+1)</f>
        <v/>
      </c>
    </row>
    <row r="60" spans="1:15">
      <c r="A60" s="676" t="str">
        <f>IF(ISBLANK(I60)=TRUE,"",MAX($A$7:A59)+1)</f>
        <v/>
      </c>
    </row>
    <row r="61" spans="1:15">
      <c r="A61" s="676">
        <f>IF(ISBLANK(G61)=TRUE,"",MAX($A$7:A60)+1)</f>
        <v>46</v>
      </c>
      <c r="C61" s="682"/>
      <c r="E61" s="682"/>
      <c r="G61" s="688" t="s">
        <v>795</v>
      </c>
      <c r="H61" s="688"/>
      <c r="I61" s="807">
        <f>'Attachment 13b - PJM Billings'!L37</f>
        <v>21351855.014312804</v>
      </c>
      <c r="J61" s="808"/>
      <c r="K61" s="693"/>
      <c r="L61" s="673"/>
      <c r="M61" s="675"/>
    </row>
    <row r="62" spans="1:15">
      <c r="A62" s="676">
        <f>IF(ISBLANK(G62)=TRUE,"",MAX($A$7:A61)+1)</f>
        <v>47</v>
      </c>
      <c r="B62" s="685"/>
      <c r="C62" s="685"/>
      <c r="E62" s="691">
        <v>2022</v>
      </c>
      <c r="G62" s="688" t="s">
        <v>914</v>
      </c>
      <c r="H62" s="694" t="s">
        <v>641</v>
      </c>
      <c r="I62" s="576">
        <f>'Attachment 12 - TEC True-up'!I34</f>
        <v>24589982.644380283</v>
      </c>
      <c r="J62" s="809"/>
      <c r="K62" s="693"/>
      <c r="L62" s="673"/>
      <c r="M62" s="675"/>
    </row>
    <row r="63" spans="1:15">
      <c r="A63" s="676">
        <f>IF(ISBLANK(G63)=TRUE,"",MAX($A$7:A62)+1)</f>
        <v>48</v>
      </c>
      <c r="C63" s="686"/>
      <c r="E63" s="686"/>
      <c r="G63" s="688" t="s">
        <v>700</v>
      </c>
      <c r="H63" s="688"/>
      <c r="I63" s="804">
        <f>I61-I62</f>
        <v>-3238127.6300674789</v>
      </c>
      <c r="J63" s="810"/>
      <c r="K63" s="693"/>
      <c r="L63" s="673"/>
      <c r="M63" s="675"/>
    </row>
    <row r="64" spans="1:15">
      <c r="A64" s="676">
        <f>IF(ISBLANK(G64)=TRUE,"",MAX($A$7:A63)+1)</f>
        <v>49</v>
      </c>
      <c r="C64" s="686"/>
      <c r="E64" s="687"/>
      <c r="G64" s="688" t="str">
        <f>"Interest (Line "&amp;A58&amp;" "&amp;CHAR(215)&amp;" Line "&amp;A63&amp;"):"</f>
        <v>Interest (Line 45 × Line 48):</v>
      </c>
      <c r="H64" s="694" t="s">
        <v>686</v>
      </c>
      <c r="I64" s="805">
        <f>I58*I63</f>
        <v>-433938.48646133038</v>
      </c>
      <c r="J64" s="810"/>
      <c r="K64" s="693"/>
      <c r="L64" s="673"/>
      <c r="M64" s="675"/>
    </row>
    <row r="65" spans="1:13" ht="16.2" thickBot="1">
      <c r="A65" s="676">
        <f>IF(ISBLANK(G65)=TRUE,"",MAX($A$7:A64)+1)</f>
        <v>50</v>
      </c>
      <c r="C65" s="686"/>
      <c r="E65" s="686"/>
      <c r="G65" s="688" t="s">
        <v>701</v>
      </c>
      <c r="H65" s="688"/>
      <c r="I65" s="806">
        <f>I63+I64</f>
        <v>-3672066.1165288091</v>
      </c>
      <c r="J65" s="810"/>
      <c r="K65" s="693"/>
      <c r="L65" s="673"/>
      <c r="M65" s="675"/>
    </row>
    <row r="66" spans="1:13" ht="16.2" thickTop="1">
      <c r="E66" s="686"/>
      <c r="G66" s="686"/>
    </row>
    <row r="67" spans="1:13">
      <c r="B67" s="692"/>
      <c r="C67" s="692" t="s">
        <v>153</v>
      </c>
      <c r="E67" s="686"/>
      <c r="G67" s="686"/>
    </row>
    <row r="68" spans="1:13" ht="15.75" customHeight="1">
      <c r="C68" s="891" t="s">
        <v>891</v>
      </c>
      <c r="D68" s="891"/>
      <c r="E68" s="891"/>
      <c r="F68" s="891"/>
      <c r="G68" s="891"/>
      <c r="H68" s="891"/>
      <c r="I68" s="891"/>
      <c r="J68" s="891"/>
      <c r="K68" s="891"/>
      <c r="L68" s="891"/>
    </row>
    <row r="69" spans="1:13" ht="15.6" customHeight="1">
      <c r="C69" s="1018" t="s">
        <v>899</v>
      </c>
      <c r="D69" s="1018"/>
      <c r="E69" s="1018"/>
      <c r="F69" s="1018"/>
      <c r="G69" s="1018"/>
      <c r="H69" s="1018"/>
      <c r="I69" s="1018"/>
      <c r="J69" s="1018"/>
      <c r="K69" s="1018"/>
      <c r="L69" s="1018"/>
      <c r="M69" s="1018"/>
    </row>
    <row r="70" spans="1:13">
      <c r="C70" s="1018"/>
      <c r="D70" s="1018"/>
      <c r="E70" s="1018"/>
      <c r="F70" s="1018"/>
      <c r="G70" s="1018"/>
      <c r="H70" s="1018"/>
      <c r="I70" s="1018"/>
      <c r="J70" s="1018"/>
      <c r="K70" s="1018"/>
      <c r="L70" s="1018"/>
      <c r="M70" s="1018"/>
    </row>
    <row r="71" spans="1:13">
      <c r="C71" s="1018"/>
      <c r="D71" s="1018"/>
      <c r="E71" s="1018"/>
      <c r="F71" s="1018"/>
      <c r="G71" s="1018"/>
      <c r="H71" s="1018"/>
      <c r="I71" s="1018"/>
      <c r="J71" s="1018"/>
      <c r="K71" s="1018"/>
      <c r="L71" s="1018"/>
      <c r="M71" s="1018"/>
    </row>
    <row r="72" spans="1:13">
      <c r="C72" s="1018"/>
      <c r="D72" s="1018"/>
      <c r="E72" s="1018"/>
      <c r="F72" s="1018"/>
      <c r="G72" s="1018"/>
      <c r="H72" s="1018"/>
      <c r="I72" s="1018"/>
      <c r="J72" s="1018"/>
      <c r="K72" s="1018"/>
      <c r="L72" s="1018"/>
      <c r="M72" s="1018"/>
    </row>
    <row r="73" spans="1:13">
      <c r="C73" s="1018"/>
      <c r="D73" s="1018"/>
      <c r="E73" s="1018"/>
      <c r="F73" s="1018"/>
      <c r="G73" s="1018"/>
      <c r="H73" s="1018"/>
      <c r="I73" s="1018"/>
      <c r="J73" s="1018"/>
      <c r="K73" s="1018"/>
      <c r="L73" s="1018"/>
      <c r="M73" s="1018"/>
    </row>
    <row r="74" spans="1:13">
      <c r="C74" s="1018"/>
      <c r="D74" s="1018"/>
      <c r="E74" s="1018"/>
      <c r="F74" s="1018"/>
      <c r="G74" s="1018"/>
      <c r="H74" s="1018"/>
      <c r="I74" s="1018"/>
      <c r="J74" s="1018"/>
      <c r="K74" s="1018"/>
      <c r="L74" s="1018"/>
      <c r="M74" s="1018"/>
    </row>
    <row r="75" spans="1:13">
      <c r="C75" s="891" t="s">
        <v>977</v>
      </c>
      <c r="E75" s="798"/>
      <c r="F75" s="798"/>
      <c r="G75" s="798"/>
      <c r="H75" s="798"/>
      <c r="I75" s="798"/>
      <c r="K75" s="682"/>
      <c r="M75" s="682"/>
    </row>
    <row r="76" spans="1:13">
      <c r="E76" s="798"/>
      <c r="F76" s="798"/>
      <c r="G76" s="798"/>
      <c r="H76" s="798"/>
      <c r="I76" s="798"/>
    </row>
    <row r="77" spans="1:13">
      <c r="E77" s="798"/>
      <c r="F77" s="798"/>
      <c r="G77" s="798"/>
      <c r="H77" s="798"/>
      <c r="I77" s="798"/>
    </row>
    <row r="78" spans="1:13">
      <c r="E78" s="798"/>
      <c r="F78" s="798"/>
      <c r="G78" s="798"/>
      <c r="H78" s="798"/>
      <c r="I78" s="798"/>
    </row>
    <row r="79" spans="1:13">
      <c r="E79" s="798"/>
      <c r="F79" s="798"/>
      <c r="G79" s="798"/>
      <c r="H79" s="798"/>
      <c r="I79" s="798"/>
    </row>
    <row r="80" spans="1:13">
      <c r="E80" s="798"/>
      <c r="F80" s="798"/>
      <c r="G80" s="798"/>
      <c r="H80" s="798"/>
      <c r="I80" s="798"/>
    </row>
    <row r="81" spans="5:9">
      <c r="E81" s="798"/>
      <c r="F81" s="798"/>
      <c r="G81" s="798"/>
      <c r="H81" s="798"/>
      <c r="I81" s="798"/>
    </row>
    <row r="82" spans="5:9">
      <c r="E82" s="798"/>
      <c r="F82" s="798"/>
      <c r="G82" s="798"/>
      <c r="H82" s="798"/>
      <c r="I82" s="798"/>
    </row>
    <row r="83" spans="5:9">
      <c r="E83" s="798"/>
      <c r="F83" s="798"/>
      <c r="G83" s="798"/>
      <c r="H83" s="798"/>
      <c r="I83" s="798"/>
    </row>
    <row r="84" spans="5:9">
      <c r="E84" s="798"/>
      <c r="F84" s="798"/>
      <c r="G84" s="798"/>
      <c r="H84" s="798"/>
      <c r="I84" s="798"/>
    </row>
  </sheetData>
  <mergeCells count="1">
    <mergeCell ref="C69:M74"/>
  </mergeCells>
  <pageMargins left="0.25" right="0.25" top="0.75" bottom="0.75" header="0.3" footer="0.3"/>
  <pageSetup scale="58" orientation="portrait" r:id="rId1"/>
  <headerFooter>
    <oddHeader xml:space="preserve">&amp;R&amp;"Times New Roman,Regular"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pageSetUpPr fitToPage="1"/>
  </sheetPr>
  <dimension ref="B1:Y105"/>
  <sheetViews>
    <sheetView zoomScale="70" zoomScaleNormal="70" zoomScalePageLayoutView="70" workbookViewId="0">
      <selection activeCell="O22" sqref="O22"/>
    </sheetView>
  </sheetViews>
  <sheetFormatPr defaultColWidth="8.81640625" defaultRowHeight="15.6"/>
  <cols>
    <col min="1" max="1" width="1.453125" style="1" customWidth="1"/>
    <col min="2" max="2" width="4.26953125" style="568" bestFit="1" customWidth="1"/>
    <col min="3" max="3" width="1.453125" style="1" customWidth="1"/>
    <col min="4" max="4" width="8.81640625" style="16"/>
    <col min="5" max="5" width="1.453125" style="1" customWidth="1"/>
    <col min="6" max="6" width="18.81640625" style="573" customWidth="1"/>
    <col min="7" max="7" width="1.453125" style="1" customWidth="1"/>
    <col min="8" max="8" width="12.26953125" style="573" bestFit="1" customWidth="1"/>
    <col min="9" max="9" width="1.453125" style="1" customWidth="1"/>
    <col min="10" max="10" width="12.26953125" style="573" bestFit="1" customWidth="1"/>
    <col min="11" max="11" width="1.453125" style="1" customWidth="1"/>
    <col min="12" max="12" width="14.26953125" style="573" customWidth="1"/>
    <col min="13" max="14" width="8.81640625" style="1"/>
    <col min="15" max="15" width="13.453125" style="1" bestFit="1" customWidth="1"/>
    <col min="16" max="16384" width="8.81640625" style="1"/>
  </cols>
  <sheetData>
    <row r="1" spans="2:24">
      <c r="J1" s="675" t="s">
        <v>983</v>
      </c>
      <c r="K1" s="675"/>
      <c r="L1" s="675"/>
    </row>
    <row r="2" spans="2:24">
      <c r="J2" s="675" t="s">
        <v>144</v>
      </c>
      <c r="K2" s="675"/>
      <c r="L2" s="675"/>
    </row>
    <row r="3" spans="2:24">
      <c r="J3" s="675" t="str">
        <f>'Attachment 13a - TEC True-Up'!K3</f>
        <v>For the 12 months ended 12/31/2022</v>
      </c>
      <c r="K3" s="675"/>
      <c r="L3" s="675"/>
    </row>
    <row r="5" spans="2:24">
      <c r="D5" s="624" t="s">
        <v>627</v>
      </c>
      <c r="E5" s="604"/>
      <c r="F5" s="624" t="str">
        <f>"("&amp;CHAR(CODE(MID(D5,2,1))+1)&amp;")"</f>
        <v>(B)</v>
      </c>
      <c r="H5" s="624" t="str">
        <f t="shared" ref="H5" si="0">"("&amp;CHAR(CODE(MID(F5,2,1))+1)&amp;")"</f>
        <v>(C)</v>
      </c>
      <c r="J5" s="624" t="str">
        <f t="shared" ref="J5" si="1">"("&amp;CHAR(CODE(MID(H5,2,1))+1)&amp;")"</f>
        <v>(D)</v>
      </c>
      <c r="L5" s="624" t="str">
        <f>"("&amp;CHAR(CODE(MID(J5,2,1))+1)&amp;")"</f>
        <v>(E)</v>
      </c>
    </row>
    <row r="6" spans="2:24">
      <c r="F6" s="901" t="s">
        <v>791</v>
      </c>
      <c r="G6" s="902"/>
      <c r="H6" s="799"/>
      <c r="I6" s="799"/>
      <c r="J6" s="799"/>
    </row>
    <row r="7" spans="2:24">
      <c r="B7" s="655" t="s">
        <v>5</v>
      </c>
      <c r="D7" s="651" t="s">
        <v>685</v>
      </c>
      <c r="F7" s="655" t="s">
        <v>792</v>
      </c>
      <c r="G7" s="656" t="s">
        <v>641</v>
      </c>
      <c r="H7" s="655" t="s">
        <v>880</v>
      </c>
      <c r="I7" s="656" t="s">
        <v>641</v>
      </c>
      <c r="J7" s="655" t="s">
        <v>1045</v>
      </c>
      <c r="K7" s="656" t="s">
        <v>60</v>
      </c>
      <c r="L7" s="651" t="s">
        <v>9</v>
      </c>
      <c r="N7" s="527"/>
    </row>
    <row r="8" spans="2:24">
      <c r="B8" s="568">
        <v>1</v>
      </c>
      <c r="D8" s="16" t="s">
        <v>158</v>
      </c>
      <c r="F8" s="572">
        <v>14151120.92</v>
      </c>
      <c r="H8" s="562"/>
      <c r="J8" s="562"/>
      <c r="L8" s="562">
        <f>F8-H8-J8</f>
        <v>14151120.92</v>
      </c>
      <c r="N8" s="832"/>
      <c r="O8" s="832"/>
      <c r="P8" s="832"/>
      <c r="Q8" s="832"/>
      <c r="R8" s="832"/>
      <c r="S8" s="832"/>
      <c r="T8" s="832"/>
      <c r="U8" s="832"/>
      <c r="V8" s="832"/>
      <c r="W8" s="832"/>
      <c r="X8" s="832"/>
    </row>
    <row r="9" spans="2:24">
      <c r="B9" s="568">
        <f>MAX($B$8:B8)+1</f>
        <v>2</v>
      </c>
      <c r="D9" s="16" t="s">
        <v>159</v>
      </c>
      <c r="F9" s="572">
        <v>12781656.41</v>
      </c>
      <c r="H9" s="562"/>
      <c r="J9" s="562"/>
      <c r="L9" s="562">
        <f t="shared" ref="L9:L19" si="2">F9-H9-J9</f>
        <v>12781656.41</v>
      </c>
    </row>
    <row r="10" spans="2:24">
      <c r="B10" s="568">
        <f>MAX($B$8:B9)+1</f>
        <v>3</v>
      </c>
      <c r="D10" s="16" t="s">
        <v>160</v>
      </c>
      <c r="F10" s="572">
        <v>14151119.57</v>
      </c>
      <c r="H10" s="562"/>
      <c r="J10" s="562"/>
      <c r="L10" s="562">
        <f t="shared" si="2"/>
        <v>14151119.57</v>
      </c>
    </row>
    <row r="11" spans="2:24">
      <c r="B11" s="568">
        <f>MAX($B$8:B10)+1</f>
        <v>4</v>
      </c>
      <c r="D11" s="16" t="s">
        <v>161</v>
      </c>
      <c r="F11" s="572">
        <v>13694632.310000001</v>
      </c>
      <c r="H11" s="562"/>
      <c r="J11" s="562"/>
      <c r="L11" s="562">
        <f t="shared" si="2"/>
        <v>13694632.310000001</v>
      </c>
    </row>
    <row r="12" spans="2:24">
      <c r="B12" s="568">
        <f>MAX($B$8:B11)+1</f>
        <v>5</v>
      </c>
      <c r="D12" s="16" t="s">
        <v>162</v>
      </c>
      <c r="F12" s="572">
        <v>14151119.710000001</v>
      </c>
      <c r="H12" s="562"/>
      <c r="J12" s="562"/>
      <c r="L12" s="562">
        <f t="shared" si="2"/>
        <v>14151119.710000001</v>
      </c>
    </row>
    <row r="13" spans="2:24">
      <c r="B13" s="568">
        <f>MAX($B$8:B12)+1</f>
        <v>6</v>
      </c>
      <c r="D13" s="16" t="s">
        <v>173</v>
      </c>
      <c r="F13" s="572">
        <v>13694631.5</v>
      </c>
      <c r="H13" s="562"/>
      <c r="J13" s="562"/>
      <c r="L13" s="562">
        <f t="shared" si="2"/>
        <v>13694631.5</v>
      </c>
    </row>
    <row r="14" spans="2:24">
      <c r="B14" s="568">
        <f>MAX($B$8:B13)+1</f>
        <v>7</v>
      </c>
      <c r="D14" s="16" t="s">
        <v>163</v>
      </c>
      <c r="F14" s="572">
        <v>14151119.210000001</v>
      </c>
      <c r="H14" s="562"/>
      <c r="J14" s="562"/>
      <c r="L14" s="562">
        <f t="shared" si="2"/>
        <v>14151119.210000001</v>
      </c>
    </row>
    <row r="15" spans="2:24">
      <c r="B15" s="568">
        <f>MAX($B$8:B14)+1</f>
        <v>8</v>
      </c>
      <c r="D15" s="16" t="s">
        <v>164</v>
      </c>
      <c r="F15" s="572">
        <v>14151119.25</v>
      </c>
      <c r="H15" s="562"/>
      <c r="J15" s="562"/>
      <c r="L15" s="562">
        <f t="shared" si="2"/>
        <v>14151119.25</v>
      </c>
    </row>
    <row r="16" spans="2:24">
      <c r="B16" s="568">
        <f>MAX($B$8:B15)+1</f>
        <v>9</v>
      </c>
      <c r="D16" s="16" t="s">
        <v>165</v>
      </c>
      <c r="F16" s="572">
        <v>13694632.27</v>
      </c>
      <c r="H16" s="562"/>
      <c r="J16" s="562"/>
      <c r="L16" s="562">
        <f t="shared" si="2"/>
        <v>13694632.27</v>
      </c>
    </row>
    <row r="17" spans="2:12">
      <c r="B17" s="568">
        <f>MAX($B$8:B16)+1</f>
        <v>10</v>
      </c>
      <c r="D17" s="16" t="s">
        <v>167</v>
      </c>
      <c r="F17" s="572">
        <v>14151119.449999999</v>
      </c>
      <c r="H17" s="562"/>
      <c r="J17" s="562"/>
      <c r="L17" s="562">
        <f>F17-H17-J17</f>
        <v>14151119.449999999</v>
      </c>
    </row>
    <row r="18" spans="2:12">
      <c r="B18" s="568">
        <f>MAX($B$8:B17)+1</f>
        <v>11</v>
      </c>
      <c r="D18" s="16" t="s">
        <v>166</v>
      </c>
      <c r="F18" s="572">
        <v>13694631.390000001</v>
      </c>
      <c r="H18" s="562"/>
      <c r="J18" s="562"/>
      <c r="L18" s="562">
        <f t="shared" si="2"/>
        <v>13694631.390000001</v>
      </c>
    </row>
    <row r="19" spans="2:12">
      <c r="B19" s="568">
        <f>MAX($B$8:B18)+1</f>
        <v>12</v>
      </c>
      <c r="D19" s="16" t="s">
        <v>157</v>
      </c>
      <c r="F19" s="572">
        <v>14151119.41</v>
      </c>
      <c r="H19" s="576"/>
      <c r="J19" s="576"/>
      <c r="L19" s="562">
        <f t="shared" si="2"/>
        <v>14151119.41</v>
      </c>
    </row>
    <row r="20" spans="2:12">
      <c r="B20" s="568">
        <f>MAX($B$8:B19)+1</f>
        <v>13</v>
      </c>
      <c r="D20" s="16" t="s">
        <v>9</v>
      </c>
      <c r="F20" s="652">
        <f>SUM(F8:F19)</f>
        <v>166618021.40000001</v>
      </c>
      <c r="H20" s="572">
        <v>-690717.01540537796</v>
      </c>
      <c r="J20" s="572">
        <v>-8325472</v>
      </c>
      <c r="L20" s="652">
        <f>F20-H20-J20</f>
        <v>175634210.41540539</v>
      </c>
    </row>
    <row r="21" spans="2:12">
      <c r="J21" s="562"/>
    </row>
    <row r="22" spans="2:12">
      <c r="D22" s="624"/>
      <c r="E22" s="604"/>
      <c r="F22" s="624"/>
      <c r="H22" s="624"/>
      <c r="J22" s="624"/>
      <c r="L22" s="624"/>
    </row>
    <row r="23" spans="2:12">
      <c r="F23" s="901" t="s">
        <v>791</v>
      </c>
      <c r="G23" s="902"/>
      <c r="H23" s="903"/>
      <c r="I23" s="903"/>
      <c r="J23" s="799"/>
    </row>
    <row r="24" spans="2:12">
      <c r="B24" s="803"/>
      <c r="D24" s="651" t="s">
        <v>685</v>
      </c>
      <c r="F24" s="655" t="s">
        <v>794</v>
      </c>
      <c r="G24" s="656" t="s">
        <v>641</v>
      </c>
      <c r="H24" s="655" t="s">
        <v>880</v>
      </c>
      <c r="I24" s="656" t="s">
        <v>641</v>
      </c>
      <c r="J24" s="655" t="s">
        <v>1045</v>
      </c>
      <c r="K24" s="656" t="s">
        <v>60</v>
      </c>
      <c r="L24" s="651" t="s">
        <v>9</v>
      </c>
    </row>
    <row r="25" spans="2:12">
      <c r="B25" s="568">
        <f>B20+1</f>
        <v>14</v>
      </c>
      <c r="D25" s="16" t="s">
        <v>158</v>
      </c>
      <c r="F25" s="572">
        <v>1729344.59</v>
      </c>
      <c r="H25" s="562"/>
      <c r="J25" s="562"/>
      <c r="L25" s="562">
        <f>F25-H25-J25</f>
        <v>1729344.59</v>
      </c>
    </row>
    <row r="26" spans="2:12">
      <c r="B26" s="568">
        <f>B25+1</f>
        <v>15</v>
      </c>
      <c r="D26" s="16" t="s">
        <v>159</v>
      </c>
      <c r="F26" s="572">
        <v>1729344.59</v>
      </c>
      <c r="H26" s="562"/>
      <c r="J26" s="562"/>
      <c r="L26" s="562">
        <f t="shared" ref="L26:L36" si="3">F26-H26-J26</f>
        <v>1729344.59</v>
      </c>
    </row>
    <row r="27" spans="2:12">
      <c r="B27" s="568">
        <f t="shared" ref="B27:B37" si="4">B26+1</f>
        <v>16</v>
      </c>
      <c r="D27" s="16" t="s">
        <v>160</v>
      </c>
      <c r="F27" s="572">
        <v>1729344.59</v>
      </c>
      <c r="H27" s="562"/>
      <c r="J27" s="562"/>
      <c r="L27" s="562">
        <f t="shared" si="3"/>
        <v>1729344.59</v>
      </c>
    </row>
    <row r="28" spans="2:12">
      <c r="B28" s="568">
        <f t="shared" si="4"/>
        <v>17</v>
      </c>
      <c r="D28" s="16" t="s">
        <v>161</v>
      </c>
      <c r="F28" s="572">
        <v>1729344.59</v>
      </c>
      <c r="H28" s="562"/>
      <c r="J28" s="562"/>
      <c r="L28" s="562">
        <f t="shared" si="3"/>
        <v>1729344.59</v>
      </c>
    </row>
    <row r="29" spans="2:12">
      <c r="B29" s="568">
        <f t="shared" si="4"/>
        <v>18</v>
      </c>
      <c r="D29" s="16" t="s">
        <v>162</v>
      </c>
      <c r="F29" s="572">
        <v>1729344.59</v>
      </c>
      <c r="H29" s="562"/>
      <c r="J29" s="562"/>
      <c r="L29" s="562">
        <f>F29-H29-J29</f>
        <v>1729344.59</v>
      </c>
    </row>
    <row r="30" spans="2:12">
      <c r="B30" s="568">
        <f t="shared" si="4"/>
        <v>19</v>
      </c>
      <c r="D30" s="16" t="s">
        <v>173</v>
      </c>
      <c r="F30" s="572">
        <v>1729344.59</v>
      </c>
      <c r="H30" s="562"/>
      <c r="J30" s="562"/>
      <c r="L30" s="562">
        <f t="shared" si="3"/>
        <v>1729344.59</v>
      </c>
    </row>
    <row r="31" spans="2:12">
      <c r="B31" s="568">
        <f t="shared" si="4"/>
        <v>20</v>
      </c>
      <c r="D31" s="16" t="s">
        <v>163</v>
      </c>
      <c r="F31" s="572">
        <v>1729344.59</v>
      </c>
      <c r="H31" s="562"/>
      <c r="J31" s="562"/>
      <c r="L31" s="562">
        <f t="shared" si="3"/>
        <v>1729344.59</v>
      </c>
    </row>
    <row r="32" spans="2:12">
      <c r="B32" s="568">
        <f t="shared" si="4"/>
        <v>21</v>
      </c>
      <c r="D32" s="16" t="s">
        <v>164</v>
      </c>
      <c r="F32" s="572">
        <v>1729344.59</v>
      </c>
      <c r="H32" s="562"/>
      <c r="J32" s="562"/>
      <c r="L32" s="562">
        <f t="shared" si="3"/>
        <v>1729344.59</v>
      </c>
    </row>
    <row r="33" spans="2:25">
      <c r="B33" s="568">
        <f t="shared" si="4"/>
        <v>22</v>
      </c>
      <c r="D33" s="16" t="s">
        <v>165</v>
      </c>
      <c r="F33" s="572">
        <v>1729344.59</v>
      </c>
      <c r="H33" s="562"/>
      <c r="J33" s="562"/>
      <c r="L33" s="562">
        <f t="shared" si="3"/>
        <v>1729344.59</v>
      </c>
    </row>
    <row r="34" spans="2:25">
      <c r="B34" s="568">
        <f t="shared" si="4"/>
        <v>23</v>
      </c>
      <c r="D34" s="16" t="s">
        <v>167</v>
      </c>
      <c r="F34" s="572">
        <v>1729344.59</v>
      </c>
      <c r="H34" s="562"/>
      <c r="J34" s="562"/>
      <c r="L34" s="562">
        <f t="shared" si="3"/>
        <v>1729344.59</v>
      </c>
    </row>
    <row r="35" spans="2:25">
      <c r="B35" s="568">
        <f t="shared" si="4"/>
        <v>24</v>
      </c>
      <c r="D35" s="16" t="s">
        <v>166</v>
      </c>
      <c r="F35" s="572">
        <v>1729344.59</v>
      </c>
      <c r="H35" s="562"/>
      <c r="J35" s="562"/>
      <c r="L35" s="562">
        <f t="shared" si="3"/>
        <v>1729344.59</v>
      </c>
    </row>
    <row r="36" spans="2:25">
      <c r="B36" s="568">
        <f t="shared" si="4"/>
        <v>25</v>
      </c>
      <c r="D36" s="16" t="s">
        <v>157</v>
      </c>
      <c r="F36" s="572">
        <v>1729344.59</v>
      </c>
      <c r="H36" s="576"/>
      <c r="J36" s="576"/>
      <c r="L36" s="562">
        <f t="shared" si="3"/>
        <v>1729344.59</v>
      </c>
    </row>
    <row r="37" spans="2:25">
      <c r="B37" s="568">
        <f t="shared" si="4"/>
        <v>26</v>
      </c>
      <c r="D37" s="16" t="s">
        <v>9</v>
      </c>
      <c r="F37" s="652">
        <f>SUM(F25:F36)</f>
        <v>20752135.080000002</v>
      </c>
      <c r="H37" s="572">
        <v>439743.0656872</v>
      </c>
      <c r="J37" s="572">
        <v>-1039463</v>
      </c>
      <c r="L37" s="652">
        <f>F37-H37-J37</f>
        <v>21351855.014312804</v>
      </c>
    </row>
    <row r="38" spans="2:25">
      <c r="F38" s="575"/>
      <c r="H38" s="562"/>
      <c r="J38" s="562"/>
      <c r="L38" s="575"/>
    </row>
    <row r="39" spans="2:25">
      <c r="F39" s="575"/>
      <c r="H39" s="562"/>
      <c r="J39" s="562"/>
      <c r="L39" s="575"/>
    </row>
    <row r="40" spans="2:25" ht="15.6" customHeight="1">
      <c r="D40" s="800" t="s">
        <v>153</v>
      </c>
      <c r="F40" s="653"/>
      <c r="H40" s="798"/>
      <c r="I40" s="798"/>
      <c r="J40" s="798"/>
    </row>
    <row r="41" spans="2:25" ht="33.6" customHeight="1">
      <c r="D41" s="1019" t="s">
        <v>998</v>
      </c>
      <c r="E41" s="1019"/>
      <c r="F41" s="1019"/>
      <c r="G41" s="1019"/>
      <c r="H41" s="1019"/>
      <c r="I41" s="1019"/>
      <c r="J41" s="1019"/>
      <c r="K41" s="1019"/>
      <c r="L41" s="1019"/>
    </row>
    <row r="42" spans="2:25" ht="15.6" customHeight="1">
      <c r="D42" s="1019" t="s">
        <v>1050</v>
      </c>
      <c r="E42" s="1019"/>
      <c r="F42" s="1019"/>
      <c r="G42" s="1019"/>
      <c r="H42" s="1019"/>
      <c r="I42" s="1019"/>
      <c r="J42" s="1019"/>
      <c r="K42" s="1019"/>
      <c r="L42" s="1019"/>
    </row>
    <row r="43" spans="2:25">
      <c r="D43" s="1019"/>
      <c r="E43" s="1019"/>
      <c r="F43" s="1019"/>
      <c r="G43" s="1019"/>
      <c r="H43" s="1019"/>
      <c r="I43" s="1019"/>
      <c r="J43" s="1019"/>
      <c r="K43" s="1019"/>
      <c r="L43" s="1019"/>
      <c r="N43" s="527"/>
    </row>
    <row r="44" spans="2:25">
      <c r="D44" s="945"/>
      <c r="E44" s="945"/>
      <c r="F44" s="945"/>
      <c r="G44" s="945"/>
      <c r="H44" s="945"/>
      <c r="I44" s="945"/>
      <c r="J44" s="945"/>
      <c r="K44" s="945"/>
      <c r="L44" s="945"/>
      <c r="N44" s="832"/>
      <c r="O44" s="832"/>
      <c r="P44" s="832"/>
      <c r="Q44" s="832"/>
      <c r="R44" s="832"/>
      <c r="S44" s="832"/>
      <c r="T44" s="832"/>
      <c r="U44" s="832"/>
      <c r="V44" s="832"/>
      <c r="W44" s="832"/>
      <c r="X44" s="832"/>
      <c r="Y44" s="832"/>
    </row>
    <row r="45" spans="2:25">
      <c r="F45" s="653"/>
      <c r="H45" s="798"/>
      <c r="I45" s="798"/>
      <c r="J45" s="798"/>
      <c r="N45" s="832"/>
      <c r="O45" s="832"/>
      <c r="P45" s="832"/>
      <c r="Q45" s="832"/>
      <c r="R45" s="832"/>
      <c r="S45" s="832"/>
      <c r="T45" s="832"/>
      <c r="U45" s="832"/>
      <c r="V45" s="832"/>
      <c r="W45" s="832"/>
      <c r="X45" s="832"/>
      <c r="Y45" s="832"/>
    </row>
    <row r="46" spans="2:25">
      <c r="F46" s="653"/>
      <c r="H46" s="798"/>
      <c r="I46" s="798"/>
      <c r="J46" s="798"/>
    </row>
    <row r="47" spans="2:25">
      <c r="F47" s="653"/>
      <c r="H47" s="798"/>
      <c r="I47" s="798"/>
      <c r="J47" s="798"/>
    </row>
    <row r="48" spans="2:25">
      <c r="F48" s="653"/>
      <c r="H48" s="798"/>
      <c r="I48" s="798"/>
      <c r="J48" s="798"/>
    </row>
    <row r="49" spans="6:10">
      <c r="F49" s="653"/>
      <c r="H49" s="798"/>
      <c r="I49" s="798"/>
      <c r="J49" s="798"/>
    </row>
    <row r="50" spans="6:10">
      <c r="F50" s="653"/>
    </row>
    <row r="51" spans="6:10">
      <c r="F51"/>
    </row>
    <row r="52" spans="6:10">
      <c r="F52"/>
    </row>
    <row r="53" spans="6:10">
      <c r="F53"/>
    </row>
    <row r="54" spans="6:10">
      <c r="F54"/>
    </row>
    <row r="55" spans="6:10">
      <c r="F55"/>
    </row>
    <row r="56" spans="6:10">
      <c r="F56"/>
    </row>
    <row r="57" spans="6:10">
      <c r="F57"/>
    </row>
    <row r="58" spans="6:10">
      <c r="F58"/>
    </row>
    <row r="59" spans="6:10">
      <c r="F59"/>
    </row>
    <row r="60" spans="6:10">
      <c r="F60"/>
    </row>
    <row r="61" spans="6:10">
      <c r="F61"/>
    </row>
    <row r="62" spans="6:10">
      <c r="F62"/>
    </row>
    <row r="63" spans="6:10">
      <c r="F63"/>
    </row>
    <row r="64" spans="6:10">
      <c r="F64"/>
    </row>
    <row r="65" spans="6:6">
      <c r="F65"/>
    </row>
    <row r="66" spans="6:6">
      <c r="F66"/>
    </row>
    <row r="67" spans="6:6">
      <c r="F67"/>
    </row>
    <row r="68" spans="6:6">
      <c r="F68"/>
    </row>
    <row r="69" spans="6:6">
      <c r="F69"/>
    </row>
    <row r="70" spans="6:6">
      <c r="F70"/>
    </row>
    <row r="71" spans="6:6">
      <c r="F71"/>
    </row>
    <row r="72" spans="6:6">
      <c r="F72"/>
    </row>
    <row r="73" spans="6:6">
      <c r="F73"/>
    </row>
    <row r="74" spans="6:6">
      <c r="F74"/>
    </row>
    <row r="75" spans="6:6">
      <c r="F75"/>
    </row>
    <row r="76" spans="6:6">
      <c r="F76"/>
    </row>
    <row r="77" spans="6:6">
      <c r="F77"/>
    </row>
    <row r="78" spans="6:6">
      <c r="F78"/>
    </row>
    <row r="79" spans="6:6">
      <c r="F79"/>
    </row>
    <row r="80" spans="6:6">
      <c r="F80"/>
    </row>
    <row r="81" spans="6:6">
      <c r="F81"/>
    </row>
    <row r="82" spans="6:6">
      <c r="F82"/>
    </row>
    <row r="83" spans="6:6">
      <c r="F83"/>
    </row>
    <row r="84" spans="6:6">
      <c r="F84"/>
    </row>
    <row r="85" spans="6:6">
      <c r="F85"/>
    </row>
    <row r="86" spans="6:6">
      <c r="F86"/>
    </row>
    <row r="87" spans="6:6">
      <c r="F87"/>
    </row>
    <row r="88" spans="6:6">
      <c r="F88"/>
    </row>
    <row r="89" spans="6:6">
      <c r="F89"/>
    </row>
    <row r="90" spans="6:6">
      <c r="F90"/>
    </row>
    <row r="91" spans="6:6">
      <c r="F91"/>
    </row>
    <row r="92" spans="6:6">
      <c r="F92" s="654"/>
    </row>
    <row r="93" spans="6:6">
      <c r="F93" s="654"/>
    </row>
    <row r="94" spans="6:6">
      <c r="F94" s="654"/>
    </row>
    <row r="95" spans="6:6">
      <c r="F95" s="654"/>
    </row>
    <row r="96" spans="6:6">
      <c r="F96" s="654"/>
    </row>
    <row r="97" spans="6:6">
      <c r="F97" s="654"/>
    </row>
    <row r="98" spans="6:6">
      <c r="F98" s="654"/>
    </row>
    <row r="99" spans="6:6">
      <c r="F99" s="654"/>
    </row>
    <row r="100" spans="6:6">
      <c r="F100" s="654"/>
    </row>
    <row r="101" spans="6:6">
      <c r="F101" s="654"/>
    </row>
    <row r="102" spans="6:6">
      <c r="F102" s="654"/>
    </row>
    <row r="103" spans="6:6">
      <c r="F103" s="654"/>
    </row>
    <row r="104" spans="6:6">
      <c r="F104" s="654"/>
    </row>
    <row r="105" spans="6:6">
      <c r="F105" s="654"/>
    </row>
  </sheetData>
  <mergeCells count="2">
    <mergeCell ref="D41:L41"/>
    <mergeCell ref="D42:L43"/>
  </mergeCells>
  <phoneticPr fontId="114" type="noConversion"/>
  <pageMargins left="0.25" right="0.25" top="0.75" bottom="0.75" header="0.3" footer="0.3"/>
  <pageSetup orientation="portrait" horizontalDpi="1200" verticalDpi="1200" r:id="rId1"/>
  <headerFooter>
    <oddHeader xml:space="preserve">&amp;R&amp;"Times New Roman,Regular"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B1:J18"/>
  <sheetViews>
    <sheetView view="pageBreakPreview" zoomScale="75" zoomScaleNormal="75" zoomScaleSheetLayoutView="75" workbookViewId="0">
      <selection activeCell="G3" sqref="G3"/>
    </sheetView>
  </sheetViews>
  <sheetFormatPr defaultColWidth="7.08984375" defaultRowHeight="13.2"/>
  <cols>
    <col min="1" max="1" width="47.7265625" style="5" customWidth="1"/>
    <col min="2" max="2" width="7.08984375" style="5" customWidth="1"/>
    <col min="3" max="3" width="2.54296875" style="5" customWidth="1"/>
    <col min="4" max="4" width="10.7265625" style="5" bestFit="1" customWidth="1"/>
    <col min="5" max="8" width="7.08984375" style="5" customWidth="1"/>
    <col min="9" max="9" width="13.453125" style="5" customWidth="1"/>
    <col min="10" max="10" width="47.7265625" style="5" customWidth="1"/>
    <col min="11" max="16384" width="7.08984375" style="5"/>
  </cols>
  <sheetData>
    <row r="1" spans="2:10" ht="16.5" customHeight="1">
      <c r="G1" s="2"/>
      <c r="H1" s="1"/>
      <c r="J1" s="3" t="s">
        <v>449</v>
      </c>
    </row>
    <row r="2" spans="2:10" ht="16.5" customHeight="1">
      <c r="G2" s="2"/>
      <c r="H2" s="2"/>
      <c r="J2" s="3" t="s">
        <v>144</v>
      </c>
    </row>
    <row r="3" spans="2:10" ht="16.5" customHeight="1">
      <c r="G3" s="1"/>
      <c r="H3" s="2"/>
      <c r="J3" s="3" t="str">
        <f>'Attachment H-4A JCP&amp;L '!K4</f>
        <v>For the 12 months ended 12/31/2022</v>
      </c>
    </row>
    <row r="4" spans="2:10" ht="15.6">
      <c r="G4" s="1"/>
      <c r="H4" s="2"/>
      <c r="I4" s="3"/>
    </row>
    <row r="5" spans="2:10" ht="15.6">
      <c r="G5" s="1"/>
      <c r="H5" s="2"/>
      <c r="I5" s="3"/>
    </row>
    <row r="6" spans="2:10" ht="15.75" customHeight="1">
      <c r="B6" s="984" t="s">
        <v>145</v>
      </c>
      <c r="C6" s="984"/>
      <c r="D6" s="984"/>
      <c r="E6" s="984"/>
      <c r="F6" s="984"/>
      <c r="G6" s="984"/>
      <c r="H6" s="984"/>
      <c r="I6" s="984"/>
    </row>
    <row r="7" spans="2:10" ht="15.6">
      <c r="B7" s="4"/>
      <c r="C7" s="4"/>
      <c r="D7" s="7"/>
      <c r="E7" s="7"/>
      <c r="F7" s="6"/>
      <c r="G7" s="6" t="s">
        <v>3</v>
      </c>
      <c r="H7" s="6"/>
      <c r="I7" s="6"/>
    </row>
    <row r="8" spans="2:10" ht="15.6">
      <c r="B8" s="4"/>
      <c r="C8" s="4">
        <v>1</v>
      </c>
      <c r="D8" s="9">
        <f>'Attachment 20 - OpEx'!I8+'Attachment 20 - OpEx'!I9+'Attachment 20 - OpEx'!I10</f>
        <v>1824946</v>
      </c>
      <c r="E8" s="4" t="s">
        <v>890</v>
      </c>
      <c r="F8" s="4"/>
      <c r="G8" s="8"/>
      <c r="H8" s="8"/>
      <c r="I8" s="8"/>
    </row>
    <row r="9" spans="2:10" ht="15.6">
      <c r="B9" s="4"/>
      <c r="C9" s="4">
        <v>2</v>
      </c>
      <c r="D9" s="68">
        <v>145724.79999999999</v>
      </c>
      <c r="E9" s="10" t="s">
        <v>112</v>
      </c>
      <c r="F9" s="8"/>
      <c r="G9" s="8"/>
      <c r="H9" s="8"/>
      <c r="I9" s="8"/>
    </row>
    <row r="10" spans="2:10" ht="15.6">
      <c r="B10" s="4"/>
      <c r="C10" s="4">
        <v>3</v>
      </c>
      <c r="D10" s="11">
        <f>D8-D9</f>
        <v>1679221.2</v>
      </c>
      <c r="E10" s="8" t="s">
        <v>113</v>
      </c>
      <c r="F10" s="4"/>
      <c r="G10" s="8"/>
      <c r="H10" s="8"/>
      <c r="I10" s="8"/>
    </row>
    <row r="11" spans="2:10" ht="7.5" customHeight="1">
      <c r="B11" s="4"/>
      <c r="C11" s="4"/>
      <c r="D11" s="4"/>
      <c r="E11" s="8"/>
      <c r="F11" s="8"/>
      <c r="G11" s="8"/>
      <c r="H11" s="8"/>
      <c r="I11" s="8"/>
    </row>
    <row r="12" spans="2:10" ht="15.6">
      <c r="B12" s="4"/>
      <c r="C12" s="4">
        <v>4</v>
      </c>
      <c r="D12" s="67">
        <v>22386216.84</v>
      </c>
      <c r="E12" s="8" t="s">
        <v>441</v>
      </c>
      <c r="F12" s="8"/>
      <c r="G12" s="8"/>
      <c r="H12" s="8"/>
      <c r="I12" s="8"/>
    </row>
    <row r="13" spans="2:10" ht="15.6">
      <c r="B13" s="8"/>
      <c r="C13" s="4">
        <v>5</v>
      </c>
      <c r="D13" s="12">
        <f>D10/D12</f>
        <v>7.5011388123407449E-2</v>
      </c>
      <c r="E13" s="8" t="s">
        <v>154</v>
      </c>
      <c r="F13" s="8"/>
      <c r="G13" s="8"/>
      <c r="H13" s="8"/>
      <c r="I13" s="8"/>
    </row>
    <row r="14" spans="2:10" ht="15.6">
      <c r="B14" s="8"/>
      <c r="C14" s="8"/>
      <c r="D14" s="8"/>
      <c r="E14" s="8"/>
      <c r="F14" s="8"/>
      <c r="G14" s="8"/>
      <c r="H14" s="8"/>
      <c r="I14" s="8"/>
    </row>
    <row r="15" spans="2:10" ht="15.6">
      <c r="B15" s="15" t="s">
        <v>114</v>
      </c>
      <c r="D15" s="8"/>
      <c r="E15" s="8"/>
      <c r="F15" s="8"/>
      <c r="G15" s="8"/>
      <c r="H15" s="8"/>
      <c r="I15" s="8"/>
    </row>
    <row r="16" spans="2:10" ht="45.75" customHeight="1">
      <c r="B16" s="31" t="s">
        <v>75</v>
      </c>
      <c r="C16" s="982" t="s">
        <v>450</v>
      </c>
      <c r="D16" s="983"/>
      <c r="E16" s="983"/>
      <c r="F16" s="983"/>
      <c r="G16" s="983"/>
      <c r="H16" s="983"/>
      <c r="I16" s="983"/>
    </row>
    <row r="17" spans="2:9" ht="12" customHeight="1">
      <c r="B17" s="31"/>
      <c r="C17" s="13"/>
      <c r="D17" s="14"/>
      <c r="E17" s="14"/>
      <c r="F17" s="14"/>
      <c r="G17" s="14"/>
      <c r="H17" s="14"/>
      <c r="I17" s="14"/>
    </row>
    <row r="18" spans="2:9" ht="49.5" customHeight="1">
      <c r="B18" s="31" t="s">
        <v>76</v>
      </c>
      <c r="C18" s="982" t="s">
        <v>442</v>
      </c>
      <c r="D18" s="982"/>
      <c r="E18" s="982"/>
      <c r="F18" s="982"/>
      <c r="G18" s="982"/>
      <c r="H18" s="982"/>
      <c r="I18" s="982"/>
    </row>
  </sheetData>
  <customSheetViews>
    <customSheetView guid="{E1861F40-EBD5-44AE-868B-FDE0ED504D72}" showPageBreaks="1" printArea="1" view="pageBreakPreview">
      <selection activeCell="H4" sqref="H4"/>
      <pageMargins left="0.75" right="0.75" top="1" bottom="1" header="0.5" footer="0.5"/>
      <printOptions horizontalCentered="1"/>
      <pageSetup scale="76" orientation="portrait" r:id="rId1"/>
      <headerFooter alignWithMargins="0"/>
    </customSheetView>
  </customSheetViews>
  <mergeCells count="3">
    <mergeCell ref="C16:I16"/>
    <mergeCell ref="C18:I18"/>
    <mergeCell ref="B6:I6"/>
  </mergeCells>
  <phoneticPr fontId="50" type="noConversion"/>
  <printOptions horizontalCentered="1"/>
  <pageMargins left="0.7" right="0.7" top="0.75" bottom="0.75" header="0.3" footer="0.3"/>
  <pageSetup scale="45" fitToWidth="0" fitToHeight="0" orientation="portrait" r:id="rId2"/>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pageSetUpPr fitToPage="1"/>
  </sheetPr>
  <dimension ref="A1:AR37"/>
  <sheetViews>
    <sheetView showWhiteSpace="0" zoomScale="80" zoomScaleNormal="80" zoomScalePageLayoutView="50" workbookViewId="0">
      <selection activeCell="A25" sqref="A25"/>
    </sheetView>
  </sheetViews>
  <sheetFormatPr defaultColWidth="5" defaultRowHeight="15.6"/>
  <cols>
    <col min="1" max="1" width="5.26953125" style="605" bestFit="1" customWidth="1"/>
    <col min="2" max="2" width="0.7265625" style="605" customWidth="1"/>
    <col min="3" max="3" width="49.08984375" style="604" customWidth="1"/>
    <col min="4" max="4" width="0.7265625" style="604" customWidth="1"/>
    <col min="5" max="5" width="14.7265625" style="604" customWidth="1"/>
    <col min="6" max="6" width="0.7265625" style="604" customWidth="1"/>
    <col min="7" max="7" width="13.08984375" style="606" customWidth="1"/>
    <col min="8" max="8" width="0.7265625" style="604" customWidth="1"/>
    <col min="9" max="9" width="16.08984375" style="606" customWidth="1"/>
    <col min="10" max="10" width="0.7265625" style="604" customWidth="1"/>
    <col min="11" max="11" width="16.08984375" style="606" customWidth="1"/>
    <col min="12" max="12" width="0.7265625" style="604" customWidth="1"/>
    <col min="13" max="13" width="16.08984375" style="606" customWidth="1"/>
    <col min="14" max="14" width="0.7265625" style="604" customWidth="1"/>
    <col min="15" max="15" width="16.08984375" style="606" customWidth="1"/>
    <col min="16" max="16" width="0.7265625" style="604" customWidth="1"/>
    <col min="17" max="17" width="16.08984375" style="606" customWidth="1"/>
    <col min="18" max="18" width="0.7265625" style="604" customWidth="1"/>
    <col min="19" max="19" width="16.08984375" style="606" customWidth="1"/>
    <col min="20" max="20" width="0.7265625" style="604" customWidth="1"/>
    <col min="21" max="21" width="16.08984375" style="606" customWidth="1"/>
    <col min="22" max="22" width="0.7265625" style="604" customWidth="1"/>
    <col min="23" max="23" width="16.08984375" style="606" customWidth="1"/>
    <col min="24" max="24" width="0.7265625" style="604" customWidth="1"/>
    <col min="25" max="25" width="16.08984375" style="606" customWidth="1"/>
    <col min="26" max="26" width="0.7265625" style="604" customWidth="1"/>
    <col min="27" max="27" width="16.08984375" style="606" customWidth="1"/>
    <col min="28" max="28" width="0.7265625" style="604" customWidth="1"/>
    <col min="29" max="29" width="16.08984375" style="606" customWidth="1"/>
    <col min="30" max="30" width="0.7265625" style="604" customWidth="1"/>
    <col min="31" max="31" width="16.08984375" style="606" customWidth="1"/>
    <col min="32" max="32" width="0.7265625" style="604" customWidth="1"/>
    <col min="33" max="33" width="16.08984375" style="606" customWidth="1"/>
    <col min="34" max="34" width="0.7265625" style="604" customWidth="1"/>
    <col min="35" max="35" width="16.08984375" style="606" customWidth="1"/>
    <col min="36" max="36" width="0.7265625" style="604" customWidth="1"/>
    <col min="37" max="37" width="20.7265625" style="605" customWidth="1"/>
    <col min="38" max="38" width="0.54296875" style="604" customWidth="1"/>
    <col min="39" max="39" width="16.08984375" style="605" customWidth="1"/>
    <col min="40" max="40" width="1.7265625" style="605" customWidth="1"/>
    <col min="41" max="41" width="10.08984375" style="605" customWidth="1"/>
    <col min="42" max="42" width="2" style="605" customWidth="1"/>
    <col min="43" max="43" width="16.08984375" style="604" customWidth="1"/>
    <col min="44" max="44" width="0.54296875" style="604" customWidth="1"/>
    <col min="45" max="258" width="5" style="604"/>
    <col min="259" max="259" width="4.7265625" style="604" customWidth="1"/>
    <col min="260" max="260" width="2" style="604" customWidth="1"/>
    <col min="261" max="261" width="40.7265625" style="604" customWidth="1"/>
    <col min="262" max="262" width="3.54296875" style="604" customWidth="1"/>
    <col min="263" max="263" width="11.08984375" style="604" customWidth="1"/>
    <col min="264" max="264" width="2.7265625" style="604" customWidth="1"/>
    <col min="265" max="265" width="11.26953125" style="604" customWidth="1"/>
    <col min="266" max="266" width="2.7265625" style="604" customWidth="1"/>
    <col min="267" max="267" width="11.26953125" style="604" customWidth="1"/>
    <col min="268" max="268" width="2.7265625" style="604" customWidth="1"/>
    <col min="269" max="269" width="19.08984375" style="604" bestFit="1" customWidth="1"/>
    <col min="270" max="270" width="1.81640625" style="604" customWidth="1"/>
    <col min="271" max="271" width="6.7265625" style="604" customWidth="1"/>
    <col min="272" max="272" width="14.7265625" style="604" customWidth="1"/>
    <col min="273" max="273" width="9" style="604" bestFit="1" customWidth="1"/>
    <col min="274" max="514" width="5" style="604"/>
    <col min="515" max="515" width="4.7265625" style="604" customWidth="1"/>
    <col min="516" max="516" width="2" style="604" customWidth="1"/>
    <col min="517" max="517" width="40.7265625" style="604" customWidth="1"/>
    <col min="518" max="518" width="3.54296875" style="604" customWidth="1"/>
    <col min="519" max="519" width="11.08984375" style="604" customWidth="1"/>
    <col min="520" max="520" width="2.7265625" style="604" customWidth="1"/>
    <col min="521" max="521" width="11.26953125" style="604" customWidth="1"/>
    <col min="522" max="522" width="2.7265625" style="604" customWidth="1"/>
    <col min="523" max="523" width="11.26953125" style="604" customWidth="1"/>
    <col min="524" max="524" width="2.7265625" style="604" customWidth="1"/>
    <col min="525" max="525" width="19.08984375" style="604" bestFit="1" customWidth="1"/>
    <col min="526" max="526" width="1.81640625" style="604" customWidth="1"/>
    <col min="527" max="527" width="6.7265625" style="604" customWidth="1"/>
    <col min="528" max="528" width="14.7265625" style="604" customWidth="1"/>
    <col min="529" max="529" width="9" style="604" bestFit="1" customWidth="1"/>
    <col min="530" max="770" width="5" style="604"/>
    <col min="771" max="771" width="4.7265625" style="604" customWidth="1"/>
    <col min="772" max="772" width="2" style="604" customWidth="1"/>
    <col min="773" max="773" width="40.7265625" style="604" customWidth="1"/>
    <col min="774" max="774" width="3.54296875" style="604" customWidth="1"/>
    <col min="775" max="775" width="11.08984375" style="604" customWidth="1"/>
    <col min="776" max="776" width="2.7265625" style="604" customWidth="1"/>
    <col min="777" max="777" width="11.26953125" style="604" customWidth="1"/>
    <col min="778" max="778" width="2.7265625" style="604" customWidth="1"/>
    <col min="779" max="779" width="11.26953125" style="604" customWidth="1"/>
    <col min="780" max="780" width="2.7265625" style="604" customWidth="1"/>
    <col min="781" max="781" width="19.08984375" style="604" bestFit="1" customWidth="1"/>
    <col min="782" max="782" width="1.81640625" style="604" customWidth="1"/>
    <col min="783" max="783" width="6.7265625" style="604" customWidth="1"/>
    <col min="784" max="784" width="14.7265625" style="604" customWidth="1"/>
    <col min="785" max="785" width="9" style="604" bestFit="1" customWidth="1"/>
    <col min="786" max="1026" width="5" style="604"/>
    <col min="1027" max="1027" width="4.7265625" style="604" customWidth="1"/>
    <col min="1028" max="1028" width="2" style="604" customWidth="1"/>
    <col min="1029" max="1029" width="40.7265625" style="604" customWidth="1"/>
    <col min="1030" max="1030" width="3.54296875" style="604" customWidth="1"/>
    <col min="1031" max="1031" width="11.08984375" style="604" customWidth="1"/>
    <col min="1032" max="1032" width="2.7265625" style="604" customWidth="1"/>
    <col min="1033" max="1033" width="11.26953125" style="604" customWidth="1"/>
    <col min="1034" max="1034" width="2.7265625" style="604" customWidth="1"/>
    <col min="1035" max="1035" width="11.26953125" style="604" customWidth="1"/>
    <col min="1036" max="1036" width="2.7265625" style="604" customWidth="1"/>
    <col min="1037" max="1037" width="19.08984375" style="604" bestFit="1" customWidth="1"/>
    <col min="1038" max="1038" width="1.81640625" style="604" customWidth="1"/>
    <col min="1039" max="1039" width="6.7265625" style="604" customWidth="1"/>
    <col min="1040" max="1040" width="14.7265625" style="604" customWidth="1"/>
    <col min="1041" max="1041" width="9" style="604" bestFit="1" customWidth="1"/>
    <col min="1042" max="1282" width="5" style="604"/>
    <col min="1283" max="1283" width="4.7265625" style="604" customWidth="1"/>
    <col min="1284" max="1284" width="2" style="604" customWidth="1"/>
    <col min="1285" max="1285" width="40.7265625" style="604" customWidth="1"/>
    <col min="1286" max="1286" width="3.54296875" style="604" customWidth="1"/>
    <col min="1287" max="1287" width="11.08984375" style="604" customWidth="1"/>
    <col min="1288" max="1288" width="2.7265625" style="604" customWidth="1"/>
    <col min="1289" max="1289" width="11.26953125" style="604" customWidth="1"/>
    <col min="1290" max="1290" width="2.7265625" style="604" customWidth="1"/>
    <col min="1291" max="1291" width="11.26953125" style="604" customWidth="1"/>
    <col min="1292" max="1292" width="2.7265625" style="604" customWidth="1"/>
    <col min="1293" max="1293" width="19.08984375" style="604" bestFit="1" customWidth="1"/>
    <col min="1294" max="1294" width="1.81640625" style="604" customWidth="1"/>
    <col min="1295" max="1295" width="6.7265625" style="604" customWidth="1"/>
    <col min="1296" max="1296" width="14.7265625" style="604" customWidth="1"/>
    <col min="1297" max="1297" width="9" style="604" bestFit="1" customWidth="1"/>
    <col min="1298" max="1538" width="5" style="604"/>
    <col min="1539" max="1539" width="4.7265625" style="604" customWidth="1"/>
    <col min="1540" max="1540" width="2" style="604" customWidth="1"/>
    <col min="1541" max="1541" width="40.7265625" style="604" customWidth="1"/>
    <col min="1542" max="1542" width="3.54296875" style="604" customWidth="1"/>
    <col min="1543" max="1543" width="11.08984375" style="604" customWidth="1"/>
    <col min="1544" max="1544" width="2.7265625" style="604" customWidth="1"/>
    <col min="1545" max="1545" width="11.26953125" style="604" customWidth="1"/>
    <col min="1546" max="1546" width="2.7265625" style="604" customWidth="1"/>
    <col min="1547" max="1547" width="11.26953125" style="604" customWidth="1"/>
    <col min="1548" max="1548" width="2.7265625" style="604" customWidth="1"/>
    <col min="1549" max="1549" width="19.08984375" style="604" bestFit="1" customWidth="1"/>
    <col min="1550" max="1550" width="1.81640625" style="604" customWidth="1"/>
    <col min="1551" max="1551" width="6.7265625" style="604" customWidth="1"/>
    <col min="1552" max="1552" width="14.7265625" style="604" customWidth="1"/>
    <col min="1553" max="1553" width="9" style="604" bestFit="1" customWidth="1"/>
    <col min="1554" max="1794" width="5" style="604"/>
    <col min="1795" max="1795" width="4.7265625" style="604" customWidth="1"/>
    <col min="1796" max="1796" width="2" style="604" customWidth="1"/>
    <col min="1797" max="1797" width="40.7265625" style="604" customWidth="1"/>
    <col min="1798" max="1798" width="3.54296875" style="604" customWidth="1"/>
    <col min="1799" max="1799" width="11.08984375" style="604" customWidth="1"/>
    <col min="1800" max="1800" width="2.7265625" style="604" customWidth="1"/>
    <col min="1801" max="1801" width="11.26953125" style="604" customWidth="1"/>
    <col min="1802" max="1802" width="2.7265625" style="604" customWidth="1"/>
    <col min="1803" max="1803" width="11.26953125" style="604" customWidth="1"/>
    <col min="1804" max="1804" width="2.7265625" style="604" customWidth="1"/>
    <col min="1805" max="1805" width="19.08984375" style="604" bestFit="1" customWidth="1"/>
    <col min="1806" max="1806" width="1.81640625" style="604" customWidth="1"/>
    <col min="1807" max="1807" width="6.7265625" style="604" customWidth="1"/>
    <col min="1808" max="1808" width="14.7265625" style="604" customWidth="1"/>
    <col min="1809" max="1809" width="9" style="604" bestFit="1" customWidth="1"/>
    <col min="1810" max="2050" width="5" style="604"/>
    <col min="2051" max="2051" width="4.7265625" style="604" customWidth="1"/>
    <col min="2052" max="2052" width="2" style="604" customWidth="1"/>
    <col min="2053" max="2053" width="40.7265625" style="604" customWidth="1"/>
    <col min="2054" max="2054" width="3.54296875" style="604" customWidth="1"/>
    <col min="2055" max="2055" width="11.08984375" style="604" customWidth="1"/>
    <col min="2056" max="2056" width="2.7265625" style="604" customWidth="1"/>
    <col min="2057" max="2057" width="11.26953125" style="604" customWidth="1"/>
    <col min="2058" max="2058" width="2.7265625" style="604" customWidth="1"/>
    <col min="2059" max="2059" width="11.26953125" style="604" customWidth="1"/>
    <col min="2060" max="2060" width="2.7265625" style="604" customWidth="1"/>
    <col min="2061" max="2061" width="19.08984375" style="604" bestFit="1" customWidth="1"/>
    <col min="2062" max="2062" width="1.81640625" style="604" customWidth="1"/>
    <col min="2063" max="2063" width="6.7265625" style="604" customWidth="1"/>
    <col min="2064" max="2064" width="14.7265625" style="604" customWidth="1"/>
    <col min="2065" max="2065" width="9" style="604" bestFit="1" customWidth="1"/>
    <col min="2066" max="2306" width="5" style="604"/>
    <col min="2307" max="2307" width="4.7265625" style="604" customWidth="1"/>
    <col min="2308" max="2308" width="2" style="604" customWidth="1"/>
    <col min="2309" max="2309" width="40.7265625" style="604" customWidth="1"/>
    <col min="2310" max="2310" width="3.54296875" style="604" customWidth="1"/>
    <col min="2311" max="2311" width="11.08984375" style="604" customWidth="1"/>
    <col min="2312" max="2312" width="2.7265625" style="604" customWidth="1"/>
    <col min="2313" max="2313" width="11.26953125" style="604" customWidth="1"/>
    <col min="2314" max="2314" width="2.7265625" style="604" customWidth="1"/>
    <col min="2315" max="2315" width="11.26953125" style="604" customWidth="1"/>
    <col min="2316" max="2316" width="2.7265625" style="604" customWidth="1"/>
    <col min="2317" max="2317" width="19.08984375" style="604" bestFit="1" customWidth="1"/>
    <col min="2318" max="2318" width="1.81640625" style="604" customWidth="1"/>
    <col min="2319" max="2319" width="6.7265625" style="604" customWidth="1"/>
    <col min="2320" max="2320" width="14.7265625" style="604" customWidth="1"/>
    <col min="2321" max="2321" width="9" style="604" bestFit="1" customWidth="1"/>
    <col min="2322" max="2562" width="5" style="604"/>
    <col min="2563" max="2563" width="4.7265625" style="604" customWidth="1"/>
    <col min="2564" max="2564" width="2" style="604" customWidth="1"/>
    <col min="2565" max="2565" width="40.7265625" style="604" customWidth="1"/>
    <col min="2566" max="2566" width="3.54296875" style="604" customWidth="1"/>
    <col min="2567" max="2567" width="11.08984375" style="604" customWidth="1"/>
    <col min="2568" max="2568" width="2.7265625" style="604" customWidth="1"/>
    <col min="2569" max="2569" width="11.26953125" style="604" customWidth="1"/>
    <col min="2570" max="2570" width="2.7265625" style="604" customWidth="1"/>
    <col min="2571" max="2571" width="11.26953125" style="604" customWidth="1"/>
    <col min="2572" max="2572" width="2.7265625" style="604" customWidth="1"/>
    <col min="2573" max="2573" width="19.08984375" style="604" bestFit="1" customWidth="1"/>
    <col min="2574" max="2574" width="1.81640625" style="604" customWidth="1"/>
    <col min="2575" max="2575" width="6.7265625" style="604" customWidth="1"/>
    <col min="2576" max="2576" width="14.7265625" style="604" customWidth="1"/>
    <col min="2577" max="2577" width="9" style="604" bestFit="1" customWidth="1"/>
    <col min="2578" max="2818" width="5" style="604"/>
    <col min="2819" max="2819" width="4.7265625" style="604" customWidth="1"/>
    <col min="2820" max="2820" width="2" style="604" customWidth="1"/>
    <col min="2821" max="2821" width="40.7265625" style="604" customWidth="1"/>
    <col min="2822" max="2822" width="3.54296875" style="604" customWidth="1"/>
    <col min="2823" max="2823" width="11.08984375" style="604" customWidth="1"/>
    <col min="2824" max="2824" width="2.7265625" style="604" customWidth="1"/>
    <col min="2825" max="2825" width="11.26953125" style="604" customWidth="1"/>
    <col min="2826" max="2826" width="2.7265625" style="604" customWidth="1"/>
    <col min="2827" max="2827" width="11.26953125" style="604" customWidth="1"/>
    <col min="2828" max="2828" width="2.7265625" style="604" customWidth="1"/>
    <col min="2829" max="2829" width="19.08984375" style="604" bestFit="1" customWidth="1"/>
    <col min="2830" max="2830" width="1.81640625" style="604" customWidth="1"/>
    <col min="2831" max="2831" width="6.7265625" style="604" customWidth="1"/>
    <col min="2832" max="2832" width="14.7265625" style="604" customWidth="1"/>
    <col min="2833" max="2833" width="9" style="604" bestFit="1" customWidth="1"/>
    <col min="2834" max="3074" width="5" style="604"/>
    <col min="3075" max="3075" width="4.7265625" style="604" customWidth="1"/>
    <col min="3076" max="3076" width="2" style="604" customWidth="1"/>
    <col min="3077" max="3077" width="40.7265625" style="604" customWidth="1"/>
    <col min="3078" max="3078" width="3.54296875" style="604" customWidth="1"/>
    <col min="3079" max="3079" width="11.08984375" style="604" customWidth="1"/>
    <col min="3080" max="3080" width="2.7265625" style="604" customWidth="1"/>
    <col min="3081" max="3081" width="11.26953125" style="604" customWidth="1"/>
    <col min="3082" max="3082" width="2.7265625" style="604" customWidth="1"/>
    <col min="3083" max="3083" width="11.26953125" style="604" customWidth="1"/>
    <col min="3084" max="3084" width="2.7265625" style="604" customWidth="1"/>
    <col min="3085" max="3085" width="19.08984375" style="604" bestFit="1" customWidth="1"/>
    <col min="3086" max="3086" width="1.81640625" style="604" customWidth="1"/>
    <col min="3087" max="3087" width="6.7265625" style="604" customWidth="1"/>
    <col min="3088" max="3088" width="14.7265625" style="604" customWidth="1"/>
    <col min="3089" max="3089" width="9" style="604" bestFit="1" customWidth="1"/>
    <col min="3090" max="3330" width="5" style="604"/>
    <col min="3331" max="3331" width="4.7265625" style="604" customWidth="1"/>
    <col min="3332" max="3332" width="2" style="604" customWidth="1"/>
    <col min="3333" max="3333" width="40.7265625" style="604" customWidth="1"/>
    <col min="3334" max="3334" width="3.54296875" style="604" customWidth="1"/>
    <col min="3335" max="3335" width="11.08984375" style="604" customWidth="1"/>
    <col min="3336" max="3336" width="2.7265625" style="604" customWidth="1"/>
    <col min="3337" max="3337" width="11.26953125" style="604" customWidth="1"/>
    <col min="3338" max="3338" width="2.7265625" style="604" customWidth="1"/>
    <col min="3339" max="3339" width="11.26953125" style="604" customWidth="1"/>
    <col min="3340" max="3340" width="2.7265625" style="604" customWidth="1"/>
    <col min="3341" max="3341" width="19.08984375" style="604" bestFit="1" customWidth="1"/>
    <col min="3342" max="3342" width="1.81640625" style="604" customWidth="1"/>
    <col min="3343" max="3343" width="6.7265625" style="604" customWidth="1"/>
    <col min="3344" max="3344" width="14.7265625" style="604" customWidth="1"/>
    <col min="3345" max="3345" width="9" style="604" bestFit="1" customWidth="1"/>
    <col min="3346" max="3586" width="5" style="604"/>
    <col min="3587" max="3587" width="4.7265625" style="604" customWidth="1"/>
    <col min="3588" max="3588" width="2" style="604" customWidth="1"/>
    <col min="3589" max="3589" width="40.7265625" style="604" customWidth="1"/>
    <col min="3590" max="3590" width="3.54296875" style="604" customWidth="1"/>
    <col min="3591" max="3591" width="11.08984375" style="604" customWidth="1"/>
    <col min="3592" max="3592" width="2.7265625" style="604" customWidth="1"/>
    <col min="3593" max="3593" width="11.26953125" style="604" customWidth="1"/>
    <col min="3594" max="3594" width="2.7265625" style="604" customWidth="1"/>
    <col min="3595" max="3595" width="11.26953125" style="604" customWidth="1"/>
    <col min="3596" max="3596" width="2.7265625" style="604" customWidth="1"/>
    <col min="3597" max="3597" width="19.08984375" style="604" bestFit="1" customWidth="1"/>
    <col min="3598" max="3598" width="1.81640625" style="604" customWidth="1"/>
    <col min="3599" max="3599" width="6.7265625" style="604" customWidth="1"/>
    <col min="3600" max="3600" width="14.7265625" style="604" customWidth="1"/>
    <col min="3601" max="3601" width="9" style="604" bestFit="1" customWidth="1"/>
    <col min="3602" max="3842" width="5" style="604"/>
    <col min="3843" max="3843" width="4.7265625" style="604" customWidth="1"/>
    <col min="3844" max="3844" width="2" style="604" customWidth="1"/>
    <col min="3845" max="3845" width="40.7265625" style="604" customWidth="1"/>
    <col min="3846" max="3846" width="3.54296875" style="604" customWidth="1"/>
    <col min="3847" max="3847" width="11.08984375" style="604" customWidth="1"/>
    <col min="3848" max="3848" width="2.7265625" style="604" customWidth="1"/>
    <col min="3849" max="3849" width="11.26953125" style="604" customWidth="1"/>
    <col min="3850" max="3850" width="2.7265625" style="604" customWidth="1"/>
    <col min="3851" max="3851" width="11.26953125" style="604" customWidth="1"/>
    <col min="3852" max="3852" width="2.7265625" style="604" customWidth="1"/>
    <col min="3853" max="3853" width="19.08984375" style="604" bestFit="1" customWidth="1"/>
    <col min="3854" max="3854" width="1.81640625" style="604" customWidth="1"/>
    <col min="3855" max="3855" width="6.7265625" style="604" customWidth="1"/>
    <col min="3856" max="3856" width="14.7265625" style="604" customWidth="1"/>
    <col min="3857" max="3857" width="9" style="604" bestFit="1" customWidth="1"/>
    <col min="3858" max="4098" width="5" style="604"/>
    <col min="4099" max="4099" width="4.7265625" style="604" customWidth="1"/>
    <col min="4100" max="4100" width="2" style="604" customWidth="1"/>
    <col min="4101" max="4101" width="40.7265625" style="604" customWidth="1"/>
    <col min="4102" max="4102" width="3.54296875" style="604" customWidth="1"/>
    <col min="4103" max="4103" width="11.08984375" style="604" customWidth="1"/>
    <col min="4104" max="4104" width="2.7265625" style="604" customWidth="1"/>
    <col min="4105" max="4105" width="11.26953125" style="604" customWidth="1"/>
    <col min="4106" max="4106" width="2.7265625" style="604" customWidth="1"/>
    <col min="4107" max="4107" width="11.26953125" style="604" customWidth="1"/>
    <col min="4108" max="4108" width="2.7265625" style="604" customWidth="1"/>
    <col min="4109" max="4109" width="19.08984375" style="604" bestFit="1" customWidth="1"/>
    <col min="4110" max="4110" width="1.81640625" style="604" customWidth="1"/>
    <col min="4111" max="4111" width="6.7265625" style="604" customWidth="1"/>
    <col min="4112" max="4112" width="14.7265625" style="604" customWidth="1"/>
    <col min="4113" max="4113" width="9" style="604" bestFit="1" customWidth="1"/>
    <col min="4114" max="4354" width="5" style="604"/>
    <col min="4355" max="4355" width="4.7265625" style="604" customWidth="1"/>
    <col min="4356" max="4356" width="2" style="604" customWidth="1"/>
    <col min="4357" max="4357" width="40.7265625" style="604" customWidth="1"/>
    <col min="4358" max="4358" width="3.54296875" style="604" customWidth="1"/>
    <col min="4359" max="4359" width="11.08984375" style="604" customWidth="1"/>
    <col min="4360" max="4360" width="2.7265625" style="604" customWidth="1"/>
    <col min="4361" max="4361" width="11.26953125" style="604" customWidth="1"/>
    <col min="4362" max="4362" width="2.7265625" style="604" customWidth="1"/>
    <col min="4363" max="4363" width="11.26953125" style="604" customWidth="1"/>
    <col min="4364" max="4364" width="2.7265625" style="604" customWidth="1"/>
    <col min="4365" max="4365" width="19.08984375" style="604" bestFit="1" customWidth="1"/>
    <col min="4366" max="4366" width="1.81640625" style="604" customWidth="1"/>
    <col min="4367" max="4367" width="6.7265625" style="604" customWidth="1"/>
    <col min="4368" max="4368" width="14.7265625" style="604" customWidth="1"/>
    <col min="4369" max="4369" width="9" style="604" bestFit="1" customWidth="1"/>
    <col min="4370" max="4610" width="5" style="604"/>
    <col min="4611" max="4611" width="4.7265625" style="604" customWidth="1"/>
    <col min="4612" max="4612" width="2" style="604" customWidth="1"/>
    <col min="4613" max="4613" width="40.7265625" style="604" customWidth="1"/>
    <col min="4614" max="4614" width="3.54296875" style="604" customWidth="1"/>
    <col min="4615" max="4615" width="11.08984375" style="604" customWidth="1"/>
    <col min="4616" max="4616" width="2.7265625" style="604" customWidth="1"/>
    <col min="4617" max="4617" width="11.26953125" style="604" customWidth="1"/>
    <col min="4618" max="4618" width="2.7265625" style="604" customWidth="1"/>
    <col min="4619" max="4619" width="11.26953125" style="604" customWidth="1"/>
    <col min="4620" max="4620" width="2.7265625" style="604" customWidth="1"/>
    <col min="4621" max="4621" width="19.08984375" style="604" bestFit="1" customWidth="1"/>
    <col min="4622" max="4622" width="1.81640625" style="604" customWidth="1"/>
    <col min="4623" max="4623" width="6.7265625" style="604" customWidth="1"/>
    <col min="4624" max="4624" width="14.7265625" style="604" customWidth="1"/>
    <col min="4625" max="4625" width="9" style="604" bestFit="1" customWidth="1"/>
    <col min="4626" max="4866" width="5" style="604"/>
    <col min="4867" max="4867" width="4.7265625" style="604" customWidth="1"/>
    <col min="4868" max="4868" width="2" style="604" customWidth="1"/>
    <col min="4869" max="4869" width="40.7265625" style="604" customWidth="1"/>
    <col min="4870" max="4870" width="3.54296875" style="604" customWidth="1"/>
    <col min="4871" max="4871" width="11.08984375" style="604" customWidth="1"/>
    <col min="4872" max="4872" width="2.7265625" style="604" customWidth="1"/>
    <col min="4873" max="4873" width="11.26953125" style="604" customWidth="1"/>
    <col min="4874" max="4874" width="2.7265625" style="604" customWidth="1"/>
    <col min="4875" max="4875" width="11.26953125" style="604" customWidth="1"/>
    <col min="4876" max="4876" width="2.7265625" style="604" customWidth="1"/>
    <col min="4877" max="4877" width="19.08984375" style="604" bestFit="1" customWidth="1"/>
    <col min="4878" max="4878" width="1.81640625" style="604" customWidth="1"/>
    <col min="4879" max="4879" width="6.7265625" style="604" customWidth="1"/>
    <col min="4880" max="4880" width="14.7265625" style="604" customWidth="1"/>
    <col min="4881" max="4881" width="9" style="604" bestFit="1" customWidth="1"/>
    <col min="4882" max="5122" width="5" style="604"/>
    <col min="5123" max="5123" width="4.7265625" style="604" customWidth="1"/>
    <col min="5124" max="5124" width="2" style="604" customWidth="1"/>
    <col min="5125" max="5125" width="40.7265625" style="604" customWidth="1"/>
    <col min="5126" max="5126" width="3.54296875" style="604" customWidth="1"/>
    <col min="5127" max="5127" width="11.08984375" style="604" customWidth="1"/>
    <col min="5128" max="5128" width="2.7265625" style="604" customWidth="1"/>
    <col min="5129" max="5129" width="11.26953125" style="604" customWidth="1"/>
    <col min="5130" max="5130" width="2.7265625" style="604" customWidth="1"/>
    <col min="5131" max="5131" width="11.26953125" style="604" customWidth="1"/>
    <col min="5132" max="5132" width="2.7265625" style="604" customWidth="1"/>
    <col min="5133" max="5133" width="19.08984375" style="604" bestFit="1" customWidth="1"/>
    <col min="5134" max="5134" width="1.81640625" style="604" customWidth="1"/>
    <col min="5135" max="5135" width="6.7265625" style="604" customWidth="1"/>
    <col min="5136" max="5136" width="14.7265625" style="604" customWidth="1"/>
    <col min="5137" max="5137" width="9" style="604" bestFit="1" customWidth="1"/>
    <col min="5138" max="5378" width="5" style="604"/>
    <col min="5379" max="5379" width="4.7265625" style="604" customWidth="1"/>
    <col min="5380" max="5380" width="2" style="604" customWidth="1"/>
    <col min="5381" max="5381" width="40.7265625" style="604" customWidth="1"/>
    <col min="5382" max="5382" width="3.54296875" style="604" customWidth="1"/>
    <col min="5383" max="5383" width="11.08984375" style="604" customWidth="1"/>
    <col min="5384" max="5384" width="2.7265625" style="604" customWidth="1"/>
    <col min="5385" max="5385" width="11.26953125" style="604" customWidth="1"/>
    <col min="5386" max="5386" width="2.7265625" style="604" customWidth="1"/>
    <col min="5387" max="5387" width="11.26953125" style="604" customWidth="1"/>
    <col min="5388" max="5388" width="2.7265625" style="604" customWidth="1"/>
    <col min="5389" max="5389" width="19.08984375" style="604" bestFit="1" customWidth="1"/>
    <col min="5390" max="5390" width="1.81640625" style="604" customWidth="1"/>
    <col min="5391" max="5391" width="6.7265625" style="604" customWidth="1"/>
    <col min="5392" max="5392" width="14.7265625" style="604" customWidth="1"/>
    <col min="5393" max="5393" width="9" style="604" bestFit="1" customWidth="1"/>
    <col min="5394" max="5634" width="5" style="604"/>
    <col min="5635" max="5635" width="4.7265625" style="604" customWidth="1"/>
    <col min="5636" max="5636" width="2" style="604" customWidth="1"/>
    <col min="5637" max="5637" width="40.7265625" style="604" customWidth="1"/>
    <col min="5638" max="5638" width="3.54296875" style="604" customWidth="1"/>
    <col min="5639" max="5639" width="11.08984375" style="604" customWidth="1"/>
    <col min="5640" max="5640" width="2.7265625" style="604" customWidth="1"/>
    <col min="5641" max="5641" width="11.26953125" style="604" customWidth="1"/>
    <col min="5642" max="5642" width="2.7265625" style="604" customWidth="1"/>
    <col min="5643" max="5643" width="11.26953125" style="604" customWidth="1"/>
    <col min="5644" max="5644" width="2.7265625" style="604" customWidth="1"/>
    <col min="5645" max="5645" width="19.08984375" style="604" bestFit="1" customWidth="1"/>
    <col min="5646" max="5646" width="1.81640625" style="604" customWidth="1"/>
    <col min="5647" max="5647" width="6.7265625" style="604" customWidth="1"/>
    <col min="5648" max="5648" width="14.7265625" style="604" customWidth="1"/>
    <col min="5649" max="5649" width="9" style="604" bestFit="1" customWidth="1"/>
    <col min="5650" max="5890" width="5" style="604"/>
    <col min="5891" max="5891" width="4.7265625" style="604" customWidth="1"/>
    <col min="5892" max="5892" width="2" style="604" customWidth="1"/>
    <col min="5893" max="5893" width="40.7265625" style="604" customWidth="1"/>
    <col min="5894" max="5894" width="3.54296875" style="604" customWidth="1"/>
    <col min="5895" max="5895" width="11.08984375" style="604" customWidth="1"/>
    <col min="5896" max="5896" width="2.7265625" style="604" customWidth="1"/>
    <col min="5897" max="5897" width="11.26953125" style="604" customWidth="1"/>
    <col min="5898" max="5898" width="2.7265625" style="604" customWidth="1"/>
    <col min="5899" max="5899" width="11.26953125" style="604" customWidth="1"/>
    <col min="5900" max="5900" width="2.7265625" style="604" customWidth="1"/>
    <col min="5901" max="5901" width="19.08984375" style="604" bestFit="1" customWidth="1"/>
    <col min="5902" max="5902" width="1.81640625" style="604" customWidth="1"/>
    <col min="5903" max="5903" width="6.7265625" style="604" customWidth="1"/>
    <col min="5904" max="5904" width="14.7265625" style="604" customWidth="1"/>
    <col min="5905" max="5905" width="9" style="604" bestFit="1" customWidth="1"/>
    <col min="5906" max="6146" width="5" style="604"/>
    <col min="6147" max="6147" width="4.7265625" style="604" customWidth="1"/>
    <col min="6148" max="6148" width="2" style="604" customWidth="1"/>
    <col min="6149" max="6149" width="40.7265625" style="604" customWidth="1"/>
    <col min="6150" max="6150" width="3.54296875" style="604" customWidth="1"/>
    <col min="6151" max="6151" width="11.08984375" style="604" customWidth="1"/>
    <col min="6152" max="6152" width="2.7265625" style="604" customWidth="1"/>
    <col min="6153" max="6153" width="11.26953125" style="604" customWidth="1"/>
    <col min="6154" max="6154" width="2.7265625" style="604" customWidth="1"/>
    <col min="6155" max="6155" width="11.26953125" style="604" customWidth="1"/>
    <col min="6156" max="6156" width="2.7265625" style="604" customWidth="1"/>
    <col min="6157" max="6157" width="19.08984375" style="604" bestFit="1" customWidth="1"/>
    <col min="6158" max="6158" width="1.81640625" style="604" customWidth="1"/>
    <col min="6159" max="6159" width="6.7265625" style="604" customWidth="1"/>
    <col min="6160" max="6160" width="14.7265625" style="604" customWidth="1"/>
    <col min="6161" max="6161" width="9" style="604" bestFit="1" customWidth="1"/>
    <col min="6162" max="6402" width="5" style="604"/>
    <col min="6403" max="6403" width="4.7265625" style="604" customWidth="1"/>
    <col min="6404" max="6404" width="2" style="604" customWidth="1"/>
    <col min="6405" max="6405" width="40.7265625" style="604" customWidth="1"/>
    <col min="6406" max="6406" width="3.54296875" style="604" customWidth="1"/>
    <col min="6407" max="6407" width="11.08984375" style="604" customWidth="1"/>
    <col min="6408" max="6408" width="2.7265625" style="604" customWidth="1"/>
    <col min="6409" max="6409" width="11.26953125" style="604" customWidth="1"/>
    <col min="6410" max="6410" width="2.7265625" style="604" customWidth="1"/>
    <col min="6411" max="6411" width="11.26953125" style="604" customWidth="1"/>
    <col min="6412" max="6412" width="2.7265625" style="604" customWidth="1"/>
    <col min="6413" max="6413" width="19.08984375" style="604" bestFit="1" customWidth="1"/>
    <col min="6414" max="6414" width="1.81640625" style="604" customWidth="1"/>
    <col min="6415" max="6415" width="6.7265625" style="604" customWidth="1"/>
    <col min="6416" max="6416" width="14.7265625" style="604" customWidth="1"/>
    <col min="6417" max="6417" width="9" style="604" bestFit="1" customWidth="1"/>
    <col min="6418" max="6658" width="5" style="604"/>
    <col min="6659" max="6659" width="4.7265625" style="604" customWidth="1"/>
    <col min="6660" max="6660" width="2" style="604" customWidth="1"/>
    <col min="6661" max="6661" width="40.7265625" style="604" customWidth="1"/>
    <col min="6662" max="6662" width="3.54296875" style="604" customWidth="1"/>
    <col min="6663" max="6663" width="11.08984375" style="604" customWidth="1"/>
    <col min="6664" max="6664" width="2.7265625" style="604" customWidth="1"/>
    <col min="6665" max="6665" width="11.26953125" style="604" customWidth="1"/>
    <col min="6666" max="6666" width="2.7265625" style="604" customWidth="1"/>
    <col min="6667" max="6667" width="11.26953125" style="604" customWidth="1"/>
    <col min="6668" max="6668" width="2.7265625" style="604" customWidth="1"/>
    <col min="6669" max="6669" width="19.08984375" style="604" bestFit="1" customWidth="1"/>
    <col min="6670" max="6670" width="1.81640625" style="604" customWidth="1"/>
    <col min="6671" max="6671" width="6.7265625" style="604" customWidth="1"/>
    <col min="6672" max="6672" width="14.7265625" style="604" customWidth="1"/>
    <col min="6673" max="6673" width="9" style="604" bestFit="1" customWidth="1"/>
    <col min="6674" max="6914" width="5" style="604"/>
    <col min="6915" max="6915" width="4.7265625" style="604" customWidth="1"/>
    <col min="6916" max="6916" width="2" style="604" customWidth="1"/>
    <col min="6917" max="6917" width="40.7265625" style="604" customWidth="1"/>
    <col min="6918" max="6918" width="3.54296875" style="604" customWidth="1"/>
    <col min="6919" max="6919" width="11.08984375" style="604" customWidth="1"/>
    <col min="6920" max="6920" width="2.7265625" style="604" customWidth="1"/>
    <col min="6921" max="6921" width="11.26953125" style="604" customWidth="1"/>
    <col min="6922" max="6922" width="2.7265625" style="604" customWidth="1"/>
    <col min="6923" max="6923" width="11.26953125" style="604" customWidth="1"/>
    <col min="6924" max="6924" width="2.7265625" style="604" customWidth="1"/>
    <col min="6925" max="6925" width="19.08984375" style="604" bestFit="1" customWidth="1"/>
    <col min="6926" max="6926" width="1.81640625" style="604" customWidth="1"/>
    <col min="6927" max="6927" width="6.7265625" style="604" customWidth="1"/>
    <col min="6928" max="6928" width="14.7265625" style="604" customWidth="1"/>
    <col min="6929" max="6929" width="9" style="604" bestFit="1" customWidth="1"/>
    <col min="6930" max="7170" width="5" style="604"/>
    <col min="7171" max="7171" width="4.7265625" style="604" customWidth="1"/>
    <col min="7172" max="7172" width="2" style="604" customWidth="1"/>
    <col min="7173" max="7173" width="40.7265625" style="604" customWidth="1"/>
    <col min="7174" max="7174" width="3.54296875" style="604" customWidth="1"/>
    <col min="7175" max="7175" width="11.08984375" style="604" customWidth="1"/>
    <col min="7176" max="7176" width="2.7265625" style="604" customWidth="1"/>
    <col min="7177" max="7177" width="11.26953125" style="604" customWidth="1"/>
    <col min="7178" max="7178" width="2.7265625" style="604" customWidth="1"/>
    <col min="7179" max="7179" width="11.26953125" style="604" customWidth="1"/>
    <col min="7180" max="7180" width="2.7265625" style="604" customWidth="1"/>
    <col min="7181" max="7181" width="19.08984375" style="604" bestFit="1" customWidth="1"/>
    <col min="7182" max="7182" width="1.81640625" style="604" customWidth="1"/>
    <col min="7183" max="7183" width="6.7265625" style="604" customWidth="1"/>
    <col min="7184" max="7184" width="14.7265625" style="604" customWidth="1"/>
    <col min="7185" max="7185" width="9" style="604" bestFit="1" customWidth="1"/>
    <col min="7186" max="7426" width="5" style="604"/>
    <col min="7427" max="7427" width="4.7265625" style="604" customWidth="1"/>
    <col min="7428" max="7428" width="2" style="604" customWidth="1"/>
    <col min="7429" max="7429" width="40.7265625" style="604" customWidth="1"/>
    <col min="7430" max="7430" width="3.54296875" style="604" customWidth="1"/>
    <col min="7431" max="7431" width="11.08984375" style="604" customWidth="1"/>
    <col min="7432" max="7432" width="2.7265625" style="604" customWidth="1"/>
    <col min="7433" max="7433" width="11.26953125" style="604" customWidth="1"/>
    <col min="7434" max="7434" width="2.7265625" style="604" customWidth="1"/>
    <col min="7435" max="7435" width="11.26953125" style="604" customWidth="1"/>
    <col min="7436" max="7436" width="2.7265625" style="604" customWidth="1"/>
    <col min="7437" max="7437" width="19.08984375" style="604" bestFit="1" customWidth="1"/>
    <col min="7438" max="7438" width="1.81640625" style="604" customWidth="1"/>
    <col min="7439" max="7439" width="6.7265625" style="604" customWidth="1"/>
    <col min="7440" max="7440" width="14.7265625" style="604" customWidth="1"/>
    <col min="7441" max="7441" width="9" style="604" bestFit="1" customWidth="1"/>
    <col min="7442" max="7682" width="5" style="604"/>
    <col min="7683" max="7683" width="4.7265625" style="604" customWidth="1"/>
    <col min="7684" max="7684" width="2" style="604" customWidth="1"/>
    <col min="7685" max="7685" width="40.7265625" style="604" customWidth="1"/>
    <col min="7686" max="7686" width="3.54296875" style="604" customWidth="1"/>
    <col min="7687" max="7687" width="11.08984375" style="604" customWidth="1"/>
    <col min="7688" max="7688" width="2.7265625" style="604" customWidth="1"/>
    <col min="7689" max="7689" width="11.26953125" style="604" customWidth="1"/>
    <col min="7690" max="7690" width="2.7265625" style="604" customWidth="1"/>
    <col min="7691" max="7691" width="11.26953125" style="604" customWidth="1"/>
    <col min="7692" max="7692" width="2.7265625" style="604" customWidth="1"/>
    <col min="7693" max="7693" width="19.08984375" style="604" bestFit="1" customWidth="1"/>
    <col min="7694" max="7694" width="1.81640625" style="604" customWidth="1"/>
    <col min="7695" max="7695" width="6.7265625" style="604" customWidth="1"/>
    <col min="7696" max="7696" width="14.7265625" style="604" customWidth="1"/>
    <col min="7697" max="7697" width="9" style="604" bestFit="1" customWidth="1"/>
    <col min="7698" max="7938" width="5" style="604"/>
    <col min="7939" max="7939" width="4.7265625" style="604" customWidth="1"/>
    <col min="7940" max="7940" width="2" style="604" customWidth="1"/>
    <col min="7941" max="7941" width="40.7265625" style="604" customWidth="1"/>
    <col min="7942" max="7942" width="3.54296875" style="604" customWidth="1"/>
    <col min="7943" max="7943" width="11.08984375" style="604" customWidth="1"/>
    <col min="7944" max="7944" width="2.7265625" style="604" customWidth="1"/>
    <col min="7945" max="7945" width="11.26953125" style="604" customWidth="1"/>
    <col min="7946" max="7946" width="2.7265625" style="604" customWidth="1"/>
    <col min="7947" max="7947" width="11.26953125" style="604" customWidth="1"/>
    <col min="7948" max="7948" width="2.7265625" style="604" customWidth="1"/>
    <col min="7949" max="7949" width="19.08984375" style="604" bestFit="1" customWidth="1"/>
    <col min="7950" max="7950" width="1.81640625" style="604" customWidth="1"/>
    <col min="7951" max="7951" width="6.7265625" style="604" customWidth="1"/>
    <col min="7952" max="7952" width="14.7265625" style="604" customWidth="1"/>
    <col min="7953" max="7953" width="9" style="604" bestFit="1" customWidth="1"/>
    <col min="7954" max="8194" width="5" style="604"/>
    <col min="8195" max="8195" width="4.7265625" style="604" customWidth="1"/>
    <col min="8196" max="8196" width="2" style="604" customWidth="1"/>
    <col min="8197" max="8197" width="40.7265625" style="604" customWidth="1"/>
    <col min="8198" max="8198" width="3.54296875" style="604" customWidth="1"/>
    <col min="8199" max="8199" width="11.08984375" style="604" customWidth="1"/>
    <col min="8200" max="8200" width="2.7265625" style="604" customWidth="1"/>
    <col min="8201" max="8201" width="11.26953125" style="604" customWidth="1"/>
    <col min="8202" max="8202" width="2.7265625" style="604" customWidth="1"/>
    <col min="8203" max="8203" width="11.26953125" style="604" customWidth="1"/>
    <col min="8204" max="8204" width="2.7265625" style="604" customWidth="1"/>
    <col min="8205" max="8205" width="19.08984375" style="604" bestFit="1" customWidth="1"/>
    <col min="8206" max="8206" width="1.81640625" style="604" customWidth="1"/>
    <col min="8207" max="8207" width="6.7265625" style="604" customWidth="1"/>
    <col min="8208" max="8208" width="14.7265625" style="604" customWidth="1"/>
    <col min="8209" max="8209" width="9" style="604" bestFit="1" customWidth="1"/>
    <col min="8210" max="8450" width="5" style="604"/>
    <col min="8451" max="8451" width="4.7265625" style="604" customWidth="1"/>
    <col min="8452" max="8452" width="2" style="604" customWidth="1"/>
    <col min="8453" max="8453" width="40.7265625" style="604" customWidth="1"/>
    <col min="8454" max="8454" width="3.54296875" style="604" customWidth="1"/>
    <col min="8455" max="8455" width="11.08984375" style="604" customWidth="1"/>
    <col min="8456" max="8456" width="2.7265625" style="604" customWidth="1"/>
    <col min="8457" max="8457" width="11.26953125" style="604" customWidth="1"/>
    <col min="8458" max="8458" width="2.7265625" style="604" customWidth="1"/>
    <col min="8459" max="8459" width="11.26953125" style="604" customWidth="1"/>
    <col min="8460" max="8460" width="2.7265625" style="604" customWidth="1"/>
    <col min="8461" max="8461" width="19.08984375" style="604" bestFit="1" customWidth="1"/>
    <col min="8462" max="8462" width="1.81640625" style="604" customWidth="1"/>
    <col min="8463" max="8463" width="6.7265625" style="604" customWidth="1"/>
    <col min="8464" max="8464" width="14.7265625" style="604" customWidth="1"/>
    <col min="8465" max="8465" width="9" style="604" bestFit="1" customWidth="1"/>
    <col min="8466" max="8706" width="5" style="604"/>
    <col min="8707" max="8707" width="4.7265625" style="604" customWidth="1"/>
    <col min="8708" max="8708" width="2" style="604" customWidth="1"/>
    <col min="8709" max="8709" width="40.7265625" style="604" customWidth="1"/>
    <col min="8710" max="8710" width="3.54296875" style="604" customWidth="1"/>
    <col min="8711" max="8711" width="11.08984375" style="604" customWidth="1"/>
    <col min="8712" max="8712" width="2.7265625" style="604" customWidth="1"/>
    <col min="8713" max="8713" width="11.26953125" style="604" customWidth="1"/>
    <col min="8714" max="8714" width="2.7265625" style="604" customWidth="1"/>
    <col min="8715" max="8715" width="11.26953125" style="604" customWidth="1"/>
    <col min="8716" max="8716" width="2.7265625" style="604" customWidth="1"/>
    <col min="8717" max="8717" width="19.08984375" style="604" bestFit="1" customWidth="1"/>
    <col min="8718" max="8718" width="1.81640625" style="604" customWidth="1"/>
    <col min="8719" max="8719" width="6.7265625" style="604" customWidth="1"/>
    <col min="8720" max="8720" width="14.7265625" style="604" customWidth="1"/>
    <col min="8721" max="8721" width="9" style="604" bestFit="1" customWidth="1"/>
    <col min="8722" max="8962" width="5" style="604"/>
    <col min="8963" max="8963" width="4.7265625" style="604" customWidth="1"/>
    <col min="8964" max="8964" width="2" style="604" customWidth="1"/>
    <col min="8965" max="8965" width="40.7265625" style="604" customWidth="1"/>
    <col min="8966" max="8966" width="3.54296875" style="604" customWidth="1"/>
    <col min="8967" max="8967" width="11.08984375" style="604" customWidth="1"/>
    <col min="8968" max="8968" width="2.7265625" style="604" customWidth="1"/>
    <col min="8969" max="8969" width="11.26953125" style="604" customWidth="1"/>
    <col min="8970" max="8970" width="2.7265625" style="604" customWidth="1"/>
    <col min="8971" max="8971" width="11.26953125" style="604" customWidth="1"/>
    <col min="8972" max="8972" width="2.7265625" style="604" customWidth="1"/>
    <col min="8973" max="8973" width="19.08984375" style="604" bestFit="1" customWidth="1"/>
    <col min="8974" max="8974" width="1.81640625" style="604" customWidth="1"/>
    <col min="8975" max="8975" width="6.7265625" style="604" customWidth="1"/>
    <col min="8976" max="8976" width="14.7265625" style="604" customWidth="1"/>
    <col min="8977" max="8977" width="9" style="604" bestFit="1" customWidth="1"/>
    <col min="8978" max="9218" width="5" style="604"/>
    <col min="9219" max="9219" width="4.7265625" style="604" customWidth="1"/>
    <col min="9220" max="9220" width="2" style="604" customWidth="1"/>
    <col min="9221" max="9221" width="40.7265625" style="604" customWidth="1"/>
    <col min="9222" max="9222" width="3.54296875" style="604" customWidth="1"/>
    <col min="9223" max="9223" width="11.08984375" style="604" customWidth="1"/>
    <col min="9224" max="9224" width="2.7265625" style="604" customWidth="1"/>
    <col min="9225" max="9225" width="11.26953125" style="604" customWidth="1"/>
    <col min="9226" max="9226" width="2.7265625" style="604" customWidth="1"/>
    <col min="9227" max="9227" width="11.26953125" style="604" customWidth="1"/>
    <col min="9228" max="9228" width="2.7265625" style="604" customWidth="1"/>
    <col min="9229" max="9229" width="19.08984375" style="604" bestFit="1" customWidth="1"/>
    <col min="9230" max="9230" width="1.81640625" style="604" customWidth="1"/>
    <col min="9231" max="9231" width="6.7265625" style="604" customWidth="1"/>
    <col min="9232" max="9232" width="14.7265625" style="604" customWidth="1"/>
    <col min="9233" max="9233" width="9" style="604" bestFit="1" customWidth="1"/>
    <col min="9234" max="9474" width="5" style="604"/>
    <col min="9475" max="9475" width="4.7265625" style="604" customWidth="1"/>
    <col min="9476" max="9476" width="2" style="604" customWidth="1"/>
    <col min="9477" max="9477" width="40.7265625" style="604" customWidth="1"/>
    <col min="9478" max="9478" width="3.54296875" style="604" customWidth="1"/>
    <col min="9479" max="9479" width="11.08984375" style="604" customWidth="1"/>
    <col min="9480" max="9480" width="2.7265625" style="604" customWidth="1"/>
    <col min="9481" max="9481" width="11.26953125" style="604" customWidth="1"/>
    <col min="9482" max="9482" width="2.7265625" style="604" customWidth="1"/>
    <col min="9483" max="9483" width="11.26953125" style="604" customWidth="1"/>
    <col min="9484" max="9484" width="2.7265625" style="604" customWidth="1"/>
    <col min="9485" max="9485" width="19.08984375" style="604" bestFit="1" customWidth="1"/>
    <col min="9486" max="9486" width="1.81640625" style="604" customWidth="1"/>
    <col min="9487" max="9487" width="6.7265625" style="604" customWidth="1"/>
    <col min="9488" max="9488" width="14.7265625" style="604" customWidth="1"/>
    <col min="9489" max="9489" width="9" style="604" bestFit="1" customWidth="1"/>
    <col min="9490" max="9730" width="5" style="604"/>
    <col min="9731" max="9731" width="4.7265625" style="604" customWidth="1"/>
    <col min="9732" max="9732" width="2" style="604" customWidth="1"/>
    <col min="9733" max="9733" width="40.7265625" style="604" customWidth="1"/>
    <col min="9734" max="9734" width="3.54296875" style="604" customWidth="1"/>
    <col min="9735" max="9735" width="11.08984375" style="604" customWidth="1"/>
    <col min="9736" max="9736" width="2.7265625" style="604" customWidth="1"/>
    <col min="9737" max="9737" width="11.26953125" style="604" customWidth="1"/>
    <col min="9738" max="9738" width="2.7265625" style="604" customWidth="1"/>
    <col min="9739" max="9739" width="11.26953125" style="604" customWidth="1"/>
    <col min="9740" max="9740" width="2.7265625" style="604" customWidth="1"/>
    <col min="9741" max="9741" width="19.08984375" style="604" bestFit="1" customWidth="1"/>
    <col min="9742" max="9742" width="1.81640625" style="604" customWidth="1"/>
    <col min="9743" max="9743" width="6.7265625" style="604" customWidth="1"/>
    <col min="9744" max="9744" width="14.7265625" style="604" customWidth="1"/>
    <col min="9745" max="9745" width="9" style="604" bestFit="1" customWidth="1"/>
    <col min="9746" max="9986" width="5" style="604"/>
    <col min="9987" max="9987" width="4.7265625" style="604" customWidth="1"/>
    <col min="9988" max="9988" width="2" style="604" customWidth="1"/>
    <col min="9989" max="9989" width="40.7265625" style="604" customWidth="1"/>
    <col min="9990" max="9990" width="3.54296875" style="604" customWidth="1"/>
    <col min="9991" max="9991" width="11.08984375" style="604" customWidth="1"/>
    <col min="9992" max="9992" width="2.7265625" style="604" customWidth="1"/>
    <col min="9993" max="9993" width="11.26953125" style="604" customWidth="1"/>
    <col min="9994" max="9994" width="2.7265625" style="604" customWidth="1"/>
    <col min="9995" max="9995" width="11.26953125" style="604" customWidth="1"/>
    <col min="9996" max="9996" width="2.7265625" style="604" customWidth="1"/>
    <col min="9997" max="9997" width="19.08984375" style="604" bestFit="1" customWidth="1"/>
    <col min="9998" max="9998" width="1.81640625" style="604" customWidth="1"/>
    <col min="9999" max="9999" width="6.7265625" style="604" customWidth="1"/>
    <col min="10000" max="10000" width="14.7265625" style="604" customWidth="1"/>
    <col min="10001" max="10001" width="9" style="604" bestFit="1" customWidth="1"/>
    <col min="10002" max="10242" width="5" style="604"/>
    <col min="10243" max="10243" width="4.7265625" style="604" customWidth="1"/>
    <col min="10244" max="10244" width="2" style="604" customWidth="1"/>
    <col min="10245" max="10245" width="40.7265625" style="604" customWidth="1"/>
    <col min="10246" max="10246" width="3.54296875" style="604" customWidth="1"/>
    <col min="10247" max="10247" width="11.08984375" style="604" customWidth="1"/>
    <col min="10248" max="10248" width="2.7265625" style="604" customWidth="1"/>
    <col min="10249" max="10249" width="11.26953125" style="604" customWidth="1"/>
    <col min="10250" max="10250" width="2.7265625" style="604" customWidth="1"/>
    <col min="10251" max="10251" width="11.26953125" style="604" customWidth="1"/>
    <col min="10252" max="10252" width="2.7265625" style="604" customWidth="1"/>
    <col min="10253" max="10253" width="19.08984375" style="604" bestFit="1" customWidth="1"/>
    <col min="10254" max="10254" width="1.81640625" style="604" customWidth="1"/>
    <col min="10255" max="10255" width="6.7265625" style="604" customWidth="1"/>
    <col min="10256" max="10256" width="14.7265625" style="604" customWidth="1"/>
    <col min="10257" max="10257" width="9" style="604" bestFit="1" customWidth="1"/>
    <col min="10258" max="10498" width="5" style="604"/>
    <col min="10499" max="10499" width="4.7265625" style="604" customWidth="1"/>
    <col min="10500" max="10500" width="2" style="604" customWidth="1"/>
    <col min="10501" max="10501" width="40.7265625" style="604" customWidth="1"/>
    <col min="10502" max="10502" width="3.54296875" style="604" customWidth="1"/>
    <col min="10503" max="10503" width="11.08984375" style="604" customWidth="1"/>
    <col min="10504" max="10504" width="2.7265625" style="604" customWidth="1"/>
    <col min="10505" max="10505" width="11.26953125" style="604" customWidth="1"/>
    <col min="10506" max="10506" width="2.7265625" style="604" customWidth="1"/>
    <col min="10507" max="10507" width="11.26953125" style="604" customWidth="1"/>
    <col min="10508" max="10508" width="2.7265625" style="604" customWidth="1"/>
    <col min="10509" max="10509" width="19.08984375" style="604" bestFit="1" customWidth="1"/>
    <col min="10510" max="10510" width="1.81640625" style="604" customWidth="1"/>
    <col min="10511" max="10511" width="6.7265625" style="604" customWidth="1"/>
    <col min="10512" max="10512" width="14.7265625" style="604" customWidth="1"/>
    <col min="10513" max="10513" width="9" style="604" bestFit="1" customWidth="1"/>
    <col min="10514" max="10754" width="5" style="604"/>
    <col min="10755" max="10755" width="4.7265625" style="604" customWidth="1"/>
    <col min="10756" max="10756" width="2" style="604" customWidth="1"/>
    <col min="10757" max="10757" width="40.7265625" style="604" customWidth="1"/>
    <col min="10758" max="10758" width="3.54296875" style="604" customWidth="1"/>
    <col min="10759" max="10759" width="11.08984375" style="604" customWidth="1"/>
    <col min="10760" max="10760" width="2.7265625" style="604" customWidth="1"/>
    <col min="10761" max="10761" width="11.26953125" style="604" customWidth="1"/>
    <col min="10762" max="10762" width="2.7265625" style="604" customWidth="1"/>
    <col min="10763" max="10763" width="11.26953125" style="604" customWidth="1"/>
    <col min="10764" max="10764" width="2.7265625" style="604" customWidth="1"/>
    <col min="10765" max="10765" width="19.08984375" style="604" bestFit="1" customWidth="1"/>
    <col min="10766" max="10766" width="1.81640625" style="604" customWidth="1"/>
    <col min="10767" max="10767" width="6.7265625" style="604" customWidth="1"/>
    <col min="10768" max="10768" width="14.7265625" style="604" customWidth="1"/>
    <col min="10769" max="10769" width="9" style="604" bestFit="1" customWidth="1"/>
    <col min="10770" max="11010" width="5" style="604"/>
    <col min="11011" max="11011" width="4.7265625" style="604" customWidth="1"/>
    <col min="11012" max="11012" width="2" style="604" customWidth="1"/>
    <col min="11013" max="11013" width="40.7265625" style="604" customWidth="1"/>
    <col min="11014" max="11014" width="3.54296875" style="604" customWidth="1"/>
    <col min="11015" max="11015" width="11.08984375" style="604" customWidth="1"/>
    <col min="11016" max="11016" width="2.7265625" style="604" customWidth="1"/>
    <col min="11017" max="11017" width="11.26953125" style="604" customWidth="1"/>
    <col min="11018" max="11018" width="2.7265625" style="604" customWidth="1"/>
    <col min="11019" max="11019" width="11.26953125" style="604" customWidth="1"/>
    <col min="11020" max="11020" width="2.7265625" style="604" customWidth="1"/>
    <col min="11021" max="11021" width="19.08984375" style="604" bestFit="1" customWidth="1"/>
    <col min="11022" max="11022" width="1.81640625" style="604" customWidth="1"/>
    <col min="11023" max="11023" width="6.7265625" style="604" customWidth="1"/>
    <col min="11024" max="11024" width="14.7265625" style="604" customWidth="1"/>
    <col min="11025" max="11025" width="9" style="604" bestFit="1" customWidth="1"/>
    <col min="11026" max="11266" width="5" style="604"/>
    <col min="11267" max="11267" width="4.7265625" style="604" customWidth="1"/>
    <col min="11268" max="11268" width="2" style="604" customWidth="1"/>
    <col min="11269" max="11269" width="40.7265625" style="604" customWidth="1"/>
    <col min="11270" max="11270" width="3.54296875" style="604" customWidth="1"/>
    <col min="11271" max="11271" width="11.08984375" style="604" customWidth="1"/>
    <col min="11272" max="11272" width="2.7265625" style="604" customWidth="1"/>
    <col min="11273" max="11273" width="11.26953125" style="604" customWidth="1"/>
    <col min="11274" max="11274" width="2.7265625" style="604" customWidth="1"/>
    <col min="11275" max="11275" width="11.26953125" style="604" customWidth="1"/>
    <col min="11276" max="11276" width="2.7265625" style="604" customWidth="1"/>
    <col min="11277" max="11277" width="19.08984375" style="604" bestFit="1" customWidth="1"/>
    <col min="11278" max="11278" width="1.81640625" style="604" customWidth="1"/>
    <col min="11279" max="11279" width="6.7265625" style="604" customWidth="1"/>
    <col min="11280" max="11280" width="14.7265625" style="604" customWidth="1"/>
    <col min="11281" max="11281" width="9" style="604" bestFit="1" customWidth="1"/>
    <col min="11282" max="11522" width="5" style="604"/>
    <col min="11523" max="11523" width="4.7265625" style="604" customWidth="1"/>
    <col min="11524" max="11524" width="2" style="604" customWidth="1"/>
    <col min="11525" max="11525" width="40.7265625" style="604" customWidth="1"/>
    <col min="11526" max="11526" width="3.54296875" style="604" customWidth="1"/>
    <col min="11527" max="11527" width="11.08984375" style="604" customWidth="1"/>
    <col min="11528" max="11528" width="2.7265625" style="604" customWidth="1"/>
    <col min="11529" max="11529" width="11.26953125" style="604" customWidth="1"/>
    <col min="11530" max="11530" width="2.7265625" style="604" customWidth="1"/>
    <col min="11531" max="11531" width="11.26953125" style="604" customWidth="1"/>
    <col min="11532" max="11532" width="2.7265625" style="604" customWidth="1"/>
    <col min="11533" max="11533" width="19.08984375" style="604" bestFit="1" customWidth="1"/>
    <col min="11534" max="11534" width="1.81640625" style="604" customWidth="1"/>
    <col min="11535" max="11535" width="6.7265625" style="604" customWidth="1"/>
    <col min="11536" max="11536" width="14.7265625" style="604" customWidth="1"/>
    <col min="11537" max="11537" width="9" style="604" bestFit="1" customWidth="1"/>
    <col min="11538" max="11778" width="5" style="604"/>
    <col min="11779" max="11779" width="4.7265625" style="604" customWidth="1"/>
    <col min="11780" max="11780" width="2" style="604" customWidth="1"/>
    <col min="11781" max="11781" width="40.7265625" style="604" customWidth="1"/>
    <col min="11782" max="11782" width="3.54296875" style="604" customWidth="1"/>
    <col min="11783" max="11783" width="11.08984375" style="604" customWidth="1"/>
    <col min="11784" max="11784" width="2.7265625" style="604" customWidth="1"/>
    <col min="11785" max="11785" width="11.26953125" style="604" customWidth="1"/>
    <col min="11786" max="11786" width="2.7265625" style="604" customWidth="1"/>
    <col min="11787" max="11787" width="11.26953125" style="604" customWidth="1"/>
    <col min="11788" max="11788" width="2.7265625" style="604" customWidth="1"/>
    <col min="11789" max="11789" width="19.08984375" style="604" bestFit="1" customWidth="1"/>
    <col min="11790" max="11790" width="1.81640625" style="604" customWidth="1"/>
    <col min="11791" max="11791" width="6.7265625" style="604" customWidth="1"/>
    <col min="11792" max="11792" width="14.7265625" style="604" customWidth="1"/>
    <col min="11793" max="11793" width="9" style="604" bestFit="1" customWidth="1"/>
    <col min="11794" max="12034" width="5" style="604"/>
    <col min="12035" max="12035" width="4.7265625" style="604" customWidth="1"/>
    <col min="12036" max="12036" width="2" style="604" customWidth="1"/>
    <col min="12037" max="12037" width="40.7265625" style="604" customWidth="1"/>
    <col min="12038" max="12038" width="3.54296875" style="604" customWidth="1"/>
    <col min="12039" max="12039" width="11.08984375" style="604" customWidth="1"/>
    <col min="12040" max="12040" width="2.7265625" style="604" customWidth="1"/>
    <col min="12041" max="12041" width="11.26953125" style="604" customWidth="1"/>
    <col min="12042" max="12042" width="2.7265625" style="604" customWidth="1"/>
    <col min="12043" max="12043" width="11.26953125" style="604" customWidth="1"/>
    <col min="12044" max="12044" width="2.7265625" style="604" customWidth="1"/>
    <col min="12045" max="12045" width="19.08984375" style="604" bestFit="1" customWidth="1"/>
    <col min="12046" max="12046" width="1.81640625" style="604" customWidth="1"/>
    <col min="12047" max="12047" width="6.7265625" style="604" customWidth="1"/>
    <col min="12048" max="12048" width="14.7265625" style="604" customWidth="1"/>
    <col min="12049" max="12049" width="9" style="604" bestFit="1" customWidth="1"/>
    <col min="12050" max="12290" width="5" style="604"/>
    <col min="12291" max="12291" width="4.7265625" style="604" customWidth="1"/>
    <col min="12292" max="12292" width="2" style="604" customWidth="1"/>
    <col min="12293" max="12293" width="40.7265625" style="604" customWidth="1"/>
    <col min="12294" max="12294" width="3.54296875" style="604" customWidth="1"/>
    <col min="12295" max="12295" width="11.08984375" style="604" customWidth="1"/>
    <col min="12296" max="12296" width="2.7265625" style="604" customWidth="1"/>
    <col min="12297" max="12297" width="11.26953125" style="604" customWidth="1"/>
    <col min="12298" max="12298" width="2.7265625" style="604" customWidth="1"/>
    <col min="12299" max="12299" width="11.26953125" style="604" customWidth="1"/>
    <col min="12300" max="12300" width="2.7265625" style="604" customWidth="1"/>
    <col min="12301" max="12301" width="19.08984375" style="604" bestFit="1" customWidth="1"/>
    <col min="12302" max="12302" width="1.81640625" style="604" customWidth="1"/>
    <col min="12303" max="12303" width="6.7265625" style="604" customWidth="1"/>
    <col min="12304" max="12304" width="14.7265625" style="604" customWidth="1"/>
    <col min="12305" max="12305" width="9" style="604" bestFit="1" customWidth="1"/>
    <col min="12306" max="12546" width="5" style="604"/>
    <col min="12547" max="12547" width="4.7265625" style="604" customWidth="1"/>
    <col min="12548" max="12548" width="2" style="604" customWidth="1"/>
    <col min="12549" max="12549" width="40.7265625" style="604" customWidth="1"/>
    <col min="12550" max="12550" width="3.54296875" style="604" customWidth="1"/>
    <col min="12551" max="12551" width="11.08984375" style="604" customWidth="1"/>
    <col min="12552" max="12552" width="2.7265625" style="604" customWidth="1"/>
    <col min="12553" max="12553" width="11.26953125" style="604" customWidth="1"/>
    <col min="12554" max="12554" width="2.7265625" style="604" customWidth="1"/>
    <col min="12555" max="12555" width="11.26953125" style="604" customWidth="1"/>
    <col min="12556" max="12556" width="2.7265625" style="604" customWidth="1"/>
    <col min="12557" max="12557" width="19.08984375" style="604" bestFit="1" customWidth="1"/>
    <col min="12558" max="12558" width="1.81640625" style="604" customWidth="1"/>
    <col min="12559" max="12559" width="6.7265625" style="604" customWidth="1"/>
    <col min="12560" max="12560" width="14.7265625" style="604" customWidth="1"/>
    <col min="12561" max="12561" width="9" style="604" bestFit="1" customWidth="1"/>
    <col min="12562" max="12802" width="5" style="604"/>
    <col min="12803" max="12803" width="4.7265625" style="604" customWidth="1"/>
    <col min="12804" max="12804" width="2" style="604" customWidth="1"/>
    <col min="12805" max="12805" width="40.7265625" style="604" customWidth="1"/>
    <col min="12806" max="12806" width="3.54296875" style="604" customWidth="1"/>
    <col min="12807" max="12807" width="11.08984375" style="604" customWidth="1"/>
    <col min="12808" max="12808" width="2.7265625" style="604" customWidth="1"/>
    <col min="12809" max="12809" width="11.26953125" style="604" customWidth="1"/>
    <col min="12810" max="12810" width="2.7265625" style="604" customWidth="1"/>
    <col min="12811" max="12811" width="11.26953125" style="604" customWidth="1"/>
    <col min="12812" max="12812" width="2.7265625" style="604" customWidth="1"/>
    <col min="12813" max="12813" width="19.08984375" style="604" bestFit="1" customWidth="1"/>
    <col min="12814" max="12814" width="1.81640625" style="604" customWidth="1"/>
    <col min="12815" max="12815" width="6.7265625" style="604" customWidth="1"/>
    <col min="12816" max="12816" width="14.7265625" style="604" customWidth="1"/>
    <col min="12817" max="12817" width="9" style="604" bestFit="1" customWidth="1"/>
    <col min="12818" max="13058" width="5" style="604"/>
    <col min="13059" max="13059" width="4.7265625" style="604" customWidth="1"/>
    <col min="13060" max="13060" width="2" style="604" customWidth="1"/>
    <col min="13061" max="13061" width="40.7265625" style="604" customWidth="1"/>
    <col min="13062" max="13062" width="3.54296875" style="604" customWidth="1"/>
    <col min="13063" max="13063" width="11.08984375" style="604" customWidth="1"/>
    <col min="13064" max="13064" width="2.7265625" style="604" customWidth="1"/>
    <col min="13065" max="13065" width="11.26953125" style="604" customWidth="1"/>
    <col min="13066" max="13066" width="2.7265625" style="604" customWidth="1"/>
    <col min="13067" max="13067" width="11.26953125" style="604" customWidth="1"/>
    <col min="13068" max="13068" width="2.7265625" style="604" customWidth="1"/>
    <col min="13069" max="13069" width="19.08984375" style="604" bestFit="1" customWidth="1"/>
    <col min="13070" max="13070" width="1.81640625" style="604" customWidth="1"/>
    <col min="13071" max="13071" width="6.7265625" style="604" customWidth="1"/>
    <col min="13072" max="13072" width="14.7265625" style="604" customWidth="1"/>
    <col min="13073" max="13073" width="9" style="604" bestFit="1" customWidth="1"/>
    <col min="13074" max="13314" width="5" style="604"/>
    <col min="13315" max="13315" width="4.7265625" style="604" customWidth="1"/>
    <col min="13316" max="13316" width="2" style="604" customWidth="1"/>
    <col min="13317" max="13317" width="40.7265625" style="604" customWidth="1"/>
    <col min="13318" max="13318" width="3.54296875" style="604" customWidth="1"/>
    <col min="13319" max="13319" width="11.08984375" style="604" customWidth="1"/>
    <col min="13320" max="13320" width="2.7265625" style="604" customWidth="1"/>
    <col min="13321" max="13321" width="11.26953125" style="604" customWidth="1"/>
    <col min="13322" max="13322" width="2.7265625" style="604" customWidth="1"/>
    <col min="13323" max="13323" width="11.26953125" style="604" customWidth="1"/>
    <col min="13324" max="13324" width="2.7265625" style="604" customWidth="1"/>
    <col min="13325" max="13325" width="19.08984375" style="604" bestFit="1" customWidth="1"/>
    <col min="13326" max="13326" width="1.81640625" style="604" customWidth="1"/>
    <col min="13327" max="13327" width="6.7265625" style="604" customWidth="1"/>
    <col min="13328" max="13328" width="14.7265625" style="604" customWidth="1"/>
    <col min="13329" max="13329" width="9" style="604" bestFit="1" customWidth="1"/>
    <col min="13330" max="13570" width="5" style="604"/>
    <col min="13571" max="13571" width="4.7265625" style="604" customWidth="1"/>
    <col min="13572" max="13572" width="2" style="604" customWidth="1"/>
    <col min="13573" max="13573" width="40.7265625" style="604" customWidth="1"/>
    <col min="13574" max="13574" width="3.54296875" style="604" customWidth="1"/>
    <col min="13575" max="13575" width="11.08984375" style="604" customWidth="1"/>
    <col min="13576" max="13576" width="2.7265625" style="604" customWidth="1"/>
    <col min="13577" max="13577" width="11.26953125" style="604" customWidth="1"/>
    <col min="13578" max="13578" width="2.7265625" style="604" customWidth="1"/>
    <col min="13579" max="13579" width="11.26953125" style="604" customWidth="1"/>
    <col min="13580" max="13580" width="2.7265625" style="604" customWidth="1"/>
    <col min="13581" max="13581" width="19.08984375" style="604" bestFit="1" customWidth="1"/>
    <col min="13582" max="13582" width="1.81640625" style="604" customWidth="1"/>
    <col min="13583" max="13583" width="6.7265625" style="604" customWidth="1"/>
    <col min="13584" max="13584" width="14.7265625" style="604" customWidth="1"/>
    <col min="13585" max="13585" width="9" style="604" bestFit="1" customWidth="1"/>
    <col min="13586" max="13826" width="5" style="604"/>
    <col min="13827" max="13827" width="4.7265625" style="604" customWidth="1"/>
    <col min="13828" max="13828" width="2" style="604" customWidth="1"/>
    <col min="13829" max="13829" width="40.7265625" style="604" customWidth="1"/>
    <col min="13830" max="13830" width="3.54296875" style="604" customWidth="1"/>
    <col min="13831" max="13831" width="11.08984375" style="604" customWidth="1"/>
    <col min="13832" max="13832" width="2.7265625" style="604" customWidth="1"/>
    <col min="13833" max="13833" width="11.26953125" style="604" customWidth="1"/>
    <col min="13834" max="13834" width="2.7265625" style="604" customWidth="1"/>
    <col min="13835" max="13835" width="11.26953125" style="604" customWidth="1"/>
    <col min="13836" max="13836" width="2.7265625" style="604" customWidth="1"/>
    <col min="13837" max="13837" width="19.08984375" style="604" bestFit="1" customWidth="1"/>
    <col min="13838" max="13838" width="1.81640625" style="604" customWidth="1"/>
    <col min="13839" max="13839" width="6.7265625" style="604" customWidth="1"/>
    <col min="13840" max="13840" width="14.7265625" style="604" customWidth="1"/>
    <col min="13841" max="13841" width="9" style="604" bestFit="1" customWidth="1"/>
    <col min="13842" max="14082" width="5" style="604"/>
    <col min="14083" max="14083" width="4.7265625" style="604" customWidth="1"/>
    <col min="14084" max="14084" width="2" style="604" customWidth="1"/>
    <col min="14085" max="14085" width="40.7265625" style="604" customWidth="1"/>
    <col min="14086" max="14086" width="3.54296875" style="604" customWidth="1"/>
    <col min="14087" max="14087" width="11.08984375" style="604" customWidth="1"/>
    <col min="14088" max="14088" width="2.7265625" style="604" customWidth="1"/>
    <col min="14089" max="14089" width="11.26953125" style="604" customWidth="1"/>
    <col min="14090" max="14090" width="2.7265625" style="604" customWidth="1"/>
    <col min="14091" max="14091" width="11.26953125" style="604" customWidth="1"/>
    <col min="14092" max="14092" width="2.7265625" style="604" customWidth="1"/>
    <col min="14093" max="14093" width="19.08984375" style="604" bestFit="1" customWidth="1"/>
    <col min="14094" max="14094" width="1.81640625" style="604" customWidth="1"/>
    <col min="14095" max="14095" width="6.7265625" style="604" customWidth="1"/>
    <col min="14096" max="14096" width="14.7265625" style="604" customWidth="1"/>
    <col min="14097" max="14097" width="9" style="604" bestFit="1" customWidth="1"/>
    <col min="14098" max="14338" width="5" style="604"/>
    <col min="14339" max="14339" width="4.7265625" style="604" customWidth="1"/>
    <col min="14340" max="14340" width="2" style="604" customWidth="1"/>
    <col min="14341" max="14341" width="40.7265625" style="604" customWidth="1"/>
    <col min="14342" max="14342" width="3.54296875" style="604" customWidth="1"/>
    <col min="14343" max="14343" width="11.08984375" style="604" customWidth="1"/>
    <col min="14344" max="14344" width="2.7265625" style="604" customWidth="1"/>
    <col min="14345" max="14345" width="11.26953125" style="604" customWidth="1"/>
    <col min="14346" max="14346" width="2.7265625" style="604" customWidth="1"/>
    <col min="14347" max="14347" width="11.26953125" style="604" customWidth="1"/>
    <col min="14348" max="14348" width="2.7265625" style="604" customWidth="1"/>
    <col min="14349" max="14349" width="19.08984375" style="604" bestFit="1" customWidth="1"/>
    <col min="14350" max="14350" width="1.81640625" style="604" customWidth="1"/>
    <col min="14351" max="14351" width="6.7265625" style="604" customWidth="1"/>
    <col min="14352" max="14352" width="14.7265625" style="604" customWidth="1"/>
    <col min="14353" max="14353" width="9" style="604" bestFit="1" customWidth="1"/>
    <col min="14354" max="14594" width="5" style="604"/>
    <col min="14595" max="14595" width="4.7265625" style="604" customWidth="1"/>
    <col min="14596" max="14596" width="2" style="604" customWidth="1"/>
    <col min="14597" max="14597" width="40.7265625" style="604" customWidth="1"/>
    <col min="14598" max="14598" width="3.54296875" style="604" customWidth="1"/>
    <col min="14599" max="14599" width="11.08984375" style="604" customWidth="1"/>
    <col min="14600" max="14600" width="2.7265625" style="604" customWidth="1"/>
    <col min="14601" max="14601" width="11.26953125" style="604" customWidth="1"/>
    <col min="14602" max="14602" width="2.7265625" style="604" customWidth="1"/>
    <col min="14603" max="14603" width="11.26953125" style="604" customWidth="1"/>
    <col min="14604" max="14604" width="2.7265625" style="604" customWidth="1"/>
    <col min="14605" max="14605" width="19.08984375" style="604" bestFit="1" customWidth="1"/>
    <col min="14606" max="14606" width="1.81640625" style="604" customWidth="1"/>
    <col min="14607" max="14607" width="6.7265625" style="604" customWidth="1"/>
    <col min="14608" max="14608" width="14.7265625" style="604" customWidth="1"/>
    <col min="14609" max="14609" width="9" style="604" bestFit="1" customWidth="1"/>
    <col min="14610" max="14850" width="5" style="604"/>
    <col min="14851" max="14851" width="4.7265625" style="604" customWidth="1"/>
    <col min="14852" max="14852" width="2" style="604" customWidth="1"/>
    <col min="14853" max="14853" width="40.7265625" style="604" customWidth="1"/>
    <col min="14854" max="14854" width="3.54296875" style="604" customWidth="1"/>
    <col min="14855" max="14855" width="11.08984375" style="604" customWidth="1"/>
    <col min="14856" max="14856" width="2.7265625" style="604" customWidth="1"/>
    <col min="14857" max="14857" width="11.26953125" style="604" customWidth="1"/>
    <col min="14858" max="14858" width="2.7265625" style="604" customWidth="1"/>
    <col min="14859" max="14859" width="11.26953125" style="604" customWidth="1"/>
    <col min="14860" max="14860" width="2.7265625" style="604" customWidth="1"/>
    <col min="14861" max="14861" width="19.08984375" style="604" bestFit="1" customWidth="1"/>
    <col min="14862" max="14862" width="1.81640625" style="604" customWidth="1"/>
    <col min="14863" max="14863" width="6.7265625" style="604" customWidth="1"/>
    <col min="14864" max="14864" width="14.7265625" style="604" customWidth="1"/>
    <col min="14865" max="14865" width="9" style="604" bestFit="1" customWidth="1"/>
    <col min="14866" max="15106" width="5" style="604"/>
    <col min="15107" max="15107" width="4.7265625" style="604" customWidth="1"/>
    <col min="15108" max="15108" width="2" style="604" customWidth="1"/>
    <col min="15109" max="15109" width="40.7265625" style="604" customWidth="1"/>
    <col min="15110" max="15110" width="3.54296875" style="604" customWidth="1"/>
    <col min="15111" max="15111" width="11.08984375" style="604" customWidth="1"/>
    <col min="15112" max="15112" width="2.7265625" style="604" customWidth="1"/>
    <col min="15113" max="15113" width="11.26953125" style="604" customWidth="1"/>
    <col min="15114" max="15114" width="2.7265625" style="604" customWidth="1"/>
    <col min="15115" max="15115" width="11.26953125" style="604" customWidth="1"/>
    <col min="15116" max="15116" width="2.7265625" style="604" customWidth="1"/>
    <col min="15117" max="15117" width="19.08984375" style="604" bestFit="1" customWidth="1"/>
    <col min="15118" max="15118" width="1.81640625" style="604" customWidth="1"/>
    <col min="15119" max="15119" width="6.7265625" style="604" customWidth="1"/>
    <col min="15120" max="15120" width="14.7265625" style="604" customWidth="1"/>
    <col min="15121" max="15121" width="9" style="604" bestFit="1" customWidth="1"/>
    <col min="15122" max="15362" width="5" style="604"/>
    <col min="15363" max="15363" width="4.7265625" style="604" customWidth="1"/>
    <col min="15364" max="15364" width="2" style="604" customWidth="1"/>
    <col min="15365" max="15365" width="40.7265625" style="604" customWidth="1"/>
    <col min="15366" max="15366" width="3.54296875" style="604" customWidth="1"/>
    <col min="15367" max="15367" width="11.08984375" style="604" customWidth="1"/>
    <col min="15368" max="15368" width="2.7265625" style="604" customWidth="1"/>
    <col min="15369" max="15369" width="11.26953125" style="604" customWidth="1"/>
    <col min="15370" max="15370" width="2.7265625" style="604" customWidth="1"/>
    <col min="15371" max="15371" width="11.26953125" style="604" customWidth="1"/>
    <col min="15372" max="15372" width="2.7265625" style="604" customWidth="1"/>
    <col min="15373" max="15373" width="19.08984375" style="604" bestFit="1" customWidth="1"/>
    <col min="15374" max="15374" width="1.81640625" style="604" customWidth="1"/>
    <col min="15375" max="15375" width="6.7265625" style="604" customWidth="1"/>
    <col min="15376" max="15376" width="14.7265625" style="604" customWidth="1"/>
    <col min="15377" max="15377" width="9" style="604" bestFit="1" customWidth="1"/>
    <col min="15378" max="15618" width="5" style="604"/>
    <col min="15619" max="15619" width="4.7265625" style="604" customWidth="1"/>
    <col min="15620" max="15620" width="2" style="604" customWidth="1"/>
    <col min="15621" max="15621" width="40.7265625" style="604" customWidth="1"/>
    <col min="15622" max="15622" width="3.54296875" style="604" customWidth="1"/>
    <col min="15623" max="15623" width="11.08984375" style="604" customWidth="1"/>
    <col min="15624" max="15624" width="2.7265625" style="604" customWidth="1"/>
    <col min="15625" max="15625" width="11.26953125" style="604" customWidth="1"/>
    <col min="15626" max="15626" width="2.7265625" style="604" customWidth="1"/>
    <col min="15627" max="15627" width="11.26953125" style="604" customWidth="1"/>
    <col min="15628" max="15628" width="2.7265625" style="604" customWidth="1"/>
    <col min="15629" max="15629" width="19.08984375" style="604" bestFit="1" customWidth="1"/>
    <col min="15630" max="15630" width="1.81640625" style="604" customWidth="1"/>
    <col min="15631" max="15631" width="6.7265625" style="604" customWidth="1"/>
    <col min="15632" max="15632" width="14.7265625" style="604" customWidth="1"/>
    <col min="15633" max="15633" width="9" style="604" bestFit="1" customWidth="1"/>
    <col min="15634" max="15874" width="5" style="604"/>
    <col min="15875" max="15875" width="4.7265625" style="604" customWidth="1"/>
    <col min="15876" max="15876" width="2" style="604" customWidth="1"/>
    <col min="15877" max="15877" width="40.7265625" style="604" customWidth="1"/>
    <col min="15878" max="15878" width="3.54296875" style="604" customWidth="1"/>
    <col min="15879" max="15879" width="11.08984375" style="604" customWidth="1"/>
    <col min="15880" max="15880" width="2.7265625" style="604" customWidth="1"/>
    <col min="15881" max="15881" width="11.26953125" style="604" customWidth="1"/>
    <col min="15882" max="15882" width="2.7265625" style="604" customWidth="1"/>
    <col min="15883" max="15883" width="11.26953125" style="604" customWidth="1"/>
    <col min="15884" max="15884" width="2.7265625" style="604" customWidth="1"/>
    <col min="15885" max="15885" width="19.08984375" style="604" bestFit="1" customWidth="1"/>
    <col min="15886" max="15886" width="1.81640625" style="604" customWidth="1"/>
    <col min="15887" max="15887" width="6.7265625" style="604" customWidth="1"/>
    <col min="15888" max="15888" width="14.7265625" style="604" customWidth="1"/>
    <col min="15889" max="15889" width="9" style="604" bestFit="1" customWidth="1"/>
    <col min="15890" max="16130" width="5" style="604"/>
    <col min="16131" max="16131" width="4.7265625" style="604" customWidth="1"/>
    <col min="16132" max="16132" width="2" style="604" customWidth="1"/>
    <col min="16133" max="16133" width="40.7265625" style="604" customWidth="1"/>
    <col min="16134" max="16134" width="3.54296875" style="604" customWidth="1"/>
    <col min="16135" max="16135" width="11.08984375" style="604" customWidth="1"/>
    <col min="16136" max="16136" width="2.7265625" style="604" customWidth="1"/>
    <col min="16137" max="16137" width="11.26953125" style="604" customWidth="1"/>
    <col min="16138" max="16138" width="2.7265625" style="604" customWidth="1"/>
    <col min="16139" max="16139" width="11.26953125" style="604" customWidth="1"/>
    <col min="16140" max="16140" width="2.7265625" style="604" customWidth="1"/>
    <col min="16141" max="16141" width="19.08984375" style="604" bestFit="1" customWidth="1"/>
    <col min="16142" max="16142" width="1.81640625" style="604" customWidth="1"/>
    <col min="16143" max="16143" width="6.7265625" style="604" customWidth="1"/>
    <col min="16144" max="16144" width="14.7265625" style="604" customWidth="1"/>
    <col min="16145" max="16145" width="9" style="604" bestFit="1" customWidth="1"/>
    <col min="16146" max="16384" width="5" style="604"/>
  </cols>
  <sheetData>
    <row r="1" spans="1:44">
      <c r="AK1" s="675" t="s">
        <v>984</v>
      </c>
      <c r="AL1" s="675"/>
      <c r="AM1" s="675"/>
    </row>
    <row r="2" spans="1:44">
      <c r="AK2" s="675" t="s">
        <v>144</v>
      </c>
      <c r="AL2" s="675"/>
      <c r="AM2" s="675"/>
    </row>
    <row r="3" spans="1:44">
      <c r="AK3" s="675" t="str">
        <f>'Attachment 13b - PJM Billings'!J3</f>
        <v>For the 12 months ended 12/31/2022</v>
      </c>
      <c r="AL3" s="675"/>
      <c r="AM3" s="675"/>
    </row>
    <row r="5" spans="1:44">
      <c r="B5" s="604"/>
      <c r="C5" s="624" t="s">
        <v>627</v>
      </c>
      <c r="E5" s="624" t="str">
        <f>"("&amp;CHAR(CODE(MID(C5,2,1))+1)&amp;")"</f>
        <v>(B)</v>
      </c>
      <c r="F5" s="624"/>
      <c r="G5" s="624" t="str">
        <f t="shared" ref="G5" si="0">"("&amp;CHAR(CODE(MID(E5,2,1))+1)&amp;")"</f>
        <v>(C)</v>
      </c>
      <c r="I5" s="624" t="str">
        <f>"("&amp;CHAR(CODE(MID(G5,2,1))+1)&amp;")"</f>
        <v>(D)</v>
      </c>
      <c r="K5" s="624" t="str">
        <f>"("&amp;CHAR(CODE(MID(I5,2,1))+1)&amp;")"</f>
        <v>(E)</v>
      </c>
      <c r="M5" s="624" t="str">
        <f>"("&amp;CHAR(CODE(MID(K5,2,1))+1)&amp;")"</f>
        <v>(F)</v>
      </c>
      <c r="O5" s="624" t="str">
        <f>"("&amp;CHAR(CODE(MID(M5,2,1))+1)&amp;")"</f>
        <v>(G)</v>
      </c>
      <c r="Q5" s="624" t="str">
        <f>"("&amp;CHAR(CODE(MID(O5,2,1))+1)&amp;")"</f>
        <v>(H)</v>
      </c>
      <c r="S5" s="624" t="str">
        <f>"("&amp;CHAR(CODE(MID(Q5,2,1))+1)&amp;")"</f>
        <v>(I)</v>
      </c>
      <c r="U5" s="624" t="str">
        <f>"("&amp;CHAR(CODE(MID(S5,2,1))+1)&amp;")"</f>
        <v>(J)</v>
      </c>
      <c r="W5" s="624" t="str">
        <f>"("&amp;CHAR(CODE(MID(U5,2,1))+1)&amp;")"</f>
        <v>(K)</v>
      </c>
      <c r="Y5" s="624" t="str">
        <f>"("&amp;CHAR(CODE(MID(W5,2,1))+1)&amp;")"</f>
        <v>(L)</v>
      </c>
      <c r="AA5" s="624" t="str">
        <f>"("&amp;CHAR(CODE(MID(Y5,2,1))+1)&amp;")"</f>
        <v>(M)</v>
      </c>
      <c r="AC5" s="624" t="str">
        <f>"("&amp;CHAR(CODE(MID(AA5,2,1))+1)&amp;")"</f>
        <v>(N)</v>
      </c>
      <c r="AE5" s="624" t="str">
        <f>"("&amp;CHAR(CODE(MID(AC5,2,1))+1)&amp;")"</f>
        <v>(O)</v>
      </c>
      <c r="AG5" s="624" t="str">
        <f>"("&amp;CHAR(CODE(MID(AE5,2,1))+1)&amp;")"</f>
        <v>(P)</v>
      </c>
      <c r="AI5" s="624" t="str">
        <f>"("&amp;CHAR(CODE(MID(AG5,2,1))+1)&amp;")"</f>
        <v>(Q)</v>
      </c>
      <c r="AJ5" s="624"/>
      <c r="AK5" s="624" t="str">
        <f t="shared" ref="AK5" si="1">"("&amp;CHAR(CODE(MID(AI5,2,1))+1)&amp;")"</f>
        <v>(R)</v>
      </c>
      <c r="AL5" s="624"/>
      <c r="AM5" s="624" t="str">
        <f t="shared" ref="AM5" si="2">"("&amp;CHAR(CODE(MID(AK5,2,1))+1)&amp;")"</f>
        <v>(S)</v>
      </c>
      <c r="AN5" s="604"/>
      <c r="AO5" s="604"/>
      <c r="AP5" s="604"/>
    </row>
    <row r="6" spans="1:44">
      <c r="B6" s="604"/>
      <c r="G6" s="624"/>
      <c r="I6" s="624"/>
      <c r="K6" s="624"/>
      <c r="M6" s="624"/>
      <c r="O6" s="624"/>
      <c r="Q6" s="624"/>
      <c r="S6" s="624"/>
      <c r="U6" s="624"/>
      <c r="W6" s="624"/>
      <c r="Y6" s="624"/>
      <c r="AA6" s="624"/>
      <c r="AC6" s="624"/>
      <c r="AE6" s="624"/>
      <c r="AG6" s="624"/>
      <c r="AH6" s="605"/>
      <c r="AI6" s="624"/>
      <c r="AJ6" s="605"/>
      <c r="AL6" s="605"/>
      <c r="AR6" s="605"/>
    </row>
    <row r="7" spans="1:44">
      <c r="B7" s="604"/>
      <c r="G7" s="624"/>
      <c r="I7" s="662">
        <v>2021</v>
      </c>
      <c r="K7" s="623">
        <f>$I$7+1</f>
        <v>2022</v>
      </c>
      <c r="M7" s="623">
        <f>$I$7+1</f>
        <v>2022</v>
      </c>
      <c r="O7" s="623">
        <f>$I$7+1</f>
        <v>2022</v>
      </c>
      <c r="Q7" s="623">
        <f>$I$7+1</f>
        <v>2022</v>
      </c>
      <c r="S7" s="623">
        <f>$I$7+1</f>
        <v>2022</v>
      </c>
      <c r="U7" s="623">
        <f>$I$7+1</f>
        <v>2022</v>
      </c>
      <c r="W7" s="623">
        <f>$I$7+1</f>
        <v>2022</v>
      </c>
      <c r="Y7" s="623">
        <f>$I$7+1</f>
        <v>2022</v>
      </c>
      <c r="AA7" s="623">
        <f>$I$7+1</f>
        <v>2022</v>
      </c>
      <c r="AC7" s="623">
        <f>$I$7+1</f>
        <v>2022</v>
      </c>
      <c r="AE7" s="623">
        <f>$I$7+1</f>
        <v>2022</v>
      </c>
      <c r="AG7" s="623">
        <f>$I$7+1</f>
        <v>2022</v>
      </c>
      <c r="AH7" s="605"/>
      <c r="AI7" s="605"/>
      <c r="AJ7" s="605"/>
      <c r="AL7" s="605"/>
      <c r="AM7" s="604"/>
      <c r="AO7" s="604"/>
      <c r="AP7" s="604"/>
    </row>
    <row r="8" spans="1:44" ht="31.2">
      <c r="A8" s="622" t="s">
        <v>630</v>
      </c>
      <c r="B8" s="613"/>
      <c r="C8" s="620" t="s">
        <v>625</v>
      </c>
      <c r="D8" s="613"/>
      <c r="E8" s="892" t="s">
        <v>1020</v>
      </c>
      <c r="F8" s="613"/>
      <c r="G8" s="892" t="s">
        <v>814</v>
      </c>
      <c r="H8" s="613"/>
      <c r="I8" s="619" t="s">
        <v>188</v>
      </c>
      <c r="J8" s="613"/>
      <c r="K8" s="619" t="s">
        <v>623</v>
      </c>
      <c r="L8" s="613"/>
      <c r="M8" s="619" t="s">
        <v>622</v>
      </c>
      <c r="N8" s="613"/>
      <c r="O8" s="619" t="s">
        <v>621</v>
      </c>
      <c r="P8" s="613"/>
      <c r="Q8" s="619" t="s">
        <v>620</v>
      </c>
      <c r="R8" s="613"/>
      <c r="S8" s="619" t="s">
        <v>619</v>
      </c>
      <c r="T8" s="613"/>
      <c r="U8" s="619" t="s">
        <v>618</v>
      </c>
      <c r="V8" s="613"/>
      <c r="W8" s="619" t="s">
        <v>617</v>
      </c>
      <c r="X8" s="613"/>
      <c r="Y8" s="619" t="s">
        <v>616</v>
      </c>
      <c r="Z8" s="613"/>
      <c r="AA8" s="619" t="s">
        <v>615</v>
      </c>
      <c r="AB8" s="613"/>
      <c r="AC8" s="619" t="s">
        <v>614</v>
      </c>
      <c r="AD8" s="613"/>
      <c r="AE8" s="619" t="s">
        <v>613</v>
      </c>
      <c r="AF8" s="613"/>
      <c r="AG8" s="619" t="s">
        <v>188</v>
      </c>
      <c r="AH8" s="611"/>
      <c r="AI8" s="619" t="s">
        <v>738</v>
      </c>
      <c r="AJ8" s="762" t="s">
        <v>642</v>
      </c>
      <c r="AK8" s="892" t="s">
        <v>783</v>
      </c>
      <c r="AL8" s="927" t="s">
        <v>60</v>
      </c>
      <c r="AM8" s="893" t="s">
        <v>809</v>
      </c>
      <c r="AN8" s="611"/>
      <c r="AO8" s="826"/>
      <c r="AP8" s="826"/>
      <c r="AQ8" s="826"/>
    </row>
    <row r="9" spans="1:44">
      <c r="A9" s="615"/>
      <c r="B9" s="613"/>
      <c r="C9" s="614"/>
      <c r="D9" s="613"/>
      <c r="E9" s="612"/>
      <c r="F9" s="613"/>
      <c r="G9" s="612"/>
      <c r="H9" s="613"/>
      <c r="I9" s="612"/>
      <c r="J9" s="613"/>
      <c r="K9" s="612"/>
      <c r="L9" s="613"/>
      <c r="M9" s="612"/>
      <c r="N9" s="613"/>
      <c r="O9" s="612"/>
      <c r="P9" s="613"/>
      <c r="Q9" s="612"/>
      <c r="R9" s="613"/>
      <c r="S9" s="612"/>
      <c r="T9" s="613"/>
      <c r="U9" s="612"/>
      <c r="V9" s="613"/>
      <c r="W9" s="612"/>
      <c r="X9" s="613"/>
      <c r="Y9" s="612"/>
      <c r="Z9" s="613"/>
      <c r="AA9" s="612"/>
      <c r="AB9" s="613"/>
      <c r="AC9" s="612"/>
      <c r="AD9" s="613"/>
      <c r="AE9" s="612"/>
      <c r="AF9" s="613"/>
      <c r="AG9" s="612"/>
      <c r="AH9" s="613"/>
      <c r="AI9" s="612"/>
      <c r="AJ9" s="613"/>
      <c r="AK9" s="612"/>
      <c r="AL9" s="611"/>
      <c r="AM9" s="612"/>
      <c r="AN9" s="612"/>
      <c r="AO9" s="612"/>
      <c r="AP9" s="612"/>
      <c r="AQ9" s="616"/>
      <c r="AR9" s="611"/>
    </row>
    <row r="10" spans="1:44">
      <c r="A10" s="615">
        <v>1</v>
      </c>
      <c r="B10" s="613"/>
      <c r="C10" s="614" t="s">
        <v>612</v>
      </c>
      <c r="D10" s="613"/>
      <c r="E10" s="612"/>
      <c r="F10" s="613"/>
      <c r="G10" s="612"/>
      <c r="H10" s="613"/>
      <c r="I10" s="612"/>
      <c r="J10" s="613"/>
      <c r="K10" s="612"/>
      <c r="L10" s="613"/>
      <c r="M10" s="612"/>
      <c r="N10" s="613"/>
      <c r="O10" s="612"/>
      <c r="P10" s="613"/>
      <c r="Q10" s="612"/>
      <c r="R10" s="613"/>
      <c r="S10" s="612"/>
      <c r="T10" s="613"/>
      <c r="U10" s="612"/>
      <c r="V10" s="613"/>
      <c r="W10" s="612"/>
      <c r="X10" s="613"/>
      <c r="Y10" s="612"/>
      <c r="Z10" s="613"/>
      <c r="AA10" s="612"/>
      <c r="AB10" s="613"/>
      <c r="AC10" s="612"/>
      <c r="AD10" s="613"/>
      <c r="AE10" s="612"/>
      <c r="AF10" s="613"/>
      <c r="AG10" s="612"/>
      <c r="AH10" s="613"/>
      <c r="AI10" s="612"/>
      <c r="AJ10" s="613"/>
      <c r="AK10" s="612"/>
      <c r="AL10" s="611"/>
      <c r="AM10" s="612"/>
      <c r="AN10" s="612"/>
      <c r="AO10" s="612"/>
      <c r="AP10" s="612"/>
      <c r="AQ10" s="612"/>
      <c r="AR10" s="611"/>
    </row>
    <row r="11" spans="1:44">
      <c r="C11" s="605"/>
      <c r="D11" s="605"/>
      <c r="E11" s="605"/>
      <c r="F11" s="605"/>
      <c r="G11" s="605"/>
      <c r="H11" s="605"/>
      <c r="I11" s="605"/>
      <c r="J11" s="605"/>
      <c r="K11" s="605"/>
      <c r="L11" s="605"/>
      <c r="M11" s="605"/>
      <c r="N11" s="605"/>
      <c r="O11" s="605"/>
      <c r="P11" s="605"/>
      <c r="Q11" s="605"/>
      <c r="R11" s="605"/>
      <c r="S11" s="605"/>
      <c r="T11" s="605"/>
      <c r="U11" s="605"/>
      <c r="V11" s="605"/>
      <c r="W11" s="605"/>
      <c r="X11" s="605"/>
      <c r="Y11" s="605"/>
      <c r="Z11" s="605"/>
      <c r="AA11" s="605"/>
      <c r="AB11" s="605"/>
      <c r="AC11" s="605"/>
      <c r="AD11" s="605"/>
      <c r="AE11" s="605"/>
      <c r="AF11" s="605"/>
      <c r="AG11" s="605"/>
      <c r="AH11" s="605"/>
      <c r="AI11" s="605"/>
      <c r="AJ11" s="605"/>
      <c r="AL11" s="605"/>
      <c r="AQ11" s="605"/>
      <c r="AR11" s="605"/>
    </row>
    <row r="12" spans="1:44">
      <c r="A12" s="739">
        <f>A10+0.01</f>
        <v>1.01</v>
      </c>
      <c r="B12" s="604"/>
      <c r="C12" s="659" t="s">
        <v>1152</v>
      </c>
      <c r="E12" s="727" t="s">
        <v>1089</v>
      </c>
      <c r="G12" s="665"/>
      <c r="I12" s="660">
        <v>24388155.279999997</v>
      </c>
      <c r="K12" s="660">
        <v>25320581.199999999</v>
      </c>
      <c r="M12" s="660">
        <v>24463575.800000001</v>
      </c>
      <c r="O12" s="660">
        <v>23771249.440000001</v>
      </c>
      <c r="Q12" s="660">
        <v>1331200.19</v>
      </c>
      <c r="S12" s="660">
        <v>75255690.530000001</v>
      </c>
      <c r="U12" s="660">
        <v>73072143.039999992</v>
      </c>
      <c r="V12" s="604">
        <v>38937134.931076922</v>
      </c>
      <c r="W12" s="660">
        <v>69720654.319999993</v>
      </c>
      <c r="Y12" s="660">
        <v>55840489.790000007</v>
      </c>
      <c r="AA12" s="660">
        <v>41427781.200000003</v>
      </c>
      <c r="AC12" s="660">
        <v>33297587.290000003</v>
      </c>
      <c r="AE12" s="660">
        <v>24048046.830000002</v>
      </c>
      <c r="AG12" s="660">
        <v>23393723.02</v>
      </c>
      <c r="AI12" s="606">
        <f>SUM(I12:AG12)/13</f>
        <v>41097539.450852066</v>
      </c>
      <c r="AJ12" s="606"/>
      <c r="AK12" s="646">
        <f ca="1">IFERROR(INDIRECT(E12),0)</f>
        <v>0</v>
      </c>
      <c r="AL12" s="606"/>
      <c r="AM12" s="610">
        <f ca="1">AI12*AK12</f>
        <v>0</v>
      </c>
      <c r="AN12" s="604"/>
      <c r="AO12" s="604"/>
      <c r="AP12" s="604"/>
    </row>
    <row r="13" spans="1:44">
      <c r="A13" s="739">
        <f>A12+0.01</f>
        <v>1.02</v>
      </c>
      <c r="B13" s="604"/>
      <c r="C13" s="659" t="s">
        <v>1151</v>
      </c>
      <c r="E13" s="727" t="s">
        <v>1089</v>
      </c>
      <c r="G13" s="665"/>
      <c r="I13" s="660">
        <v>1485464.08</v>
      </c>
      <c r="K13" s="660">
        <v>1732841.9200000002</v>
      </c>
      <c r="M13" s="660">
        <v>1867693.7200000002</v>
      </c>
      <c r="O13" s="660">
        <v>1652354.5599999998</v>
      </c>
      <c r="Q13" s="660">
        <v>1517293.3599999999</v>
      </c>
      <c r="S13" s="660">
        <v>1593217.6600000001</v>
      </c>
      <c r="U13" s="660">
        <v>932892.96</v>
      </c>
      <c r="V13" s="604">
        <v>2004651.0238461541</v>
      </c>
      <c r="W13" s="660">
        <v>4475837.7399999993</v>
      </c>
      <c r="Y13" s="660">
        <v>3909578.95</v>
      </c>
      <c r="AA13" s="660">
        <v>3420728.8</v>
      </c>
      <c r="AC13" s="660">
        <v>3975928.5299999993</v>
      </c>
      <c r="AE13" s="660">
        <v>3464109.1</v>
      </c>
      <c r="AG13" s="660">
        <v>2968641.21</v>
      </c>
      <c r="AI13" s="606">
        <f>SUM(I13:AG13)/13</f>
        <v>2692402.5856804731</v>
      </c>
      <c r="AJ13" s="606"/>
      <c r="AK13" s="646">
        <f t="shared" ref="AK13" ca="1" si="3">IFERROR(INDIRECT(E13),0)</f>
        <v>0</v>
      </c>
      <c r="AL13" s="606"/>
      <c r="AM13" s="610">
        <f ca="1">AI13*AK13</f>
        <v>0</v>
      </c>
      <c r="AN13" s="604"/>
      <c r="AO13" s="604"/>
      <c r="AP13" s="604"/>
    </row>
    <row r="14" spans="1:44">
      <c r="A14" s="605">
        <f>A10+1</f>
        <v>2</v>
      </c>
      <c r="B14" s="604"/>
      <c r="C14" s="301" t="str">
        <f ca="1">"Sum of Lines "&amp;A12&amp;" through "&amp;OFFSET(A14,-1,0)</f>
        <v>Sum of Lines 1.01 through 1.02</v>
      </c>
      <c r="G14" s="647"/>
      <c r="I14" s="609">
        <f>SUM(I12:I13)</f>
        <v>25873619.359999999</v>
      </c>
      <c r="K14" s="609">
        <f>SUM(K12:K13)</f>
        <v>27053423.120000001</v>
      </c>
      <c r="M14" s="609">
        <f>SUM(M12:M13)</f>
        <v>26331269.52</v>
      </c>
      <c r="O14" s="609">
        <f>SUM(O12:O13)</f>
        <v>25423604</v>
      </c>
      <c r="Q14" s="609">
        <f>SUM(Q12:Q13)</f>
        <v>2848493.55</v>
      </c>
      <c r="S14" s="609">
        <f>SUM(S12:S13)</f>
        <v>76848908.189999998</v>
      </c>
      <c r="U14" s="609">
        <f>SUM(U12:U13)</f>
        <v>74005035.999999985</v>
      </c>
      <c r="W14" s="609">
        <f>SUM(W12:W13)</f>
        <v>74196492.059999987</v>
      </c>
      <c r="Y14" s="609">
        <f>SUM(Y12:Y13)</f>
        <v>59750068.74000001</v>
      </c>
      <c r="AA14" s="609">
        <f>SUM(AA12:AA13)</f>
        <v>44848510</v>
      </c>
      <c r="AC14" s="609">
        <f>SUM(AC12:AC13)</f>
        <v>37273515.82</v>
      </c>
      <c r="AE14" s="609">
        <f>SUM(AE12:AE13)</f>
        <v>27512155.930000003</v>
      </c>
      <c r="AG14" s="609">
        <f>SUM(AG12:AG13)</f>
        <v>26362364.23</v>
      </c>
      <c r="AI14" s="609">
        <f>SUM(AI12:AI13)</f>
        <v>43789942.036532536</v>
      </c>
      <c r="AJ14" s="647"/>
      <c r="AK14" s="763"/>
      <c r="AL14" s="647"/>
      <c r="AM14" s="608">
        <f ca="1">SUM(AM12:AM13)</f>
        <v>0</v>
      </c>
      <c r="AN14" s="604"/>
      <c r="AO14" s="604"/>
      <c r="AP14" s="604"/>
    </row>
    <row r="15" spans="1:44">
      <c r="A15" s="605">
        <f>A14+1</f>
        <v>3</v>
      </c>
      <c r="B15" s="604"/>
      <c r="C15" s="696" t="s">
        <v>733</v>
      </c>
      <c r="I15" s="660">
        <v>25873619</v>
      </c>
      <c r="AE15" s="625"/>
      <c r="AG15" s="660">
        <v>26362364</v>
      </c>
      <c r="AJ15" s="606"/>
      <c r="AK15" s="646"/>
      <c r="AL15" s="606"/>
      <c r="AM15" s="604"/>
      <c r="AN15" s="604"/>
      <c r="AO15" s="604"/>
      <c r="AP15" s="604"/>
    </row>
    <row r="16" spans="1:44">
      <c r="AK16" s="636"/>
    </row>
    <row r="17" spans="1:42">
      <c r="A17" s="605">
        <f>A15+1</f>
        <v>4</v>
      </c>
      <c r="C17" s="666" t="s">
        <v>735</v>
      </c>
      <c r="E17" s="727"/>
      <c r="G17" s="604"/>
      <c r="I17" s="696">
        <f>I18</f>
        <v>0</v>
      </c>
      <c r="K17" s="660">
        <v>0</v>
      </c>
      <c r="M17" s="660">
        <v>0</v>
      </c>
      <c r="O17" s="660">
        <v>0</v>
      </c>
      <c r="Q17" s="660">
        <v>0</v>
      </c>
      <c r="S17" s="660">
        <v>0</v>
      </c>
      <c r="U17" s="660">
        <v>0</v>
      </c>
      <c r="W17" s="660">
        <v>0</v>
      </c>
      <c r="Y17" s="660">
        <v>0</v>
      </c>
      <c r="AA17" s="660">
        <v>0</v>
      </c>
      <c r="AC17" s="660">
        <v>0</v>
      </c>
      <c r="AE17" s="660">
        <v>0</v>
      </c>
      <c r="AG17" s="696">
        <f>AG18</f>
        <v>0</v>
      </c>
      <c r="AI17" s="606">
        <f>SUM(I17:AG17)/13</f>
        <v>0</v>
      </c>
      <c r="AJ17" s="606"/>
      <c r="AK17" s="646">
        <f ca="1">IFERROR(INDIRECT(E17),0)</f>
        <v>0</v>
      </c>
      <c r="AL17" s="606"/>
      <c r="AM17" s="610">
        <f ca="1">AI17*AK17</f>
        <v>0</v>
      </c>
      <c r="AN17" s="604"/>
      <c r="AO17" s="604"/>
      <c r="AP17" s="604"/>
    </row>
    <row r="18" spans="1:42">
      <c r="C18" s="765" t="s">
        <v>734</v>
      </c>
      <c r="G18" s="604"/>
      <c r="I18" s="660">
        <v>0</v>
      </c>
      <c r="L18" s="606"/>
      <c r="AE18" s="625"/>
      <c r="AG18" s="660">
        <v>0</v>
      </c>
      <c r="AI18" s="605"/>
      <c r="AJ18" s="605"/>
      <c r="AL18" s="605"/>
      <c r="AM18" s="604"/>
      <c r="AN18" s="604"/>
      <c r="AO18" s="604"/>
      <c r="AP18" s="604"/>
    </row>
    <row r="19" spans="1:42">
      <c r="G19" s="604"/>
      <c r="I19" s="604"/>
    </row>
    <row r="20" spans="1:42">
      <c r="A20" s="605">
        <f>A17+1</f>
        <v>5</v>
      </c>
      <c r="C20" s="666" t="s">
        <v>782</v>
      </c>
      <c r="E20" s="727"/>
      <c r="G20" s="604"/>
      <c r="I20" s="696">
        <f>I21</f>
        <v>0</v>
      </c>
      <c r="K20" s="660">
        <v>0</v>
      </c>
      <c r="M20" s="660">
        <v>0</v>
      </c>
      <c r="O20" s="660">
        <v>0</v>
      </c>
      <c r="Q20" s="660">
        <v>0</v>
      </c>
      <c r="S20" s="660">
        <v>0</v>
      </c>
      <c r="U20" s="660">
        <v>0</v>
      </c>
      <c r="W20" s="660">
        <v>0</v>
      </c>
      <c r="Y20" s="660">
        <v>0</v>
      </c>
      <c r="AA20" s="660">
        <v>0</v>
      </c>
      <c r="AC20" s="660">
        <v>0</v>
      </c>
      <c r="AE20" s="660">
        <v>0</v>
      </c>
      <c r="AG20" s="696">
        <f>AG21</f>
        <v>0</v>
      </c>
      <c r="AI20" s="606">
        <f>SUM(I20:AG20)/13</f>
        <v>0</v>
      </c>
      <c r="AJ20" s="606"/>
      <c r="AK20" s="646">
        <f ca="1">IFERROR(INDIRECT(E20),0)</f>
        <v>0</v>
      </c>
      <c r="AL20" s="606"/>
      <c r="AM20" s="610">
        <f ca="1">AI20*AK20</f>
        <v>0</v>
      </c>
    </row>
    <row r="21" spans="1:42">
      <c r="C21" s="894" t="s">
        <v>1046</v>
      </c>
      <c r="G21" s="604"/>
      <c r="I21" s="660">
        <v>0</v>
      </c>
      <c r="L21" s="606"/>
      <c r="AE21" s="625"/>
      <c r="AG21" s="660">
        <v>0</v>
      </c>
      <c r="AI21" s="605"/>
      <c r="AJ21" s="605"/>
      <c r="AL21" s="605"/>
      <c r="AM21" s="604"/>
    </row>
    <row r="22" spans="1:42">
      <c r="G22" s="604"/>
      <c r="I22" s="604"/>
    </row>
    <row r="23" spans="1:42">
      <c r="G23" s="604"/>
      <c r="I23" s="604"/>
      <c r="M23" s="792"/>
      <c r="N23" s="792"/>
      <c r="O23" s="792"/>
    </row>
    <row r="24" spans="1:42" ht="15.6" customHeight="1">
      <c r="A24" s="604"/>
      <c r="B24" s="604"/>
      <c r="C24" s="607" t="s">
        <v>153</v>
      </c>
      <c r="D24" s="605"/>
      <c r="E24" s="605"/>
      <c r="F24" s="605"/>
      <c r="G24" s="604"/>
      <c r="I24" s="604"/>
      <c r="M24" s="792"/>
      <c r="N24" s="792"/>
      <c r="O24" s="792"/>
      <c r="P24" s="797"/>
      <c r="Q24" s="797"/>
      <c r="R24" s="797"/>
      <c r="S24" s="797"/>
      <c r="AK24" s="646"/>
    </row>
    <row r="25" spans="1:42">
      <c r="A25" s="604"/>
      <c r="B25" s="604"/>
      <c r="M25" s="792"/>
      <c r="N25" s="792"/>
      <c r="O25" s="792"/>
      <c r="P25" s="797"/>
      <c r="Q25" s="797"/>
      <c r="R25" s="797"/>
      <c r="S25" s="797"/>
      <c r="AK25" s="636"/>
    </row>
    <row r="26" spans="1:42" ht="15.6" customHeight="1">
      <c r="A26" s="604"/>
      <c r="B26" s="604"/>
      <c r="C26" s="1020" t="s">
        <v>628</v>
      </c>
      <c r="D26" s="1020"/>
      <c r="E26" s="1020"/>
      <c r="F26" s="1020"/>
      <c r="G26" s="1020"/>
      <c r="H26" s="1020"/>
      <c r="I26" s="1020"/>
      <c r="J26" s="1020"/>
      <c r="K26" s="1020"/>
      <c r="M26" s="792"/>
      <c r="N26" s="792"/>
      <c r="O26" s="792"/>
      <c r="P26" s="797"/>
      <c r="Q26" s="797"/>
      <c r="R26" s="797"/>
      <c r="S26" s="797"/>
      <c r="AK26" s="636"/>
    </row>
    <row r="27" spans="1:42">
      <c r="A27" s="604"/>
      <c r="B27" s="604"/>
      <c r="C27" s="1020" t="s">
        <v>1038</v>
      </c>
      <c r="D27" s="1020"/>
      <c r="E27" s="1020"/>
      <c r="F27" s="1020"/>
      <c r="G27" s="1020"/>
      <c r="H27" s="1020"/>
      <c r="I27" s="1020"/>
      <c r="J27" s="1020"/>
      <c r="K27" s="1020"/>
      <c r="M27" s="792"/>
      <c r="N27" s="792"/>
      <c r="O27" s="792"/>
      <c r="P27" s="797"/>
      <c r="Q27" s="797"/>
      <c r="R27" s="797"/>
      <c r="S27" s="797"/>
      <c r="U27" s="828"/>
      <c r="AK27" s="636"/>
    </row>
    <row r="28" spans="1:42" ht="15.75" customHeight="1">
      <c r="A28" s="604"/>
      <c r="B28" s="604"/>
      <c r="C28" s="999" t="s">
        <v>737</v>
      </c>
      <c r="D28" s="999"/>
      <c r="E28" s="999"/>
      <c r="F28" s="999"/>
      <c r="G28" s="999"/>
      <c r="H28" s="999"/>
      <c r="I28" s="999"/>
      <c r="J28" s="999"/>
      <c r="K28" s="999"/>
      <c r="M28" s="792"/>
      <c r="N28" s="792"/>
      <c r="O28" s="792"/>
      <c r="P28" s="797"/>
      <c r="Q28" s="797"/>
      <c r="R28" s="797"/>
      <c r="S28" s="797"/>
      <c r="AK28" s="636"/>
    </row>
    <row r="29" spans="1:42">
      <c r="C29" s="604" t="s">
        <v>1066</v>
      </c>
      <c r="G29" s="904"/>
      <c r="H29" s="816"/>
      <c r="I29" s="904"/>
      <c r="K29" s="741"/>
      <c r="M29" s="822"/>
      <c r="O29" s="797"/>
      <c r="P29" s="797"/>
      <c r="Q29" s="797"/>
      <c r="R29" s="797"/>
      <c r="S29" s="797"/>
      <c r="Y29" s="828"/>
    </row>
    <row r="30" spans="1:42">
      <c r="C30" s="604" t="s">
        <v>815</v>
      </c>
      <c r="G30" s="741"/>
      <c r="I30" s="741"/>
      <c r="K30" s="741"/>
      <c r="M30" s="822"/>
      <c r="O30" s="797"/>
      <c r="P30" s="797"/>
      <c r="Q30" s="797"/>
      <c r="R30" s="797"/>
      <c r="S30" s="797"/>
      <c r="W30" s="828"/>
      <c r="X30" s="826"/>
      <c r="Y30" s="828"/>
    </row>
    <row r="31" spans="1:42">
      <c r="C31" s="604" t="s">
        <v>831</v>
      </c>
      <c r="G31" s="741"/>
      <c r="I31" s="741"/>
      <c r="K31" s="741"/>
      <c r="O31" s="797"/>
      <c r="P31" s="797"/>
      <c r="Q31" s="797"/>
      <c r="R31" s="797"/>
      <c r="S31" s="797"/>
    </row>
    <row r="32" spans="1:42">
      <c r="O32" s="787"/>
      <c r="P32" s="787"/>
      <c r="Q32" s="787"/>
      <c r="R32" s="787"/>
      <c r="S32" s="787"/>
    </row>
    <row r="33" spans="3:25">
      <c r="C33" s="816"/>
      <c r="O33" s="787"/>
      <c r="P33" s="787"/>
      <c r="Q33" s="787"/>
      <c r="R33" s="787"/>
      <c r="S33" s="787"/>
    </row>
    <row r="34" spans="3:25">
      <c r="C34" s="816"/>
      <c r="K34" s="828"/>
      <c r="L34" s="826"/>
      <c r="M34" s="828"/>
      <c r="N34" s="826"/>
      <c r="O34" s="833"/>
      <c r="P34" s="833"/>
      <c r="Q34" s="833"/>
      <c r="R34" s="833"/>
      <c r="S34" s="833"/>
      <c r="T34" s="826"/>
      <c r="U34" s="828"/>
      <c r="V34" s="826"/>
      <c r="W34" s="828"/>
      <c r="X34" s="826"/>
      <c r="Y34" s="828"/>
    </row>
    <row r="35" spans="3:25">
      <c r="C35" s="816"/>
      <c r="O35" s="833"/>
      <c r="P35" s="833"/>
      <c r="Q35" s="833"/>
      <c r="R35" s="833"/>
      <c r="S35" s="833"/>
    </row>
    <row r="36" spans="3:25">
      <c r="O36" s="786"/>
      <c r="P36" s="786"/>
      <c r="Q36" s="786"/>
      <c r="R36" s="786"/>
      <c r="S36" s="786"/>
    </row>
    <row r="37" spans="3:25">
      <c r="O37" s="786"/>
      <c r="P37" s="786"/>
      <c r="Q37" s="786"/>
      <c r="R37" s="786"/>
      <c r="S37" s="786"/>
    </row>
  </sheetData>
  <mergeCells count="3">
    <mergeCell ref="C26:K26"/>
    <mergeCell ref="C27:K27"/>
    <mergeCell ref="C28:K28"/>
  </mergeCells>
  <dataValidations count="1">
    <dataValidation type="list" allowBlank="1" showInputMessage="1" showErrorMessage="1" sqref="E12:E13 E17 E20" xr:uid="{00000000-0002-0000-1300-000000000000}">
      <formula1>"DA, TE, TP, GP, WS, CE, EXCL,"</formula1>
    </dataValidation>
  </dataValidations>
  <pageMargins left="0" right="0" top="1" bottom="0.5" header="0" footer="0"/>
  <pageSetup scale="31" fitToHeight="0" orientation="landscape" r:id="rId1"/>
  <headerFooter>
    <oddFooter xml:space="preserve">&amp;L&amp;"Times New Roman,Bold"&amp;10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8">
    <pageSetUpPr fitToPage="1"/>
  </sheetPr>
  <dimension ref="A1:AL60"/>
  <sheetViews>
    <sheetView showWhiteSpace="0" zoomScale="60" zoomScaleNormal="60" zoomScalePageLayoutView="50" workbookViewId="0">
      <selection activeCell="A54" sqref="A54"/>
    </sheetView>
  </sheetViews>
  <sheetFormatPr defaultColWidth="5" defaultRowHeight="15.6"/>
  <cols>
    <col min="1" max="1" width="7.81640625" style="605" customWidth="1"/>
    <col min="2" max="2" width="0.7265625" style="605" customWidth="1"/>
    <col min="3" max="3" width="69.7265625" style="604" customWidth="1"/>
    <col min="4" max="4" width="0.7265625" style="604" customWidth="1"/>
    <col min="5" max="5" width="13" style="606" customWidth="1"/>
    <col min="6" max="6" width="0.7265625" style="604" customWidth="1"/>
    <col min="7" max="7" width="16.08984375" style="606" customWidth="1"/>
    <col min="8" max="8" width="0.7265625" style="604" customWidth="1"/>
    <col min="9" max="9" width="16.08984375" style="606" customWidth="1"/>
    <col min="10" max="10" width="0.7265625" style="604" customWidth="1"/>
    <col min="11" max="11" width="16.08984375" style="606" customWidth="1"/>
    <col min="12" max="12" width="0.7265625" style="604" customWidth="1"/>
    <col min="13" max="13" width="16.08984375" style="606" customWidth="1"/>
    <col min="14" max="14" width="0.7265625" style="604" customWidth="1"/>
    <col min="15" max="15" width="16.08984375" style="606" customWidth="1"/>
    <col min="16" max="16" width="0.7265625" style="604" customWidth="1"/>
    <col min="17" max="17" width="16.08984375" style="606" customWidth="1"/>
    <col min="18" max="18" width="0.7265625" style="604" customWidth="1"/>
    <col min="19" max="19" width="16.08984375" style="606" customWidth="1"/>
    <col min="20" max="20" width="0.7265625" style="604" customWidth="1"/>
    <col min="21" max="21" width="16.08984375" style="606" customWidth="1"/>
    <col min="22" max="22" width="0.7265625" style="604" customWidth="1"/>
    <col min="23" max="23" width="16.08984375" style="606" customWidth="1"/>
    <col min="24" max="24" width="0.7265625" style="604" customWidth="1"/>
    <col min="25" max="25" width="16.08984375" style="606" customWidth="1"/>
    <col min="26" max="26" width="0.7265625" style="604" customWidth="1"/>
    <col min="27" max="27" width="16.08984375" style="606" customWidth="1"/>
    <col min="28" max="28" width="0.7265625" style="604" customWidth="1"/>
    <col min="29" max="29" width="16.08984375" style="606" customWidth="1"/>
    <col min="30" max="30" width="0.7265625" style="604" customWidth="1"/>
    <col min="31" max="31" width="16.08984375" style="606" customWidth="1"/>
    <col min="32" max="32" width="0.7265625" style="604" customWidth="1"/>
    <col min="33" max="33" width="16.08984375" style="605" customWidth="1"/>
    <col min="34" max="35" width="14.453125" style="604" customWidth="1"/>
    <col min="36" max="36" width="2.26953125" style="604" customWidth="1"/>
    <col min="37" max="37" width="20.7265625" style="605" customWidth="1"/>
    <col min="38" max="38" width="0.54296875" style="604" customWidth="1"/>
    <col min="39" max="252" width="5" style="604"/>
    <col min="253" max="253" width="4.7265625" style="604" customWidth="1"/>
    <col min="254" max="254" width="2" style="604" customWidth="1"/>
    <col min="255" max="255" width="40.7265625" style="604" customWidth="1"/>
    <col min="256" max="256" width="3.54296875" style="604" customWidth="1"/>
    <col min="257" max="257" width="11.08984375" style="604" customWidth="1"/>
    <col min="258" max="258" width="2.7265625" style="604" customWidth="1"/>
    <col min="259" max="259" width="11.26953125" style="604" customWidth="1"/>
    <col min="260" max="260" width="2.7265625" style="604" customWidth="1"/>
    <col min="261" max="261" width="11.26953125" style="604" customWidth="1"/>
    <col min="262" max="262" width="2.7265625" style="604" customWidth="1"/>
    <col min="263" max="263" width="19.08984375" style="604" bestFit="1" customWidth="1"/>
    <col min="264" max="264" width="1.81640625" style="604" customWidth="1"/>
    <col min="265" max="265" width="6.7265625" style="604" customWidth="1"/>
    <col min="266" max="266" width="14.7265625" style="604" customWidth="1"/>
    <col min="267" max="267" width="9" style="604" bestFit="1" customWidth="1"/>
    <col min="268" max="508" width="5" style="604"/>
    <col min="509" max="509" width="4.7265625" style="604" customWidth="1"/>
    <col min="510" max="510" width="2" style="604" customWidth="1"/>
    <col min="511" max="511" width="40.7265625" style="604" customWidth="1"/>
    <col min="512" max="512" width="3.54296875" style="604" customWidth="1"/>
    <col min="513" max="513" width="11.08984375" style="604" customWidth="1"/>
    <col min="514" max="514" width="2.7265625" style="604" customWidth="1"/>
    <col min="515" max="515" width="11.26953125" style="604" customWidth="1"/>
    <col min="516" max="516" width="2.7265625" style="604" customWidth="1"/>
    <col min="517" max="517" width="11.26953125" style="604" customWidth="1"/>
    <col min="518" max="518" width="2.7265625" style="604" customWidth="1"/>
    <col min="519" max="519" width="19.08984375" style="604" bestFit="1" customWidth="1"/>
    <col min="520" max="520" width="1.81640625" style="604" customWidth="1"/>
    <col min="521" max="521" width="6.7265625" style="604" customWidth="1"/>
    <col min="522" max="522" width="14.7265625" style="604" customWidth="1"/>
    <col min="523" max="523" width="9" style="604" bestFit="1" customWidth="1"/>
    <col min="524" max="764" width="5" style="604"/>
    <col min="765" max="765" width="4.7265625" style="604" customWidth="1"/>
    <col min="766" max="766" width="2" style="604" customWidth="1"/>
    <col min="767" max="767" width="40.7265625" style="604" customWidth="1"/>
    <col min="768" max="768" width="3.54296875" style="604" customWidth="1"/>
    <col min="769" max="769" width="11.08984375" style="604" customWidth="1"/>
    <col min="770" max="770" width="2.7265625" style="604" customWidth="1"/>
    <col min="771" max="771" width="11.26953125" style="604" customWidth="1"/>
    <col min="772" max="772" width="2.7265625" style="604" customWidth="1"/>
    <col min="773" max="773" width="11.26953125" style="604" customWidth="1"/>
    <col min="774" max="774" width="2.7265625" style="604" customWidth="1"/>
    <col min="775" max="775" width="19.08984375" style="604" bestFit="1" customWidth="1"/>
    <col min="776" max="776" width="1.81640625" style="604" customWidth="1"/>
    <col min="777" max="777" width="6.7265625" style="604" customWidth="1"/>
    <col min="778" max="778" width="14.7265625" style="604" customWidth="1"/>
    <col min="779" max="779" width="9" style="604" bestFit="1" customWidth="1"/>
    <col min="780" max="1020" width="5" style="604"/>
    <col min="1021" max="1021" width="4.7265625" style="604" customWidth="1"/>
    <col min="1022" max="1022" width="2" style="604" customWidth="1"/>
    <col min="1023" max="1023" width="40.7265625" style="604" customWidth="1"/>
    <col min="1024" max="1024" width="3.54296875" style="604" customWidth="1"/>
    <col min="1025" max="1025" width="11.08984375" style="604" customWidth="1"/>
    <col min="1026" max="1026" width="2.7265625" style="604" customWidth="1"/>
    <col min="1027" max="1027" width="11.26953125" style="604" customWidth="1"/>
    <col min="1028" max="1028" width="2.7265625" style="604" customWidth="1"/>
    <col min="1029" max="1029" width="11.26953125" style="604" customWidth="1"/>
    <col min="1030" max="1030" width="2.7265625" style="604" customWidth="1"/>
    <col min="1031" max="1031" width="19.08984375" style="604" bestFit="1" customWidth="1"/>
    <col min="1032" max="1032" width="1.81640625" style="604" customWidth="1"/>
    <col min="1033" max="1033" width="6.7265625" style="604" customWidth="1"/>
    <col min="1034" max="1034" width="14.7265625" style="604" customWidth="1"/>
    <col min="1035" max="1035" width="9" style="604" bestFit="1" customWidth="1"/>
    <col min="1036" max="1276" width="5" style="604"/>
    <col min="1277" max="1277" width="4.7265625" style="604" customWidth="1"/>
    <col min="1278" max="1278" width="2" style="604" customWidth="1"/>
    <col min="1279" max="1279" width="40.7265625" style="604" customWidth="1"/>
    <col min="1280" max="1280" width="3.54296875" style="604" customWidth="1"/>
    <col min="1281" max="1281" width="11.08984375" style="604" customWidth="1"/>
    <col min="1282" max="1282" width="2.7265625" style="604" customWidth="1"/>
    <col min="1283" max="1283" width="11.26953125" style="604" customWidth="1"/>
    <col min="1284" max="1284" width="2.7265625" style="604" customWidth="1"/>
    <col min="1285" max="1285" width="11.26953125" style="604" customWidth="1"/>
    <col min="1286" max="1286" width="2.7265625" style="604" customWidth="1"/>
    <col min="1287" max="1287" width="19.08984375" style="604" bestFit="1" customWidth="1"/>
    <col min="1288" max="1288" width="1.81640625" style="604" customWidth="1"/>
    <col min="1289" max="1289" width="6.7265625" style="604" customWidth="1"/>
    <col min="1290" max="1290" width="14.7265625" style="604" customWidth="1"/>
    <col min="1291" max="1291" width="9" style="604" bestFit="1" customWidth="1"/>
    <col min="1292" max="1532" width="5" style="604"/>
    <col min="1533" max="1533" width="4.7265625" style="604" customWidth="1"/>
    <col min="1534" max="1534" width="2" style="604" customWidth="1"/>
    <col min="1535" max="1535" width="40.7265625" style="604" customWidth="1"/>
    <col min="1536" max="1536" width="3.54296875" style="604" customWidth="1"/>
    <col min="1537" max="1537" width="11.08984375" style="604" customWidth="1"/>
    <col min="1538" max="1538" width="2.7265625" style="604" customWidth="1"/>
    <col min="1539" max="1539" width="11.26953125" style="604" customWidth="1"/>
    <col min="1540" max="1540" width="2.7265625" style="604" customWidth="1"/>
    <col min="1541" max="1541" width="11.26953125" style="604" customWidth="1"/>
    <col min="1542" max="1542" width="2.7265625" style="604" customWidth="1"/>
    <col min="1543" max="1543" width="19.08984375" style="604" bestFit="1" customWidth="1"/>
    <col min="1544" max="1544" width="1.81640625" style="604" customWidth="1"/>
    <col min="1545" max="1545" width="6.7265625" style="604" customWidth="1"/>
    <col min="1546" max="1546" width="14.7265625" style="604" customWidth="1"/>
    <col min="1547" max="1547" width="9" style="604" bestFit="1" customWidth="1"/>
    <col min="1548" max="1788" width="5" style="604"/>
    <col min="1789" max="1789" width="4.7265625" style="604" customWidth="1"/>
    <col min="1790" max="1790" width="2" style="604" customWidth="1"/>
    <col min="1791" max="1791" width="40.7265625" style="604" customWidth="1"/>
    <col min="1792" max="1792" width="3.54296875" style="604" customWidth="1"/>
    <col min="1793" max="1793" width="11.08984375" style="604" customWidth="1"/>
    <col min="1794" max="1794" width="2.7265625" style="604" customWidth="1"/>
    <col min="1795" max="1795" width="11.26953125" style="604" customWidth="1"/>
    <col min="1796" max="1796" width="2.7265625" style="604" customWidth="1"/>
    <col min="1797" max="1797" width="11.26953125" style="604" customWidth="1"/>
    <col min="1798" max="1798" width="2.7265625" style="604" customWidth="1"/>
    <col min="1799" max="1799" width="19.08984375" style="604" bestFit="1" customWidth="1"/>
    <col min="1800" max="1800" width="1.81640625" style="604" customWidth="1"/>
    <col min="1801" max="1801" width="6.7265625" style="604" customWidth="1"/>
    <col min="1802" max="1802" width="14.7265625" style="604" customWidth="1"/>
    <col min="1803" max="1803" width="9" style="604" bestFit="1" customWidth="1"/>
    <col min="1804" max="2044" width="5" style="604"/>
    <col min="2045" max="2045" width="4.7265625" style="604" customWidth="1"/>
    <col min="2046" max="2046" width="2" style="604" customWidth="1"/>
    <col min="2047" max="2047" width="40.7265625" style="604" customWidth="1"/>
    <col min="2048" max="2048" width="3.54296875" style="604" customWidth="1"/>
    <col min="2049" max="2049" width="11.08984375" style="604" customWidth="1"/>
    <col min="2050" max="2050" width="2.7265625" style="604" customWidth="1"/>
    <col min="2051" max="2051" width="11.26953125" style="604" customWidth="1"/>
    <col min="2052" max="2052" width="2.7265625" style="604" customWidth="1"/>
    <col min="2053" max="2053" width="11.26953125" style="604" customWidth="1"/>
    <col min="2054" max="2054" width="2.7265625" style="604" customWidth="1"/>
    <col min="2055" max="2055" width="19.08984375" style="604" bestFit="1" customWidth="1"/>
    <col min="2056" max="2056" width="1.81640625" style="604" customWidth="1"/>
    <col min="2057" max="2057" width="6.7265625" style="604" customWidth="1"/>
    <col min="2058" max="2058" width="14.7265625" style="604" customWidth="1"/>
    <col min="2059" max="2059" width="9" style="604" bestFit="1" customWidth="1"/>
    <col min="2060" max="2300" width="5" style="604"/>
    <col min="2301" max="2301" width="4.7265625" style="604" customWidth="1"/>
    <col min="2302" max="2302" width="2" style="604" customWidth="1"/>
    <col min="2303" max="2303" width="40.7265625" style="604" customWidth="1"/>
    <col min="2304" max="2304" width="3.54296875" style="604" customWidth="1"/>
    <col min="2305" max="2305" width="11.08984375" style="604" customWidth="1"/>
    <col min="2306" max="2306" width="2.7265625" style="604" customWidth="1"/>
    <col min="2307" max="2307" width="11.26953125" style="604" customWidth="1"/>
    <col min="2308" max="2308" width="2.7265625" style="604" customWidth="1"/>
    <col min="2309" max="2309" width="11.26953125" style="604" customWidth="1"/>
    <col min="2310" max="2310" width="2.7265625" style="604" customWidth="1"/>
    <col min="2311" max="2311" width="19.08984375" style="604" bestFit="1" customWidth="1"/>
    <col min="2312" max="2312" width="1.81640625" style="604" customWidth="1"/>
    <col min="2313" max="2313" width="6.7265625" style="604" customWidth="1"/>
    <col min="2314" max="2314" width="14.7265625" style="604" customWidth="1"/>
    <col min="2315" max="2315" width="9" style="604" bestFit="1" customWidth="1"/>
    <col min="2316" max="2556" width="5" style="604"/>
    <col min="2557" max="2557" width="4.7265625" style="604" customWidth="1"/>
    <col min="2558" max="2558" width="2" style="604" customWidth="1"/>
    <col min="2559" max="2559" width="40.7265625" style="604" customWidth="1"/>
    <col min="2560" max="2560" width="3.54296875" style="604" customWidth="1"/>
    <col min="2561" max="2561" width="11.08984375" style="604" customWidth="1"/>
    <col min="2562" max="2562" width="2.7265625" style="604" customWidth="1"/>
    <col min="2563" max="2563" width="11.26953125" style="604" customWidth="1"/>
    <col min="2564" max="2564" width="2.7265625" style="604" customWidth="1"/>
    <col min="2565" max="2565" width="11.26953125" style="604" customWidth="1"/>
    <col min="2566" max="2566" width="2.7265625" style="604" customWidth="1"/>
    <col min="2567" max="2567" width="19.08984375" style="604" bestFit="1" customWidth="1"/>
    <col min="2568" max="2568" width="1.81640625" style="604" customWidth="1"/>
    <col min="2569" max="2569" width="6.7265625" style="604" customWidth="1"/>
    <col min="2570" max="2570" width="14.7265625" style="604" customWidth="1"/>
    <col min="2571" max="2571" width="9" style="604" bestFit="1" customWidth="1"/>
    <col min="2572" max="2812" width="5" style="604"/>
    <col min="2813" max="2813" width="4.7265625" style="604" customWidth="1"/>
    <col min="2814" max="2814" width="2" style="604" customWidth="1"/>
    <col min="2815" max="2815" width="40.7265625" style="604" customWidth="1"/>
    <col min="2816" max="2816" width="3.54296875" style="604" customWidth="1"/>
    <col min="2817" max="2817" width="11.08984375" style="604" customWidth="1"/>
    <col min="2818" max="2818" width="2.7265625" style="604" customWidth="1"/>
    <col min="2819" max="2819" width="11.26953125" style="604" customWidth="1"/>
    <col min="2820" max="2820" width="2.7265625" style="604" customWidth="1"/>
    <col min="2821" max="2821" width="11.26953125" style="604" customWidth="1"/>
    <col min="2822" max="2822" width="2.7265625" style="604" customWidth="1"/>
    <col min="2823" max="2823" width="19.08984375" style="604" bestFit="1" customWidth="1"/>
    <col min="2824" max="2824" width="1.81640625" style="604" customWidth="1"/>
    <col min="2825" max="2825" width="6.7265625" style="604" customWidth="1"/>
    <col min="2826" max="2826" width="14.7265625" style="604" customWidth="1"/>
    <col min="2827" max="2827" width="9" style="604" bestFit="1" customWidth="1"/>
    <col min="2828" max="3068" width="5" style="604"/>
    <col min="3069" max="3069" width="4.7265625" style="604" customWidth="1"/>
    <col min="3070" max="3070" width="2" style="604" customWidth="1"/>
    <col min="3071" max="3071" width="40.7265625" style="604" customWidth="1"/>
    <col min="3072" max="3072" width="3.54296875" style="604" customWidth="1"/>
    <col min="3073" max="3073" width="11.08984375" style="604" customWidth="1"/>
    <col min="3074" max="3074" width="2.7265625" style="604" customWidth="1"/>
    <col min="3075" max="3075" width="11.26953125" style="604" customWidth="1"/>
    <col min="3076" max="3076" width="2.7265625" style="604" customWidth="1"/>
    <col min="3077" max="3077" width="11.26953125" style="604" customWidth="1"/>
    <col min="3078" max="3078" width="2.7265625" style="604" customWidth="1"/>
    <col min="3079" max="3079" width="19.08984375" style="604" bestFit="1" customWidth="1"/>
    <col min="3080" max="3080" width="1.81640625" style="604" customWidth="1"/>
    <col min="3081" max="3081" width="6.7265625" style="604" customWidth="1"/>
    <col min="3082" max="3082" width="14.7265625" style="604" customWidth="1"/>
    <col min="3083" max="3083" width="9" style="604" bestFit="1" customWidth="1"/>
    <col min="3084" max="3324" width="5" style="604"/>
    <col min="3325" max="3325" width="4.7265625" style="604" customWidth="1"/>
    <col min="3326" max="3326" width="2" style="604" customWidth="1"/>
    <col min="3327" max="3327" width="40.7265625" style="604" customWidth="1"/>
    <col min="3328" max="3328" width="3.54296875" style="604" customWidth="1"/>
    <col min="3329" max="3329" width="11.08984375" style="604" customWidth="1"/>
    <col min="3330" max="3330" width="2.7265625" style="604" customWidth="1"/>
    <col min="3331" max="3331" width="11.26953125" style="604" customWidth="1"/>
    <col min="3332" max="3332" width="2.7265625" style="604" customWidth="1"/>
    <col min="3333" max="3333" width="11.26953125" style="604" customWidth="1"/>
    <col min="3334" max="3334" width="2.7265625" style="604" customWidth="1"/>
    <col min="3335" max="3335" width="19.08984375" style="604" bestFit="1" customWidth="1"/>
    <col min="3336" max="3336" width="1.81640625" style="604" customWidth="1"/>
    <col min="3337" max="3337" width="6.7265625" style="604" customWidth="1"/>
    <col min="3338" max="3338" width="14.7265625" style="604" customWidth="1"/>
    <col min="3339" max="3339" width="9" style="604" bestFit="1" customWidth="1"/>
    <col min="3340" max="3580" width="5" style="604"/>
    <col min="3581" max="3581" width="4.7265625" style="604" customWidth="1"/>
    <col min="3582" max="3582" width="2" style="604" customWidth="1"/>
    <col min="3583" max="3583" width="40.7265625" style="604" customWidth="1"/>
    <col min="3584" max="3584" width="3.54296875" style="604" customWidth="1"/>
    <col min="3585" max="3585" width="11.08984375" style="604" customWidth="1"/>
    <col min="3586" max="3586" width="2.7265625" style="604" customWidth="1"/>
    <col min="3587" max="3587" width="11.26953125" style="604" customWidth="1"/>
    <col min="3588" max="3588" width="2.7265625" style="604" customWidth="1"/>
    <col min="3589" max="3589" width="11.26953125" style="604" customWidth="1"/>
    <col min="3590" max="3590" width="2.7265625" style="604" customWidth="1"/>
    <col min="3591" max="3591" width="19.08984375" style="604" bestFit="1" customWidth="1"/>
    <col min="3592" max="3592" width="1.81640625" style="604" customWidth="1"/>
    <col min="3593" max="3593" width="6.7265625" style="604" customWidth="1"/>
    <col min="3594" max="3594" width="14.7265625" style="604" customWidth="1"/>
    <col min="3595" max="3595" width="9" style="604" bestFit="1" customWidth="1"/>
    <col min="3596" max="3836" width="5" style="604"/>
    <col min="3837" max="3837" width="4.7265625" style="604" customWidth="1"/>
    <col min="3838" max="3838" width="2" style="604" customWidth="1"/>
    <col min="3839" max="3839" width="40.7265625" style="604" customWidth="1"/>
    <col min="3840" max="3840" width="3.54296875" style="604" customWidth="1"/>
    <col min="3841" max="3841" width="11.08984375" style="604" customWidth="1"/>
    <col min="3842" max="3842" width="2.7265625" style="604" customWidth="1"/>
    <col min="3843" max="3843" width="11.26953125" style="604" customWidth="1"/>
    <col min="3844" max="3844" width="2.7265625" style="604" customWidth="1"/>
    <col min="3845" max="3845" width="11.26953125" style="604" customWidth="1"/>
    <col min="3846" max="3846" width="2.7265625" style="604" customWidth="1"/>
    <col min="3847" max="3847" width="19.08984375" style="604" bestFit="1" customWidth="1"/>
    <col min="3848" max="3848" width="1.81640625" style="604" customWidth="1"/>
    <col min="3849" max="3849" width="6.7265625" style="604" customWidth="1"/>
    <col min="3850" max="3850" width="14.7265625" style="604" customWidth="1"/>
    <col min="3851" max="3851" width="9" style="604" bestFit="1" customWidth="1"/>
    <col min="3852" max="4092" width="5" style="604"/>
    <col min="4093" max="4093" width="4.7265625" style="604" customWidth="1"/>
    <col min="4094" max="4094" width="2" style="604" customWidth="1"/>
    <col min="4095" max="4095" width="40.7265625" style="604" customWidth="1"/>
    <col min="4096" max="4096" width="3.54296875" style="604" customWidth="1"/>
    <col min="4097" max="4097" width="11.08984375" style="604" customWidth="1"/>
    <col min="4098" max="4098" width="2.7265625" style="604" customWidth="1"/>
    <col min="4099" max="4099" width="11.26953125" style="604" customWidth="1"/>
    <col min="4100" max="4100" width="2.7265625" style="604" customWidth="1"/>
    <col min="4101" max="4101" width="11.26953125" style="604" customWidth="1"/>
    <col min="4102" max="4102" width="2.7265625" style="604" customWidth="1"/>
    <col min="4103" max="4103" width="19.08984375" style="604" bestFit="1" customWidth="1"/>
    <col min="4104" max="4104" width="1.81640625" style="604" customWidth="1"/>
    <col min="4105" max="4105" width="6.7265625" style="604" customWidth="1"/>
    <col min="4106" max="4106" width="14.7265625" style="604" customWidth="1"/>
    <col min="4107" max="4107" width="9" style="604" bestFit="1" customWidth="1"/>
    <col min="4108" max="4348" width="5" style="604"/>
    <col min="4349" max="4349" width="4.7265625" style="604" customWidth="1"/>
    <col min="4350" max="4350" width="2" style="604" customWidth="1"/>
    <col min="4351" max="4351" width="40.7265625" style="604" customWidth="1"/>
    <col min="4352" max="4352" width="3.54296875" style="604" customWidth="1"/>
    <col min="4353" max="4353" width="11.08984375" style="604" customWidth="1"/>
    <col min="4354" max="4354" width="2.7265625" style="604" customWidth="1"/>
    <col min="4355" max="4355" width="11.26953125" style="604" customWidth="1"/>
    <col min="4356" max="4356" width="2.7265625" style="604" customWidth="1"/>
    <col min="4357" max="4357" width="11.26953125" style="604" customWidth="1"/>
    <col min="4358" max="4358" width="2.7265625" style="604" customWidth="1"/>
    <col min="4359" max="4359" width="19.08984375" style="604" bestFit="1" customWidth="1"/>
    <col min="4360" max="4360" width="1.81640625" style="604" customWidth="1"/>
    <col min="4361" max="4361" width="6.7265625" style="604" customWidth="1"/>
    <col min="4362" max="4362" width="14.7265625" style="604" customWidth="1"/>
    <col min="4363" max="4363" width="9" style="604" bestFit="1" customWidth="1"/>
    <col min="4364" max="4604" width="5" style="604"/>
    <col min="4605" max="4605" width="4.7265625" style="604" customWidth="1"/>
    <col min="4606" max="4606" width="2" style="604" customWidth="1"/>
    <col min="4607" max="4607" width="40.7265625" style="604" customWidth="1"/>
    <col min="4608" max="4608" width="3.54296875" style="604" customWidth="1"/>
    <col min="4609" max="4609" width="11.08984375" style="604" customWidth="1"/>
    <col min="4610" max="4610" width="2.7265625" style="604" customWidth="1"/>
    <col min="4611" max="4611" width="11.26953125" style="604" customWidth="1"/>
    <col min="4612" max="4612" width="2.7265625" style="604" customWidth="1"/>
    <col min="4613" max="4613" width="11.26953125" style="604" customWidth="1"/>
    <col min="4614" max="4614" width="2.7265625" style="604" customWidth="1"/>
    <col min="4615" max="4615" width="19.08984375" style="604" bestFit="1" customWidth="1"/>
    <col min="4616" max="4616" width="1.81640625" style="604" customWidth="1"/>
    <col min="4617" max="4617" width="6.7265625" style="604" customWidth="1"/>
    <col min="4618" max="4618" width="14.7265625" style="604" customWidth="1"/>
    <col min="4619" max="4619" width="9" style="604" bestFit="1" customWidth="1"/>
    <col min="4620" max="4860" width="5" style="604"/>
    <col min="4861" max="4861" width="4.7265625" style="604" customWidth="1"/>
    <col min="4862" max="4862" width="2" style="604" customWidth="1"/>
    <col min="4863" max="4863" width="40.7265625" style="604" customWidth="1"/>
    <col min="4864" max="4864" width="3.54296875" style="604" customWidth="1"/>
    <col min="4865" max="4865" width="11.08984375" style="604" customWidth="1"/>
    <col min="4866" max="4866" width="2.7265625" style="604" customWidth="1"/>
    <col min="4867" max="4867" width="11.26953125" style="604" customWidth="1"/>
    <col min="4868" max="4868" width="2.7265625" style="604" customWidth="1"/>
    <col min="4869" max="4869" width="11.26953125" style="604" customWidth="1"/>
    <col min="4870" max="4870" width="2.7265625" style="604" customWidth="1"/>
    <col min="4871" max="4871" width="19.08984375" style="604" bestFit="1" customWidth="1"/>
    <col min="4872" max="4872" width="1.81640625" style="604" customWidth="1"/>
    <col min="4873" max="4873" width="6.7265625" style="604" customWidth="1"/>
    <col min="4874" max="4874" width="14.7265625" style="604" customWidth="1"/>
    <col min="4875" max="4875" width="9" style="604" bestFit="1" customWidth="1"/>
    <col min="4876" max="5116" width="5" style="604"/>
    <col min="5117" max="5117" width="4.7265625" style="604" customWidth="1"/>
    <col min="5118" max="5118" width="2" style="604" customWidth="1"/>
    <col min="5119" max="5119" width="40.7265625" style="604" customWidth="1"/>
    <col min="5120" max="5120" width="3.54296875" style="604" customWidth="1"/>
    <col min="5121" max="5121" width="11.08984375" style="604" customWidth="1"/>
    <col min="5122" max="5122" width="2.7265625" style="604" customWidth="1"/>
    <col min="5123" max="5123" width="11.26953125" style="604" customWidth="1"/>
    <col min="5124" max="5124" width="2.7265625" style="604" customWidth="1"/>
    <col min="5125" max="5125" width="11.26953125" style="604" customWidth="1"/>
    <col min="5126" max="5126" width="2.7265625" style="604" customWidth="1"/>
    <col min="5127" max="5127" width="19.08984375" style="604" bestFit="1" customWidth="1"/>
    <col min="5128" max="5128" width="1.81640625" style="604" customWidth="1"/>
    <col min="5129" max="5129" width="6.7265625" style="604" customWidth="1"/>
    <col min="5130" max="5130" width="14.7265625" style="604" customWidth="1"/>
    <col min="5131" max="5131" width="9" style="604" bestFit="1" customWidth="1"/>
    <col min="5132" max="5372" width="5" style="604"/>
    <col min="5373" max="5373" width="4.7265625" style="604" customWidth="1"/>
    <col min="5374" max="5374" width="2" style="604" customWidth="1"/>
    <col min="5375" max="5375" width="40.7265625" style="604" customWidth="1"/>
    <col min="5376" max="5376" width="3.54296875" style="604" customWidth="1"/>
    <col min="5377" max="5377" width="11.08984375" style="604" customWidth="1"/>
    <col min="5378" max="5378" width="2.7265625" style="604" customWidth="1"/>
    <col min="5379" max="5379" width="11.26953125" style="604" customWidth="1"/>
    <col min="5380" max="5380" width="2.7265625" style="604" customWidth="1"/>
    <col min="5381" max="5381" width="11.26953125" style="604" customWidth="1"/>
    <col min="5382" max="5382" width="2.7265625" style="604" customWidth="1"/>
    <col min="5383" max="5383" width="19.08984375" style="604" bestFit="1" customWidth="1"/>
    <col min="5384" max="5384" width="1.81640625" style="604" customWidth="1"/>
    <col min="5385" max="5385" width="6.7265625" style="604" customWidth="1"/>
    <col min="5386" max="5386" width="14.7265625" style="604" customWidth="1"/>
    <col min="5387" max="5387" width="9" style="604" bestFit="1" customWidth="1"/>
    <col min="5388" max="5628" width="5" style="604"/>
    <col min="5629" max="5629" width="4.7265625" style="604" customWidth="1"/>
    <col min="5630" max="5630" width="2" style="604" customWidth="1"/>
    <col min="5631" max="5631" width="40.7265625" style="604" customWidth="1"/>
    <col min="5632" max="5632" width="3.54296875" style="604" customWidth="1"/>
    <col min="5633" max="5633" width="11.08984375" style="604" customWidth="1"/>
    <col min="5634" max="5634" width="2.7265625" style="604" customWidth="1"/>
    <col min="5635" max="5635" width="11.26953125" style="604" customWidth="1"/>
    <col min="5636" max="5636" width="2.7265625" style="604" customWidth="1"/>
    <col min="5637" max="5637" width="11.26953125" style="604" customWidth="1"/>
    <col min="5638" max="5638" width="2.7265625" style="604" customWidth="1"/>
    <col min="5639" max="5639" width="19.08984375" style="604" bestFit="1" customWidth="1"/>
    <col min="5640" max="5640" width="1.81640625" style="604" customWidth="1"/>
    <col min="5641" max="5641" width="6.7265625" style="604" customWidth="1"/>
    <col min="5642" max="5642" width="14.7265625" style="604" customWidth="1"/>
    <col min="5643" max="5643" width="9" style="604" bestFit="1" customWidth="1"/>
    <col min="5644" max="5884" width="5" style="604"/>
    <col min="5885" max="5885" width="4.7265625" style="604" customWidth="1"/>
    <col min="5886" max="5886" width="2" style="604" customWidth="1"/>
    <col min="5887" max="5887" width="40.7265625" style="604" customWidth="1"/>
    <col min="5888" max="5888" width="3.54296875" style="604" customWidth="1"/>
    <col min="5889" max="5889" width="11.08984375" style="604" customWidth="1"/>
    <col min="5890" max="5890" width="2.7265625" style="604" customWidth="1"/>
    <col min="5891" max="5891" width="11.26953125" style="604" customWidth="1"/>
    <col min="5892" max="5892" width="2.7265625" style="604" customWidth="1"/>
    <col min="5893" max="5893" width="11.26953125" style="604" customWidth="1"/>
    <col min="5894" max="5894" width="2.7265625" style="604" customWidth="1"/>
    <col min="5895" max="5895" width="19.08984375" style="604" bestFit="1" customWidth="1"/>
    <col min="5896" max="5896" width="1.81640625" style="604" customWidth="1"/>
    <col min="5897" max="5897" width="6.7265625" style="604" customWidth="1"/>
    <col min="5898" max="5898" width="14.7265625" style="604" customWidth="1"/>
    <col min="5899" max="5899" width="9" style="604" bestFit="1" customWidth="1"/>
    <col min="5900" max="6140" width="5" style="604"/>
    <col min="6141" max="6141" width="4.7265625" style="604" customWidth="1"/>
    <col min="6142" max="6142" width="2" style="604" customWidth="1"/>
    <col min="6143" max="6143" width="40.7265625" style="604" customWidth="1"/>
    <col min="6144" max="6144" width="3.54296875" style="604" customWidth="1"/>
    <col min="6145" max="6145" width="11.08984375" style="604" customWidth="1"/>
    <col min="6146" max="6146" width="2.7265625" style="604" customWidth="1"/>
    <col min="6147" max="6147" width="11.26953125" style="604" customWidth="1"/>
    <col min="6148" max="6148" width="2.7265625" style="604" customWidth="1"/>
    <col min="6149" max="6149" width="11.26953125" style="604" customWidth="1"/>
    <col min="6150" max="6150" width="2.7265625" style="604" customWidth="1"/>
    <col min="6151" max="6151" width="19.08984375" style="604" bestFit="1" customWidth="1"/>
    <col min="6152" max="6152" width="1.81640625" style="604" customWidth="1"/>
    <col min="6153" max="6153" width="6.7265625" style="604" customWidth="1"/>
    <col min="6154" max="6154" width="14.7265625" style="604" customWidth="1"/>
    <col min="6155" max="6155" width="9" style="604" bestFit="1" customWidth="1"/>
    <col min="6156" max="6396" width="5" style="604"/>
    <col min="6397" max="6397" width="4.7265625" style="604" customWidth="1"/>
    <col min="6398" max="6398" width="2" style="604" customWidth="1"/>
    <col min="6399" max="6399" width="40.7265625" style="604" customWidth="1"/>
    <col min="6400" max="6400" width="3.54296875" style="604" customWidth="1"/>
    <col min="6401" max="6401" width="11.08984375" style="604" customWidth="1"/>
    <col min="6402" max="6402" width="2.7265625" style="604" customWidth="1"/>
    <col min="6403" max="6403" width="11.26953125" style="604" customWidth="1"/>
    <col min="6404" max="6404" width="2.7265625" style="604" customWidth="1"/>
    <col min="6405" max="6405" width="11.26953125" style="604" customWidth="1"/>
    <col min="6406" max="6406" width="2.7265625" style="604" customWidth="1"/>
    <col min="6407" max="6407" width="19.08984375" style="604" bestFit="1" customWidth="1"/>
    <col min="6408" max="6408" width="1.81640625" style="604" customWidth="1"/>
    <col min="6409" max="6409" width="6.7265625" style="604" customWidth="1"/>
    <col min="6410" max="6410" width="14.7265625" style="604" customWidth="1"/>
    <col min="6411" max="6411" width="9" style="604" bestFit="1" customWidth="1"/>
    <col min="6412" max="6652" width="5" style="604"/>
    <col min="6653" max="6653" width="4.7265625" style="604" customWidth="1"/>
    <col min="6654" max="6654" width="2" style="604" customWidth="1"/>
    <col min="6655" max="6655" width="40.7265625" style="604" customWidth="1"/>
    <col min="6656" max="6656" width="3.54296875" style="604" customWidth="1"/>
    <col min="6657" max="6657" width="11.08984375" style="604" customWidth="1"/>
    <col min="6658" max="6658" width="2.7265625" style="604" customWidth="1"/>
    <col min="6659" max="6659" width="11.26953125" style="604" customWidth="1"/>
    <col min="6660" max="6660" width="2.7265625" style="604" customWidth="1"/>
    <col min="6661" max="6661" width="11.26953125" style="604" customWidth="1"/>
    <col min="6662" max="6662" width="2.7265625" style="604" customWidth="1"/>
    <col min="6663" max="6663" width="19.08984375" style="604" bestFit="1" customWidth="1"/>
    <col min="6664" max="6664" width="1.81640625" style="604" customWidth="1"/>
    <col min="6665" max="6665" width="6.7265625" style="604" customWidth="1"/>
    <col min="6666" max="6666" width="14.7265625" style="604" customWidth="1"/>
    <col min="6667" max="6667" width="9" style="604" bestFit="1" customWidth="1"/>
    <col min="6668" max="6908" width="5" style="604"/>
    <col min="6909" max="6909" width="4.7265625" style="604" customWidth="1"/>
    <col min="6910" max="6910" width="2" style="604" customWidth="1"/>
    <col min="6911" max="6911" width="40.7265625" style="604" customWidth="1"/>
    <col min="6912" max="6912" width="3.54296875" style="604" customWidth="1"/>
    <col min="6913" max="6913" width="11.08984375" style="604" customWidth="1"/>
    <col min="6914" max="6914" width="2.7265625" style="604" customWidth="1"/>
    <col min="6915" max="6915" width="11.26953125" style="604" customWidth="1"/>
    <col min="6916" max="6916" width="2.7265625" style="604" customWidth="1"/>
    <col min="6917" max="6917" width="11.26953125" style="604" customWidth="1"/>
    <col min="6918" max="6918" width="2.7265625" style="604" customWidth="1"/>
    <col min="6919" max="6919" width="19.08984375" style="604" bestFit="1" customWidth="1"/>
    <col min="6920" max="6920" width="1.81640625" style="604" customWidth="1"/>
    <col min="6921" max="6921" width="6.7265625" style="604" customWidth="1"/>
    <col min="6922" max="6922" width="14.7265625" style="604" customWidth="1"/>
    <col min="6923" max="6923" width="9" style="604" bestFit="1" customWidth="1"/>
    <col min="6924" max="7164" width="5" style="604"/>
    <col min="7165" max="7165" width="4.7265625" style="604" customWidth="1"/>
    <col min="7166" max="7166" width="2" style="604" customWidth="1"/>
    <col min="7167" max="7167" width="40.7265625" style="604" customWidth="1"/>
    <col min="7168" max="7168" width="3.54296875" style="604" customWidth="1"/>
    <col min="7169" max="7169" width="11.08984375" style="604" customWidth="1"/>
    <col min="7170" max="7170" width="2.7265625" style="604" customWidth="1"/>
    <col min="7171" max="7171" width="11.26953125" style="604" customWidth="1"/>
    <col min="7172" max="7172" width="2.7265625" style="604" customWidth="1"/>
    <col min="7173" max="7173" width="11.26953125" style="604" customWidth="1"/>
    <col min="7174" max="7174" width="2.7265625" style="604" customWidth="1"/>
    <col min="7175" max="7175" width="19.08984375" style="604" bestFit="1" customWidth="1"/>
    <col min="7176" max="7176" width="1.81640625" style="604" customWidth="1"/>
    <col min="7177" max="7177" width="6.7265625" style="604" customWidth="1"/>
    <col min="7178" max="7178" width="14.7265625" style="604" customWidth="1"/>
    <col min="7179" max="7179" width="9" style="604" bestFit="1" customWidth="1"/>
    <col min="7180" max="7420" width="5" style="604"/>
    <col min="7421" max="7421" width="4.7265625" style="604" customWidth="1"/>
    <col min="7422" max="7422" width="2" style="604" customWidth="1"/>
    <col min="7423" max="7423" width="40.7265625" style="604" customWidth="1"/>
    <col min="7424" max="7424" width="3.54296875" style="604" customWidth="1"/>
    <col min="7425" max="7425" width="11.08984375" style="604" customWidth="1"/>
    <col min="7426" max="7426" width="2.7265625" style="604" customWidth="1"/>
    <col min="7427" max="7427" width="11.26953125" style="604" customWidth="1"/>
    <col min="7428" max="7428" width="2.7265625" style="604" customWidth="1"/>
    <col min="7429" max="7429" width="11.26953125" style="604" customWidth="1"/>
    <col min="7430" max="7430" width="2.7265625" style="604" customWidth="1"/>
    <col min="7431" max="7431" width="19.08984375" style="604" bestFit="1" customWidth="1"/>
    <col min="7432" max="7432" width="1.81640625" style="604" customWidth="1"/>
    <col min="7433" max="7433" width="6.7265625" style="604" customWidth="1"/>
    <col min="7434" max="7434" width="14.7265625" style="604" customWidth="1"/>
    <col min="7435" max="7435" width="9" style="604" bestFit="1" customWidth="1"/>
    <col min="7436" max="7676" width="5" style="604"/>
    <col min="7677" max="7677" width="4.7265625" style="604" customWidth="1"/>
    <col min="7678" max="7678" width="2" style="604" customWidth="1"/>
    <col min="7679" max="7679" width="40.7265625" style="604" customWidth="1"/>
    <col min="7680" max="7680" width="3.54296875" style="604" customWidth="1"/>
    <col min="7681" max="7681" width="11.08984375" style="604" customWidth="1"/>
    <col min="7682" max="7682" width="2.7265625" style="604" customWidth="1"/>
    <col min="7683" max="7683" width="11.26953125" style="604" customWidth="1"/>
    <col min="7684" max="7684" width="2.7265625" style="604" customWidth="1"/>
    <col min="7685" max="7685" width="11.26953125" style="604" customWidth="1"/>
    <col min="7686" max="7686" width="2.7265625" style="604" customWidth="1"/>
    <col min="7687" max="7687" width="19.08984375" style="604" bestFit="1" customWidth="1"/>
    <col min="7688" max="7688" width="1.81640625" style="604" customWidth="1"/>
    <col min="7689" max="7689" width="6.7265625" style="604" customWidth="1"/>
    <col min="7690" max="7690" width="14.7265625" style="604" customWidth="1"/>
    <col min="7691" max="7691" width="9" style="604" bestFit="1" customWidth="1"/>
    <col min="7692" max="7932" width="5" style="604"/>
    <col min="7933" max="7933" width="4.7265625" style="604" customWidth="1"/>
    <col min="7934" max="7934" width="2" style="604" customWidth="1"/>
    <col min="7935" max="7935" width="40.7265625" style="604" customWidth="1"/>
    <col min="7936" max="7936" width="3.54296875" style="604" customWidth="1"/>
    <col min="7937" max="7937" width="11.08984375" style="604" customWidth="1"/>
    <col min="7938" max="7938" width="2.7265625" style="604" customWidth="1"/>
    <col min="7939" max="7939" width="11.26953125" style="604" customWidth="1"/>
    <col min="7940" max="7940" width="2.7265625" style="604" customWidth="1"/>
    <col min="7941" max="7941" width="11.26953125" style="604" customWidth="1"/>
    <col min="7942" max="7942" width="2.7265625" style="604" customWidth="1"/>
    <col min="7943" max="7943" width="19.08984375" style="604" bestFit="1" customWidth="1"/>
    <col min="7944" max="7944" width="1.81640625" style="604" customWidth="1"/>
    <col min="7945" max="7945" width="6.7265625" style="604" customWidth="1"/>
    <col min="7946" max="7946" width="14.7265625" style="604" customWidth="1"/>
    <col min="7947" max="7947" width="9" style="604" bestFit="1" customWidth="1"/>
    <col min="7948" max="8188" width="5" style="604"/>
    <col min="8189" max="8189" width="4.7265625" style="604" customWidth="1"/>
    <col min="8190" max="8190" width="2" style="604" customWidth="1"/>
    <col min="8191" max="8191" width="40.7265625" style="604" customWidth="1"/>
    <col min="8192" max="8192" width="3.54296875" style="604" customWidth="1"/>
    <col min="8193" max="8193" width="11.08984375" style="604" customWidth="1"/>
    <col min="8194" max="8194" width="2.7265625" style="604" customWidth="1"/>
    <col min="8195" max="8195" width="11.26953125" style="604" customWidth="1"/>
    <col min="8196" max="8196" width="2.7265625" style="604" customWidth="1"/>
    <col min="8197" max="8197" width="11.26953125" style="604" customWidth="1"/>
    <col min="8198" max="8198" width="2.7265625" style="604" customWidth="1"/>
    <col min="8199" max="8199" width="19.08984375" style="604" bestFit="1" customWidth="1"/>
    <col min="8200" max="8200" width="1.81640625" style="604" customWidth="1"/>
    <col min="8201" max="8201" width="6.7265625" style="604" customWidth="1"/>
    <col min="8202" max="8202" width="14.7265625" style="604" customWidth="1"/>
    <col min="8203" max="8203" width="9" style="604" bestFit="1" customWidth="1"/>
    <col min="8204" max="8444" width="5" style="604"/>
    <col min="8445" max="8445" width="4.7265625" style="604" customWidth="1"/>
    <col min="8446" max="8446" width="2" style="604" customWidth="1"/>
    <col min="8447" max="8447" width="40.7265625" style="604" customWidth="1"/>
    <col min="8448" max="8448" width="3.54296875" style="604" customWidth="1"/>
    <col min="8449" max="8449" width="11.08984375" style="604" customWidth="1"/>
    <col min="8450" max="8450" width="2.7265625" style="604" customWidth="1"/>
    <col min="8451" max="8451" width="11.26953125" style="604" customWidth="1"/>
    <col min="8452" max="8452" width="2.7265625" style="604" customWidth="1"/>
    <col min="8453" max="8453" width="11.26953125" style="604" customWidth="1"/>
    <col min="8454" max="8454" width="2.7265625" style="604" customWidth="1"/>
    <col min="8455" max="8455" width="19.08984375" style="604" bestFit="1" customWidth="1"/>
    <col min="8456" max="8456" width="1.81640625" style="604" customWidth="1"/>
    <col min="8457" max="8457" width="6.7265625" style="604" customWidth="1"/>
    <col min="8458" max="8458" width="14.7265625" style="604" customWidth="1"/>
    <col min="8459" max="8459" width="9" style="604" bestFit="1" customWidth="1"/>
    <col min="8460" max="8700" width="5" style="604"/>
    <col min="8701" max="8701" width="4.7265625" style="604" customWidth="1"/>
    <col min="8702" max="8702" width="2" style="604" customWidth="1"/>
    <col min="8703" max="8703" width="40.7265625" style="604" customWidth="1"/>
    <col min="8704" max="8704" width="3.54296875" style="604" customWidth="1"/>
    <col min="8705" max="8705" width="11.08984375" style="604" customWidth="1"/>
    <col min="8706" max="8706" width="2.7265625" style="604" customWidth="1"/>
    <col min="8707" max="8707" width="11.26953125" style="604" customWidth="1"/>
    <col min="8708" max="8708" width="2.7265625" style="604" customWidth="1"/>
    <col min="8709" max="8709" width="11.26953125" style="604" customWidth="1"/>
    <col min="8710" max="8710" width="2.7265625" style="604" customWidth="1"/>
    <col min="8711" max="8711" width="19.08984375" style="604" bestFit="1" customWidth="1"/>
    <col min="8712" max="8712" width="1.81640625" style="604" customWidth="1"/>
    <col min="8713" max="8713" width="6.7265625" style="604" customWidth="1"/>
    <col min="8714" max="8714" width="14.7265625" style="604" customWidth="1"/>
    <col min="8715" max="8715" width="9" style="604" bestFit="1" customWidth="1"/>
    <col min="8716" max="8956" width="5" style="604"/>
    <col min="8957" max="8957" width="4.7265625" style="604" customWidth="1"/>
    <col min="8958" max="8958" width="2" style="604" customWidth="1"/>
    <col min="8959" max="8959" width="40.7265625" style="604" customWidth="1"/>
    <col min="8960" max="8960" width="3.54296875" style="604" customWidth="1"/>
    <col min="8961" max="8961" width="11.08984375" style="604" customWidth="1"/>
    <col min="8962" max="8962" width="2.7265625" style="604" customWidth="1"/>
    <col min="8963" max="8963" width="11.26953125" style="604" customWidth="1"/>
    <col min="8964" max="8964" width="2.7265625" style="604" customWidth="1"/>
    <col min="8965" max="8965" width="11.26953125" style="604" customWidth="1"/>
    <col min="8966" max="8966" width="2.7265625" style="604" customWidth="1"/>
    <col min="8967" max="8967" width="19.08984375" style="604" bestFit="1" customWidth="1"/>
    <col min="8968" max="8968" width="1.81640625" style="604" customWidth="1"/>
    <col min="8969" max="8969" width="6.7265625" style="604" customWidth="1"/>
    <col min="8970" max="8970" width="14.7265625" style="604" customWidth="1"/>
    <col min="8971" max="8971" width="9" style="604" bestFit="1" customWidth="1"/>
    <col min="8972" max="9212" width="5" style="604"/>
    <col min="9213" max="9213" width="4.7265625" style="604" customWidth="1"/>
    <col min="9214" max="9214" width="2" style="604" customWidth="1"/>
    <col min="9215" max="9215" width="40.7265625" style="604" customWidth="1"/>
    <col min="9216" max="9216" width="3.54296875" style="604" customWidth="1"/>
    <col min="9217" max="9217" width="11.08984375" style="604" customWidth="1"/>
    <col min="9218" max="9218" width="2.7265625" style="604" customWidth="1"/>
    <col min="9219" max="9219" width="11.26953125" style="604" customWidth="1"/>
    <col min="9220" max="9220" width="2.7265625" style="604" customWidth="1"/>
    <col min="9221" max="9221" width="11.26953125" style="604" customWidth="1"/>
    <col min="9222" max="9222" width="2.7265625" style="604" customWidth="1"/>
    <col min="9223" max="9223" width="19.08984375" style="604" bestFit="1" customWidth="1"/>
    <col min="9224" max="9224" width="1.81640625" style="604" customWidth="1"/>
    <col min="9225" max="9225" width="6.7265625" style="604" customWidth="1"/>
    <col min="9226" max="9226" width="14.7265625" style="604" customWidth="1"/>
    <col min="9227" max="9227" width="9" style="604" bestFit="1" customWidth="1"/>
    <col min="9228" max="9468" width="5" style="604"/>
    <col min="9469" max="9469" width="4.7265625" style="604" customWidth="1"/>
    <col min="9470" max="9470" width="2" style="604" customWidth="1"/>
    <col min="9471" max="9471" width="40.7265625" style="604" customWidth="1"/>
    <col min="9472" max="9472" width="3.54296875" style="604" customWidth="1"/>
    <col min="9473" max="9473" width="11.08984375" style="604" customWidth="1"/>
    <col min="9474" max="9474" width="2.7265625" style="604" customWidth="1"/>
    <col min="9475" max="9475" width="11.26953125" style="604" customWidth="1"/>
    <col min="9476" max="9476" width="2.7265625" style="604" customWidth="1"/>
    <col min="9477" max="9477" width="11.26953125" style="604" customWidth="1"/>
    <col min="9478" max="9478" width="2.7265625" style="604" customWidth="1"/>
    <col min="9479" max="9479" width="19.08984375" style="604" bestFit="1" customWidth="1"/>
    <col min="9480" max="9480" width="1.81640625" style="604" customWidth="1"/>
    <col min="9481" max="9481" width="6.7265625" style="604" customWidth="1"/>
    <col min="9482" max="9482" width="14.7265625" style="604" customWidth="1"/>
    <col min="9483" max="9483" width="9" style="604" bestFit="1" customWidth="1"/>
    <col min="9484" max="9724" width="5" style="604"/>
    <col min="9725" max="9725" width="4.7265625" style="604" customWidth="1"/>
    <col min="9726" max="9726" width="2" style="604" customWidth="1"/>
    <col min="9727" max="9727" width="40.7265625" style="604" customWidth="1"/>
    <col min="9728" max="9728" width="3.54296875" style="604" customWidth="1"/>
    <col min="9729" max="9729" width="11.08984375" style="604" customWidth="1"/>
    <col min="9730" max="9730" width="2.7265625" style="604" customWidth="1"/>
    <col min="9731" max="9731" width="11.26953125" style="604" customWidth="1"/>
    <col min="9732" max="9732" width="2.7265625" style="604" customWidth="1"/>
    <col min="9733" max="9733" width="11.26953125" style="604" customWidth="1"/>
    <col min="9734" max="9734" width="2.7265625" style="604" customWidth="1"/>
    <col min="9735" max="9735" width="19.08984375" style="604" bestFit="1" customWidth="1"/>
    <col min="9736" max="9736" width="1.81640625" style="604" customWidth="1"/>
    <col min="9737" max="9737" width="6.7265625" style="604" customWidth="1"/>
    <col min="9738" max="9738" width="14.7265625" style="604" customWidth="1"/>
    <col min="9739" max="9739" width="9" style="604" bestFit="1" customWidth="1"/>
    <col min="9740" max="9980" width="5" style="604"/>
    <col min="9981" max="9981" width="4.7265625" style="604" customWidth="1"/>
    <col min="9982" max="9982" width="2" style="604" customWidth="1"/>
    <col min="9983" max="9983" width="40.7265625" style="604" customWidth="1"/>
    <col min="9984" max="9984" width="3.54296875" style="604" customWidth="1"/>
    <col min="9985" max="9985" width="11.08984375" style="604" customWidth="1"/>
    <col min="9986" max="9986" width="2.7265625" style="604" customWidth="1"/>
    <col min="9987" max="9987" width="11.26953125" style="604" customWidth="1"/>
    <col min="9988" max="9988" width="2.7265625" style="604" customWidth="1"/>
    <col min="9989" max="9989" width="11.26953125" style="604" customWidth="1"/>
    <col min="9990" max="9990" width="2.7265625" style="604" customWidth="1"/>
    <col min="9991" max="9991" width="19.08984375" style="604" bestFit="1" customWidth="1"/>
    <col min="9992" max="9992" width="1.81640625" style="604" customWidth="1"/>
    <col min="9993" max="9993" width="6.7265625" style="604" customWidth="1"/>
    <col min="9994" max="9994" width="14.7265625" style="604" customWidth="1"/>
    <col min="9995" max="9995" width="9" style="604" bestFit="1" customWidth="1"/>
    <col min="9996" max="10236" width="5" style="604"/>
    <col min="10237" max="10237" width="4.7265625" style="604" customWidth="1"/>
    <col min="10238" max="10238" width="2" style="604" customWidth="1"/>
    <col min="10239" max="10239" width="40.7265625" style="604" customWidth="1"/>
    <col min="10240" max="10240" width="3.54296875" style="604" customWidth="1"/>
    <col min="10241" max="10241" width="11.08984375" style="604" customWidth="1"/>
    <col min="10242" max="10242" width="2.7265625" style="604" customWidth="1"/>
    <col min="10243" max="10243" width="11.26953125" style="604" customWidth="1"/>
    <col min="10244" max="10244" width="2.7265625" style="604" customWidth="1"/>
    <col min="10245" max="10245" width="11.26953125" style="604" customWidth="1"/>
    <col min="10246" max="10246" width="2.7265625" style="604" customWidth="1"/>
    <col min="10247" max="10247" width="19.08984375" style="604" bestFit="1" customWidth="1"/>
    <col min="10248" max="10248" width="1.81640625" style="604" customWidth="1"/>
    <col min="10249" max="10249" width="6.7265625" style="604" customWidth="1"/>
    <col min="10250" max="10250" width="14.7265625" style="604" customWidth="1"/>
    <col min="10251" max="10251" width="9" style="604" bestFit="1" customWidth="1"/>
    <col min="10252" max="10492" width="5" style="604"/>
    <col min="10493" max="10493" width="4.7265625" style="604" customWidth="1"/>
    <col min="10494" max="10494" width="2" style="604" customWidth="1"/>
    <col min="10495" max="10495" width="40.7265625" style="604" customWidth="1"/>
    <col min="10496" max="10496" width="3.54296875" style="604" customWidth="1"/>
    <col min="10497" max="10497" width="11.08984375" style="604" customWidth="1"/>
    <col min="10498" max="10498" width="2.7265625" style="604" customWidth="1"/>
    <col min="10499" max="10499" width="11.26953125" style="604" customWidth="1"/>
    <col min="10500" max="10500" width="2.7265625" style="604" customWidth="1"/>
    <col min="10501" max="10501" width="11.26953125" style="604" customWidth="1"/>
    <col min="10502" max="10502" width="2.7265625" style="604" customWidth="1"/>
    <col min="10503" max="10503" width="19.08984375" style="604" bestFit="1" customWidth="1"/>
    <col min="10504" max="10504" width="1.81640625" style="604" customWidth="1"/>
    <col min="10505" max="10505" width="6.7265625" style="604" customWidth="1"/>
    <col min="10506" max="10506" width="14.7265625" style="604" customWidth="1"/>
    <col min="10507" max="10507" width="9" style="604" bestFit="1" customWidth="1"/>
    <col min="10508" max="10748" width="5" style="604"/>
    <col min="10749" max="10749" width="4.7265625" style="604" customWidth="1"/>
    <col min="10750" max="10750" width="2" style="604" customWidth="1"/>
    <col min="10751" max="10751" width="40.7265625" style="604" customWidth="1"/>
    <col min="10752" max="10752" width="3.54296875" style="604" customWidth="1"/>
    <col min="10753" max="10753" width="11.08984375" style="604" customWidth="1"/>
    <col min="10754" max="10754" width="2.7265625" style="604" customWidth="1"/>
    <col min="10755" max="10755" width="11.26953125" style="604" customWidth="1"/>
    <col min="10756" max="10756" width="2.7265625" style="604" customWidth="1"/>
    <col min="10757" max="10757" width="11.26953125" style="604" customWidth="1"/>
    <col min="10758" max="10758" width="2.7265625" style="604" customWidth="1"/>
    <col min="10759" max="10759" width="19.08984375" style="604" bestFit="1" customWidth="1"/>
    <col min="10760" max="10760" width="1.81640625" style="604" customWidth="1"/>
    <col min="10761" max="10761" width="6.7265625" style="604" customWidth="1"/>
    <col min="10762" max="10762" width="14.7265625" style="604" customWidth="1"/>
    <col min="10763" max="10763" width="9" style="604" bestFit="1" customWidth="1"/>
    <col min="10764" max="11004" width="5" style="604"/>
    <col min="11005" max="11005" width="4.7265625" style="604" customWidth="1"/>
    <col min="11006" max="11006" width="2" style="604" customWidth="1"/>
    <col min="11007" max="11007" width="40.7265625" style="604" customWidth="1"/>
    <col min="11008" max="11008" width="3.54296875" style="604" customWidth="1"/>
    <col min="11009" max="11009" width="11.08984375" style="604" customWidth="1"/>
    <col min="11010" max="11010" width="2.7265625" style="604" customWidth="1"/>
    <col min="11011" max="11011" width="11.26953125" style="604" customWidth="1"/>
    <col min="11012" max="11012" width="2.7265625" style="604" customWidth="1"/>
    <col min="11013" max="11013" width="11.26953125" style="604" customWidth="1"/>
    <col min="11014" max="11014" width="2.7265625" style="604" customWidth="1"/>
    <col min="11015" max="11015" width="19.08984375" style="604" bestFit="1" customWidth="1"/>
    <col min="11016" max="11016" width="1.81640625" style="604" customWidth="1"/>
    <col min="11017" max="11017" width="6.7265625" style="604" customWidth="1"/>
    <col min="11018" max="11018" width="14.7265625" style="604" customWidth="1"/>
    <col min="11019" max="11019" width="9" style="604" bestFit="1" customWidth="1"/>
    <col min="11020" max="11260" width="5" style="604"/>
    <col min="11261" max="11261" width="4.7265625" style="604" customWidth="1"/>
    <col min="11262" max="11262" width="2" style="604" customWidth="1"/>
    <col min="11263" max="11263" width="40.7265625" style="604" customWidth="1"/>
    <col min="11264" max="11264" width="3.54296875" style="604" customWidth="1"/>
    <col min="11265" max="11265" width="11.08984375" style="604" customWidth="1"/>
    <col min="11266" max="11266" width="2.7265625" style="604" customWidth="1"/>
    <col min="11267" max="11267" width="11.26953125" style="604" customWidth="1"/>
    <col min="11268" max="11268" width="2.7265625" style="604" customWidth="1"/>
    <col min="11269" max="11269" width="11.26953125" style="604" customWidth="1"/>
    <col min="11270" max="11270" width="2.7265625" style="604" customWidth="1"/>
    <col min="11271" max="11271" width="19.08984375" style="604" bestFit="1" customWidth="1"/>
    <col min="11272" max="11272" width="1.81640625" style="604" customWidth="1"/>
    <col min="11273" max="11273" width="6.7265625" style="604" customWidth="1"/>
    <col min="11274" max="11274" width="14.7265625" style="604" customWidth="1"/>
    <col min="11275" max="11275" width="9" style="604" bestFit="1" customWidth="1"/>
    <col min="11276" max="11516" width="5" style="604"/>
    <col min="11517" max="11517" width="4.7265625" style="604" customWidth="1"/>
    <col min="11518" max="11518" width="2" style="604" customWidth="1"/>
    <col min="11519" max="11519" width="40.7265625" style="604" customWidth="1"/>
    <col min="11520" max="11520" width="3.54296875" style="604" customWidth="1"/>
    <col min="11521" max="11521" width="11.08984375" style="604" customWidth="1"/>
    <col min="11522" max="11522" width="2.7265625" style="604" customWidth="1"/>
    <col min="11523" max="11523" width="11.26953125" style="604" customWidth="1"/>
    <col min="11524" max="11524" width="2.7265625" style="604" customWidth="1"/>
    <col min="11525" max="11525" width="11.26953125" style="604" customWidth="1"/>
    <col min="11526" max="11526" width="2.7265625" style="604" customWidth="1"/>
    <col min="11527" max="11527" width="19.08984375" style="604" bestFit="1" customWidth="1"/>
    <col min="11528" max="11528" width="1.81640625" style="604" customWidth="1"/>
    <col min="11529" max="11529" width="6.7265625" style="604" customWidth="1"/>
    <col min="11530" max="11530" width="14.7265625" style="604" customWidth="1"/>
    <col min="11531" max="11531" width="9" style="604" bestFit="1" customWidth="1"/>
    <col min="11532" max="11772" width="5" style="604"/>
    <col min="11773" max="11773" width="4.7265625" style="604" customWidth="1"/>
    <col min="11774" max="11774" width="2" style="604" customWidth="1"/>
    <col min="11775" max="11775" width="40.7265625" style="604" customWidth="1"/>
    <col min="11776" max="11776" width="3.54296875" style="604" customWidth="1"/>
    <col min="11777" max="11777" width="11.08984375" style="604" customWidth="1"/>
    <col min="11778" max="11778" width="2.7265625" style="604" customWidth="1"/>
    <col min="11779" max="11779" width="11.26953125" style="604" customWidth="1"/>
    <col min="11780" max="11780" width="2.7265625" style="604" customWidth="1"/>
    <col min="11781" max="11781" width="11.26953125" style="604" customWidth="1"/>
    <col min="11782" max="11782" width="2.7265625" style="604" customWidth="1"/>
    <col min="11783" max="11783" width="19.08984375" style="604" bestFit="1" customWidth="1"/>
    <col min="11784" max="11784" width="1.81640625" style="604" customWidth="1"/>
    <col min="11785" max="11785" width="6.7265625" style="604" customWidth="1"/>
    <col min="11786" max="11786" width="14.7265625" style="604" customWidth="1"/>
    <col min="11787" max="11787" width="9" style="604" bestFit="1" customWidth="1"/>
    <col min="11788" max="12028" width="5" style="604"/>
    <col min="12029" max="12029" width="4.7265625" style="604" customWidth="1"/>
    <col min="12030" max="12030" width="2" style="604" customWidth="1"/>
    <col min="12031" max="12031" width="40.7265625" style="604" customWidth="1"/>
    <col min="12032" max="12032" width="3.54296875" style="604" customWidth="1"/>
    <col min="12033" max="12033" width="11.08984375" style="604" customWidth="1"/>
    <col min="12034" max="12034" width="2.7265625" style="604" customWidth="1"/>
    <col min="12035" max="12035" width="11.26953125" style="604" customWidth="1"/>
    <col min="12036" max="12036" width="2.7265625" style="604" customWidth="1"/>
    <col min="12037" max="12037" width="11.26953125" style="604" customWidth="1"/>
    <col min="12038" max="12038" width="2.7265625" style="604" customWidth="1"/>
    <col min="12039" max="12039" width="19.08984375" style="604" bestFit="1" customWidth="1"/>
    <col min="12040" max="12040" width="1.81640625" style="604" customWidth="1"/>
    <col min="12041" max="12041" width="6.7265625" style="604" customWidth="1"/>
    <col min="12042" max="12042" width="14.7265625" style="604" customWidth="1"/>
    <col min="12043" max="12043" width="9" style="604" bestFit="1" customWidth="1"/>
    <col min="12044" max="12284" width="5" style="604"/>
    <col min="12285" max="12285" width="4.7265625" style="604" customWidth="1"/>
    <col min="12286" max="12286" width="2" style="604" customWidth="1"/>
    <col min="12287" max="12287" width="40.7265625" style="604" customWidth="1"/>
    <col min="12288" max="12288" width="3.54296875" style="604" customWidth="1"/>
    <col min="12289" max="12289" width="11.08984375" style="604" customWidth="1"/>
    <col min="12290" max="12290" width="2.7265625" style="604" customWidth="1"/>
    <col min="12291" max="12291" width="11.26953125" style="604" customWidth="1"/>
    <col min="12292" max="12292" width="2.7265625" style="604" customWidth="1"/>
    <col min="12293" max="12293" width="11.26953125" style="604" customWidth="1"/>
    <col min="12294" max="12294" width="2.7265625" style="604" customWidth="1"/>
    <col min="12295" max="12295" width="19.08984375" style="604" bestFit="1" customWidth="1"/>
    <col min="12296" max="12296" width="1.81640625" style="604" customWidth="1"/>
    <col min="12297" max="12297" width="6.7265625" style="604" customWidth="1"/>
    <col min="12298" max="12298" width="14.7265625" style="604" customWidth="1"/>
    <col min="12299" max="12299" width="9" style="604" bestFit="1" customWidth="1"/>
    <col min="12300" max="12540" width="5" style="604"/>
    <col min="12541" max="12541" width="4.7265625" style="604" customWidth="1"/>
    <col min="12542" max="12542" width="2" style="604" customWidth="1"/>
    <col min="12543" max="12543" width="40.7265625" style="604" customWidth="1"/>
    <col min="12544" max="12544" width="3.54296875" style="604" customWidth="1"/>
    <col min="12545" max="12545" width="11.08984375" style="604" customWidth="1"/>
    <col min="12546" max="12546" width="2.7265625" style="604" customWidth="1"/>
    <col min="12547" max="12547" width="11.26953125" style="604" customWidth="1"/>
    <col min="12548" max="12548" width="2.7265625" style="604" customWidth="1"/>
    <col min="12549" max="12549" width="11.26953125" style="604" customWidth="1"/>
    <col min="12550" max="12550" width="2.7265625" style="604" customWidth="1"/>
    <col min="12551" max="12551" width="19.08984375" style="604" bestFit="1" customWidth="1"/>
    <col min="12552" max="12552" width="1.81640625" style="604" customWidth="1"/>
    <col min="12553" max="12553" width="6.7265625" style="604" customWidth="1"/>
    <col min="12554" max="12554" width="14.7265625" style="604" customWidth="1"/>
    <col min="12555" max="12555" width="9" style="604" bestFit="1" customWidth="1"/>
    <col min="12556" max="12796" width="5" style="604"/>
    <col min="12797" max="12797" width="4.7265625" style="604" customWidth="1"/>
    <col min="12798" max="12798" width="2" style="604" customWidth="1"/>
    <col min="12799" max="12799" width="40.7265625" style="604" customWidth="1"/>
    <col min="12800" max="12800" width="3.54296875" style="604" customWidth="1"/>
    <col min="12801" max="12801" width="11.08984375" style="604" customWidth="1"/>
    <col min="12802" max="12802" width="2.7265625" style="604" customWidth="1"/>
    <col min="12803" max="12803" width="11.26953125" style="604" customWidth="1"/>
    <col min="12804" max="12804" width="2.7265625" style="604" customWidth="1"/>
    <col min="12805" max="12805" width="11.26953125" style="604" customWidth="1"/>
    <col min="12806" max="12806" width="2.7265625" style="604" customWidth="1"/>
    <col min="12807" max="12807" width="19.08984375" style="604" bestFit="1" customWidth="1"/>
    <col min="12808" max="12808" width="1.81640625" style="604" customWidth="1"/>
    <col min="12809" max="12809" width="6.7265625" style="604" customWidth="1"/>
    <col min="12810" max="12810" width="14.7265625" style="604" customWidth="1"/>
    <col min="12811" max="12811" width="9" style="604" bestFit="1" customWidth="1"/>
    <col min="12812" max="13052" width="5" style="604"/>
    <col min="13053" max="13053" width="4.7265625" style="604" customWidth="1"/>
    <col min="13054" max="13054" width="2" style="604" customWidth="1"/>
    <col min="13055" max="13055" width="40.7265625" style="604" customWidth="1"/>
    <col min="13056" max="13056" width="3.54296875" style="604" customWidth="1"/>
    <col min="13057" max="13057" width="11.08984375" style="604" customWidth="1"/>
    <col min="13058" max="13058" width="2.7265625" style="604" customWidth="1"/>
    <col min="13059" max="13059" width="11.26953125" style="604" customWidth="1"/>
    <col min="13060" max="13060" width="2.7265625" style="604" customWidth="1"/>
    <col min="13061" max="13061" width="11.26953125" style="604" customWidth="1"/>
    <col min="13062" max="13062" width="2.7265625" style="604" customWidth="1"/>
    <col min="13063" max="13063" width="19.08984375" style="604" bestFit="1" customWidth="1"/>
    <col min="13064" max="13064" width="1.81640625" style="604" customWidth="1"/>
    <col min="13065" max="13065" width="6.7265625" style="604" customWidth="1"/>
    <col min="13066" max="13066" width="14.7265625" style="604" customWidth="1"/>
    <col min="13067" max="13067" width="9" style="604" bestFit="1" customWidth="1"/>
    <col min="13068" max="13308" width="5" style="604"/>
    <col min="13309" max="13309" width="4.7265625" style="604" customWidth="1"/>
    <col min="13310" max="13310" width="2" style="604" customWidth="1"/>
    <col min="13311" max="13311" width="40.7265625" style="604" customWidth="1"/>
    <col min="13312" max="13312" width="3.54296875" style="604" customWidth="1"/>
    <col min="13313" max="13313" width="11.08984375" style="604" customWidth="1"/>
    <col min="13314" max="13314" width="2.7265625" style="604" customWidth="1"/>
    <col min="13315" max="13315" width="11.26953125" style="604" customWidth="1"/>
    <col min="13316" max="13316" width="2.7265625" style="604" customWidth="1"/>
    <col min="13317" max="13317" width="11.26953125" style="604" customWidth="1"/>
    <col min="13318" max="13318" width="2.7265625" style="604" customWidth="1"/>
    <col min="13319" max="13319" width="19.08984375" style="604" bestFit="1" customWidth="1"/>
    <col min="13320" max="13320" width="1.81640625" style="604" customWidth="1"/>
    <col min="13321" max="13321" width="6.7265625" style="604" customWidth="1"/>
    <col min="13322" max="13322" width="14.7265625" style="604" customWidth="1"/>
    <col min="13323" max="13323" width="9" style="604" bestFit="1" customWidth="1"/>
    <col min="13324" max="13564" width="5" style="604"/>
    <col min="13565" max="13565" width="4.7265625" style="604" customWidth="1"/>
    <col min="13566" max="13566" width="2" style="604" customWidth="1"/>
    <col min="13567" max="13567" width="40.7265625" style="604" customWidth="1"/>
    <col min="13568" max="13568" width="3.54296875" style="604" customWidth="1"/>
    <col min="13569" max="13569" width="11.08984375" style="604" customWidth="1"/>
    <col min="13570" max="13570" width="2.7265625" style="604" customWidth="1"/>
    <col min="13571" max="13571" width="11.26953125" style="604" customWidth="1"/>
    <col min="13572" max="13572" width="2.7265625" style="604" customWidth="1"/>
    <col min="13573" max="13573" width="11.26953125" style="604" customWidth="1"/>
    <col min="13574" max="13574" width="2.7265625" style="604" customWidth="1"/>
    <col min="13575" max="13575" width="19.08984375" style="604" bestFit="1" customWidth="1"/>
    <col min="13576" max="13576" width="1.81640625" style="604" customWidth="1"/>
    <col min="13577" max="13577" width="6.7265625" style="604" customWidth="1"/>
    <col min="13578" max="13578" width="14.7265625" style="604" customWidth="1"/>
    <col min="13579" max="13579" width="9" style="604" bestFit="1" customWidth="1"/>
    <col min="13580" max="13820" width="5" style="604"/>
    <col min="13821" max="13821" width="4.7265625" style="604" customWidth="1"/>
    <col min="13822" max="13822" width="2" style="604" customWidth="1"/>
    <col min="13823" max="13823" width="40.7265625" style="604" customWidth="1"/>
    <col min="13824" max="13824" width="3.54296875" style="604" customWidth="1"/>
    <col min="13825" max="13825" width="11.08984375" style="604" customWidth="1"/>
    <col min="13826" max="13826" width="2.7265625" style="604" customWidth="1"/>
    <col min="13827" max="13827" width="11.26953125" style="604" customWidth="1"/>
    <col min="13828" max="13828" width="2.7265625" style="604" customWidth="1"/>
    <col min="13829" max="13829" width="11.26953125" style="604" customWidth="1"/>
    <col min="13830" max="13830" width="2.7265625" style="604" customWidth="1"/>
    <col min="13831" max="13831" width="19.08984375" style="604" bestFit="1" customWidth="1"/>
    <col min="13832" max="13832" width="1.81640625" style="604" customWidth="1"/>
    <col min="13833" max="13833" width="6.7265625" style="604" customWidth="1"/>
    <col min="13834" max="13834" width="14.7265625" style="604" customWidth="1"/>
    <col min="13835" max="13835" width="9" style="604" bestFit="1" customWidth="1"/>
    <col min="13836" max="14076" width="5" style="604"/>
    <col min="14077" max="14077" width="4.7265625" style="604" customWidth="1"/>
    <col min="14078" max="14078" width="2" style="604" customWidth="1"/>
    <col min="14079" max="14079" width="40.7265625" style="604" customWidth="1"/>
    <col min="14080" max="14080" width="3.54296875" style="604" customWidth="1"/>
    <col min="14081" max="14081" width="11.08984375" style="604" customWidth="1"/>
    <col min="14082" max="14082" width="2.7265625" style="604" customWidth="1"/>
    <col min="14083" max="14083" width="11.26953125" style="604" customWidth="1"/>
    <col min="14084" max="14084" width="2.7265625" style="604" customWidth="1"/>
    <col min="14085" max="14085" width="11.26953125" style="604" customWidth="1"/>
    <col min="14086" max="14086" width="2.7265625" style="604" customWidth="1"/>
    <col min="14087" max="14087" width="19.08984375" style="604" bestFit="1" customWidth="1"/>
    <col min="14088" max="14088" width="1.81640625" style="604" customWidth="1"/>
    <col min="14089" max="14089" width="6.7265625" style="604" customWidth="1"/>
    <col min="14090" max="14090" width="14.7265625" style="604" customWidth="1"/>
    <col min="14091" max="14091" width="9" style="604" bestFit="1" customWidth="1"/>
    <col min="14092" max="14332" width="5" style="604"/>
    <col min="14333" max="14333" width="4.7265625" style="604" customWidth="1"/>
    <col min="14334" max="14334" width="2" style="604" customWidth="1"/>
    <col min="14335" max="14335" width="40.7265625" style="604" customWidth="1"/>
    <col min="14336" max="14336" width="3.54296875" style="604" customWidth="1"/>
    <col min="14337" max="14337" width="11.08984375" style="604" customWidth="1"/>
    <col min="14338" max="14338" width="2.7265625" style="604" customWidth="1"/>
    <col min="14339" max="14339" width="11.26953125" style="604" customWidth="1"/>
    <col min="14340" max="14340" width="2.7265625" style="604" customWidth="1"/>
    <col min="14341" max="14341" width="11.26953125" style="604" customWidth="1"/>
    <col min="14342" max="14342" width="2.7265625" style="604" customWidth="1"/>
    <col min="14343" max="14343" width="19.08984375" style="604" bestFit="1" customWidth="1"/>
    <col min="14344" max="14344" width="1.81640625" style="604" customWidth="1"/>
    <col min="14345" max="14345" width="6.7265625" style="604" customWidth="1"/>
    <col min="14346" max="14346" width="14.7265625" style="604" customWidth="1"/>
    <col min="14347" max="14347" width="9" style="604" bestFit="1" customWidth="1"/>
    <col min="14348" max="14588" width="5" style="604"/>
    <col min="14589" max="14589" width="4.7265625" style="604" customWidth="1"/>
    <col min="14590" max="14590" width="2" style="604" customWidth="1"/>
    <col min="14591" max="14591" width="40.7265625" style="604" customWidth="1"/>
    <col min="14592" max="14592" width="3.54296875" style="604" customWidth="1"/>
    <col min="14593" max="14593" width="11.08984375" style="604" customWidth="1"/>
    <col min="14594" max="14594" width="2.7265625" style="604" customWidth="1"/>
    <col min="14595" max="14595" width="11.26953125" style="604" customWidth="1"/>
    <col min="14596" max="14596" width="2.7265625" style="604" customWidth="1"/>
    <col min="14597" max="14597" width="11.26953125" style="604" customWidth="1"/>
    <col min="14598" max="14598" width="2.7265625" style="604" customWidth="1"/>
    <col min="14599" max="14599" width="19.08984375" style="604" bestFit="1" customWidth="1"/>
    <col min="14600" max="14600" width="1.81640625" style="604" customWidth="1"/>
    <col min="14601" max="14601" width="6.7265625" style="604" customWidth="1"/>
    <col min="14602" max="14602" width="14.7265625" style="604" customWidth="1"/>
    <col min="14603" max="14603" width="9" style="604" bestFit="1" customWidth="1"/>
    <col min="14604" max="14844" width="5" style="604"/>
    <col min="14845" max="14845" width="4.7265625" style="604" customWidth="1"/>
    <col min="14846" max="14846" width="2" style="604" customWidth="1"/>
    <col min="14847" max="14847" width="40.7265625" style="604" customWidth="1"/>
    <col min="14848" max="14848" width="3.54296875" style="604" customWidth="1"/>
    <col min="14849" max="14849" width="11.08984375" style="604" customWidth="1"/>
    <col min="14850" max="14850" width="2.7265625" style="604" customWidth="1"/>
    <col min="14851" max="14851" width="11.26953125" style="604" customWidth="1"/>
    <col min="14852" max="14852" width="2.7265625" style="604" customWidth="1"/>
    <col min="14853" max="14853" width="11.26953125" style="604" customWidth="1"/>
    <col min="14854" max="14854" width="2.7265625" style="604" customWidth="1"/>
    <col min="14855" max="14855" width="19.08984375" style="604" bestFit="1" customWidth="1"/>
    <col min="14856" max="14856" width="1.81640625" style="604" customWidth="1"/>
    <col min="14857" max="14857" width="6.7265625" style="604" customWidth="1"/>
    <col min="14858" max="14858" width="14.7265625" style="604" customWidth="1"/>
    <col min="14859" max="14859" width="9" style="604" bestFit="1" customWidth="1"/>
    <col min="14860" max="15100" width="5" style="604"/>
    <col min="15101" max="15101" width="4.7265625" style="604" customWidth="1"/>
    <col min="15102" max="15102" width="2" style="604" customWidth="1"/>
    <col min="15103" max="15103" width="40.7265625" style="604" customWidth="1"/>
    <col min="15104" max="15104" width="3.54296875" style="604" customWidth="1"/>
    <col min="15105" max="15105" width="11.08984375" style="604" customWidth="1"/>
    <col min="15106" max="15106" width="2.7265625" style="604" customWidth="1"/>
    <col min="15107" max="15107" width="11.26953125" style="604" customWidth="1"/>
    <col min="15108" max="15108" width="2.7265625" style="604" customWidth="1"/>
    <col min="15109" max="15109" width="11.26953125" style="604" customWidth="1"/>
    <col min="15110" max="15110" width="2.7265625" style="604" customWidth="1"/>
    <col min="15111" max="15111" width="19.08984375" style="604" bestFit="1" customWidth="1"/>
    <col min="15112" max="15112" width="1.81640625" style="604" customWidth="1"/>
    <col min="15113" max="15113" width="6.7265625" style="604" customWidth="1"/>
    <col min="15114" max="15114" width="14.7265625" style="604" customWidth="1"/>
    <col min="15115" max="15115" width="9" style="604" bestFit="1" customWidth="1"/>
    <col min="15116" max="15356" width="5" style="604"/>
    <col min="15357" max="15357" width="4.7265625" style="604" customWidth="1"/>
    <col min="15358" max="15358" width="2" style="604" customWidth="1"/>
    <col min="15359" max="15359" width="40.7265625" style="604" customWidth="1"/>
    <col min="15360" max="15360" width="3.54296875" style="604" customWidth="1"/>
    <col min="15361" max="15361" width="11.08984375" style="604" customWidth="1"/>
    <col min="15362" max="15362" width="2.7265625" style="604" customWidth="1"/>
    <col min="15363" max="15363" width="11.26953125" style="604" customWidth="1"/>
    <col min="15364" max="15364" width="2.7265625" style="604" customWidth="1"/>
    <col min="15365" max="15365" width="11.26953125" style="604" customWidth="1"/>
    <col min="15366" max="15366" width="2.7265625" style="604" customWidth="1"/>
    <col min="15367" max="15367" width="19.08984375" style="604" bestFit="1" customWidth="1"/>
    <col min="15368" max="15368" width="1.81640625" style="604" customWidth="1"/>
    <col min="15369" max="15369" width="6.7265625" style="604" customWidth="1"/>
    <col min="15370" max="15370" width="14.7265625" style="604" customWidth="1"/>
    <col min="15371" max="15371" width="9" style="604" bestFit="1" customWidth="1"/>
    <col min="15372" max="15612" width="5" style="604"/>
    <col min="15613" max="15613" width="4.7265625" style="604" customWidth="1"/>
    <col min="15614" max="15614" width="2" style="604" customWidth="1"/>
    <col min="15615" max="15615" width="40.7265625" style="604" customWidth="1"/>
    <col min="15616" max="15616" width="3.54296875" style="604" customWidth="1"/>
    <col min="15617" max="15617" width="11.08984375" style="604" customWidth="1"/>
    <col min="15618" max="15618" width="2.7265625" style="604" customWidth="1"/>
    <col min="15619" max="15619" width="11.26953125" style="604" customWidth="1"/>
    <col min="15620" max="15620" width="2.7265625" style="604" customWidth="1"/>
    <col min="15621" max="15621" width="11.26953125" style="604" customWidth="1"/>
    <col min="15622" max="15622" width="2.7265625" style="604" customWidth="1"/>
    <col min="15623" max="15623" width="19.08984375" style="604" bestFit="1" customWidth="1"/>
    <col min="15624" max="15624" width="1.81640625" style="604" customWidth="1"/>
    <col min="15625" max="15625" width="6.7265625" style="604" customWidth="1"/>
    <col min="15626" max="15626" width="14.7265625" style="604" customWidth="1"/>
    <col min="15627" max="15627" width="9" style="604" bestFit="1" customWidth="1"/>
    <col min="15628" max="15868" width="5" style="604"/>
    <col min="15869" max="15869" width="4.7265625" style="604" customWidth="1"/>
    <col min="15870" max="15870" width="2" style="604" customWidth="1"/>
    <col min="15871" max="15871" width="40.7265625" style="604" customWidth="1"/>
    <col min="15872" max="15872" width="3.54296875" style="604" customWidth="1"/>
    <col min="15873" max="15873" width="11.08984375" style="604" customWidth="1"/>
    <col min="15874" max="15874" width="2.7265625" style="604" customWidth="1"/>
    <col min="15875" max="15875" width="11.26953125" style="604" customWidth="1"/>
    <col min="15876" max="15876" width="2.7265625" style="604" customWidth="1"/>
    <col min="15877" max="15877" width="11.26953125" style="604" customWidth="1"/>
    <col min="15878" max="15878" width="2.7265625" style="604" customWidth="1"/>
    <col min="15879" max="15879" width="19.08984375" style="604" bestFit="1" customWidth="1"/>
    <col min="15880" max="15880" width="1.81640625" style="604" customWidth="1"/>
    <col min="15881" max="15881" width="6.7265625" style="604" customWidth="1"/>
    <col min="15882" max="15882" width="14.7265625" style="604" customWidth="1"/>
    <col min="15883" max="15883" width="9" style="604" bestFit="1" customWidth="1"/>
    <col min="15884" max="16124" width="5" style="604"/>
    <col min="16125" max="16125" width="4.7265625" style="604" customWidth="1"/>
    <col min="16126" max="16126" width="2" style="604" customWidth="1"/>
    <col min="16127" max="16127" width="40.7265625" style="604" customWidth="1"/>
    <col min="16128" max="16128" width="3.54296875" style="604" customWidth="1"/>
    <col min="16129" max="16129" width="11.08984375" style="604" customWidth="1"/>
    <col min="16130" max="16130" width="2.7265625" style="604" customWidth="1"/>
    <col min="16131" max="16131" width="11.26953125" style="604" customWidth="1"/>
    <col min="16132" max="16132" width="2.7265625" style="604" customWidth="1"/>
    <col min="16133" max="16133" width="11.26953125" style="604" customWidth="1"/>
    <col min="16134" max="16134" width="2.7265625" style="604" customWidth="1"/>
    <col min="16135" max="16135" width="19.08984375" style="604" bestFit="1" customWidth="1"/>
    <col min="16136" max="16136" width="1.81640625" style="604" customWidth="1"/>
    <col min="16137" max="16137" width="6.7265625" style="604" customWidth="1"/>
    <col min="16138" max="16138" width="14.7265625" style="604" customWidth="1"/>
    <col min="16139" max="16139" width="9" style="604" bestFit="1" customWidth="1"/>
    <col min="16140" max="16384" width="5" style="604"/>
  </cols>
  <sheetData>
    <row r="1" spans="1:38">
      <c r="AH1" s="675" t="s">
        <v>985</v>
      </c>
      <c r="AI1" s="675"/>
      <c r="AJ1" s="675"/>
      <c r="AK1" s="675"/>
    </row>
    <row r="2" spans="1:38">
      <c r="AH2" s="675" t="s">
        <v>144</v>
      </c>
      <c r="AI2" s="675"/>
      <c r="AJ2" s="675"/>
      <c r="AK2" s="675"/>
    </row>
    <row r="3" spans="1:38">
      <c r="AH3" s="675" t="str">
        <f>'Attachment 14a - Working Cap.'!AK3</f>
        <v>For the 12 months ended 12/31/2022</v>
      </c>
      <c r="AI3" s="675"/>
      <c r="AJ3" s="675"/>
      <c r="AK3" s="675"/>
    </row>
    <row r="5" spans="1:38">
      <c r="B5" s="604"/>
      <c r="C5" s="624" t="s">
        <v>627</v>
      </c>
      <c r="E5" s="624" t="str">
        <f>"("&amp;CHAR(CODE(MID(C5,2,1))+1)&amp;")"</f>
        <v>(B)</v>
      </c>
      <c r="F5" s="748"/>
      <c r="G5" s="624" t="str">
        <f t="shared" ref="G5" si="0">"("&amp;CHAR(CODE(MID(E5,2,1))+1)&amp;")"</f>
        <v>(C)</v>
      </c>
      <c r="I5" s="624" t="str">
        <f>"("&amp;CHAR(CODE(MID(G5,2,1))+1)&amp;")"</f>
        <v>(D)</v>
      </c>
      <c r="K5" s="624" t="str">
        <f>"("&amp;CHAR(CODE(MID(I5,2,1))+1)&amp;")"</f>
        <v>(E)</v>
      </c>
      <c r="M5" s="624" t="str">
        <f>"("&amp;CHAR(CODE(MID(K5,2,1))+1)&amp;")"</f>
        <v>(F)</v>
      </c>
      <c r="O5" s="624" t="str">
        <f>"("&amp;CHAR(CODE(MID(M5,2,1))+1)&amp;")"</f>
        <v>(G)</v>
      </c>
      <c r="Q5" s="624" t="str">
        <f>"("&amp;CHAR(CODE(MID(O5,2,1))+1)&amp;")"</f>
        <v>(H)</v>
      </c>
      <c r="S5" s="624" t="str">
        <f>"("&amp;CHAR(CODE(MID(Q5,2,1))+1)&amp;")"</f>
        <v>(I)</v>
      </c>
      <c r="U5" s="624" t="str">
        <f>"("&amp;CHAR(CODE(MID(S5,2,1))+1)&amp;")"</f>
        <v>(J)</v>
      </c>
      <c r="W5" s="624" t="str">
        <f>"("&amp;CHAR(CODE(MID(U5,2,1))+1)&amp;")"</f>
        <v>(K)</v>
      </c>
      <c r="Y5" s="624" t="str">
        <f>"("&amp;CHAR(CODE(MID(W5,2,1))+1)&amp;")"</f>
        <v>(L)</v>
      </c>
      <c r="AA5" s="624" t="str">
        <f>"("&amp;CHAR(CODE(MID(Y5,2,1))+1)&amp;")"</f>
        <v>(M)</v>
      </c>
      <c r="AC5" s="624" t="str">
        <f>"("&amp;CHAR(CODE(MID(AA5,2,1))+1)&amp;")"</f>
        <v>(N)</v>
      </c>
      <c r="AE5" s="624" t="str">
        <f>"("&amp;CHAR(CODE(MID(AC5,2,1))+1)&amp;")"</f>
        <v>(O)</v>
      </c>
      <c r="AG5" s="624" t="str">
        <f>"("&amp;CHAR(CODE(MID(AE5,2,1))+1)&amp;")"</f>
        <v>(P)</v>
      </c>
      <c r="AH5" s="624" t="str">
        <f>"("&amp;CHAR(CODE(MID(AG5,2,1))+1)&amp;")"</f>
        <v>(Q)</v>
      </c>
      <c r="AI5" s="748" t="str">
        <f>"("&amp;CHAR(CODE(MID(AH5,2,1))+1)&amp;")"</f>
        <v>(R)</v>
      </c>
      <c r="AJ5" s="748"/>
      <c r="AK5" s="748" t="str">
        <f>"("&amp;CHAR(CODE(MID(AI5,2,1))+1)&amp;")"</f>
        <v>(S)</v>
      </c>
    </row>
    <row r="6" spans="1:38">
      <c r="B6" s="604"/>
      <c r="E6" s="624"/>
      <c r="G6" s="624"/>
      <c r="I6" s="624"/>
      <c r="K6" s="624"/>
      <c r="M6" s="624"/>
      <c r="O6" s="624"/>
      <c r="Q6" s="624"/>
      <c r="S6" s="624"/>
      <c r="U6" s="624"/>
      <c r="W6" s="624"/>
      <c r="Y6" s="624"/>
      <c r="AA6" s="624"/>
      <c r="AC6" s="624"/>
      <c r="AD6" s="605"/>
      <c r="AE6" s="624"/>
      <c r="AF6" s="605"/>
      <c r="AH6" s="605"/>
      <c r="AI6" s="605"/>
      <c r="AJ6" s="605"/>
      <c r="AL6" s="605"/>
    </row>
    <row r="7" spans="1:38">
      <c r="B7" s="604"/>
      <c r="E7" s="624"/>
      <c r="G7" s="662">
        <v>2021</v>
      </c>
      <c r="I7" s="623">
        <f>$G$7+1</f>
        <v>2022</v>
      </c>
      <c r="K7" s="623">
        <f>$G$7+1</f>
        <v>2022</v>
      </c>
      <c r="M7" s="623">
        <f>$G$7+1</f>
        <v>2022</v>
      </c>
      <c r="O7" s="623">
        <f>$G$7+1</f>
        <v>2022</v>
      </c>
      <c r="Q7" s="623">
        <f>$G$7+1</f>
        <v>2022</v>
      </c>
      <c r="S7" s="623">
        <f>$G$7+1</f>
        <v>2022</v>
      </c>
      <c r="U7" s="623">
        <f>$G$7+1</f>
        <v>2022</v>
      </c>
      <c r="W7" s="623">
        <f>$G$7+1</f>
        <v>2022</v>
      </c>
      <c r="Y7" s="623">
        <f>$G$7+1</f>
        <v>2022</v>
      </c>
      <c r="AA7" s="623">
        <f>$G$7+1</f>
        <v>2022</v>
      </c>
      <c r="AC7" s="623">
        <f>$G$7+1</f>
        <v>2022</v>
      </c>
      <c r="AE7" s="623">
        <f>$G$7+1</f>
        <v>2022</v>
      </c>
      <c r="AF7" s="605"/>
      <c r="AH7" s="605"/>
      <c r="AI7" s="605"/>
      <c r="AJ7" s="605"/>
      <c r="AK7" s="604"/>
    </row>
    <row r="8" spans="1:38" ht="31.2">
      <c r="A8" s="622" t="s">
        <v>630</v>
      </c>
      <c r="B8" s="613"/>
      <c r="C8" s="620" t="s">
        <v>625</v>
      </c>
      <c r="D8" s="749"/>
      <c r="E8" s="619" t="s">
        <v>624</v>
      </c>
      <c r="F8" s="613"/>
      <c r="G8" s="619" t="s">
        <v>188</v>
      </c>
      <c r="H8" s="613"/>
      <c r="I8" s="619" t="s">
        <v>623</v>
      </c>
      <c r="J8" s="613"/>
      <c r="K8" s="619" t="s">
        <v>622</v>
      </c>
      <c r="L8" s="613"/>
      <c r="M8" s="619" t="s">
        <v>621</v>
      </c>
      <c r="N8" s="613"/>
      <c r="O8" s="619" t="s">
        <v>620</v>
      </c>
      <c r="P8" s="613"/>
      <c r="Q8" s="619" t="s">
        <v>619</v>
      </c>
      <c r="R8" s="613"/>
      <c r="S8" s="619" t="s">
        <v>618</v>
      </c>
      <c r="T8" s="613"/>
      <c r="U8" s="619" t="s">
        <v>617</v>
      </c>
      <c r="V8" s="613"/>
      <c r="W8" s="619" t="s">
        <v>616</v>
      </c>
      <c r="X8" s="613"/>
      <c r="Y8" s="619" t="s">
        <v>615</v>
      </c>
      <c r="Z8" s="613"/>
      <c r="AA8" s="619" t="s">
        <v>614</v>
      </c>
      <c r="AB8" s="613"/>
      <c r="AC8" s="619" t="s">
        <v>613</v>
      </c>
      <c r="AD8" s="613"/>
      <c r="AE8" s="619" t="s">
        <v>188</v>
      </c>
      <c r="AF8" s="611"/>
      <c r="AG8" s="892" t="s">
        <v>910</v>
      </c>
      <c r="AH8" s="893" t="s">
        <v>1031</v>
      </c>
      <c r="AI8" s="893" t="s">
        <v>727</v>
      </c>
      <c r="AJ8" s="839" t="s">
        <v>60</v>
      </c>
      <c r="AK8" s="893" t="s">
        <v>1032</v>
      </c>
    </row>
    <row r="9" spans="1:38">
      <c r="A9" s="615">
        <v>1</v>
      </c>
      <c r="B9" s="613"/>
      <c r="C9" s="614"/>
      <c r="D9" s="613"/>
      <c r="E9" s="612"/>
      <c r="F9" s="613"/>
      <c r="G9" s="612"/>
      <c r="H9" s="613"/>
      <c r="I9" s="612"/>
      <c r="J9" s="613"/>
      <c r="K9" s="612"/>
      <c r="L9" s="613"/>
      <c r="M9" s="612"/>
      <c r="N9" s="613"/>
      <c r="O9" s="612"/>
      <c r="P9" s="613"/>
      <c r="Q9" s="612"/>
      <c r="R9" s="613"/>
      <c r="S9" s="612"/>
      <c r="T9" s="613"/>
      <c r="U9" s="612"/>
      <c r="V9" s="613"/>
      <c r="W9" s="612"/>
      <c r="X9" s="613"/>
      <c r="Y9" s="612"/>
      <c r="Z9" s="613"/>
      <c r="AA9" s="612"/>
      <c r="AB9" s="613"/>
      <c r="AC9" s="612"/>
      <c r="AD9" s="613"/>
      <c r="AE9" s="612"/>
      <c r="AF9" s="611"/>
      <c r="AG9" s="612"/>
      <c r="AH9" s="611"/>
      <c r="AI9" s="611"/>
      <c r="AJ9" s="611"/>
      <c r="AK9" s="616"/>
    </row>
    <row r="10" spans="1:38">
      <c r="A10" s="615">
        <v>2</v>
      </c>
      <c r="B10" s="613"/>
      <c r="C10" s="758" t="s">
        <v>1004</v>
      </c>
      <c r="D10" s="613"/>
      <c r="E10" s="612"/>
      <c r="F10" s="613"/>
      <c r="G10" s="612"/>
      <c r="H10" s="613"/>
      <c r="I10" s="612"/>
      <c r="J10" s="613"/>
      <c r="K10" s="612"/>
      <c r="L10" s="613"/>
      <c r="M10" s="612"/>
      <c r="N10" s="613"/>
      <c r="O10" s="612"/>
      <c r="P10" s="613"/>
      <c r="Q10" s="612"/>
      <c r="R10" s="613"/>
      <c r="S10" s="612"/>
      <c r="T10" s="613"/>
      <c r="U10" s="612"/>
      <c r="V10" s="613"/>
      <c r="W10" s="612"/>
      <c r="X10" s="613"/>
      <c r="Y10" s="612"/>
      <c r="Z10" s="613"/>
      <c r="AA10" s="612"/>
      <c r="AB10" s="613"/>
      <c r="AC10" s="612"/>
      <c r="AD10" s="613"/>
      <c r="AE10" s="612"/>
      <c r="AF10" s="611"/>
      <c r="AG10" s="612"/>
      <c r="AH10" s="611"/>
      <c r="AI10" s="611"/>
      <c r="AJ10" s="611"/>
      <c r="AK10" s="926"/>
    </row>
    <row r="11" spans="1:38">
      <c r="C11" s="605"/>
      <c r="D11" s="605"/>
      <c r="E11" s="605"/>
      <c r="F11" s="605"/>
      <c r="G11" s="605"/>
      <c r="H11" s="605"/>
      <c r="I11" s="605"/>
      <c r="J11" s="605"/>
      <c r="K11" s="605"/>
      <c r="L11" s="605"/>
      <c r="M11" s="605"/>
      <c r="N11" s="605"/>
      <c r="O11" s="605"/>
      <c r="P11" s="605"/>
      <c r="Q11" s="605"/>
      <c r="R11" s="605"/>
      <c r="S11" s="605"/>
      <c r="T11" s="605"/>
      <c r="U11" s="605"/>
      <c r="V11" s="605"/>
      <c r="W11" s="605"/>
      <c r="X11" s="605"/>
      <c r="Y11" s="605"/>
      <c r="Z11" s="605"/>
      <c r="AA11" s="605"/>
      <c r="AB11" s="605"/>
      <c r="AC11" s="605"/>
      <c r="AD11" s="605"/>
      <c r="AE11" s="605"/>
      <c r="AF11" s="605"/>
      <c r="AH11" s="605"/>
      <c r="AI11" s="605"/>
      <c r="AJ11" s="605"/>
    </row>
    <row r="12" spans="1:38">
      <c r="A12" s="740">
        <f>A10+0.01</f>
        <v>2.0099999999999998</v>
      </c>
      <c r="B12" s="604"/>
      <c r="C12" s="659"/>
      <c r="E12" s="660"/>
      <c r="G12" s="660"/>
      <c r="I12" s="660"/>
      <c r="K12" s="660"/>
      <c r="M12" s="660"/>
      <c r="O12" s="660"/>
      <c r="Q12" s="660"/>
      <c r="S12" s="660"/>
      <c r="U12" s="660"/>
      <c r="W12" s="660"/>
      <c r="Y12" s="660"/>
      <c r="AA12" s="660"/>
      <c r="AC12" s="660"/>
      <c r="AE12" s="660"/>
      <c r="AG12" s="606">
        <f>SUM(G12:AE12)/13</f>
        <v>0</v>
      </c>
      <c r="AH12" s="727"/>
      <c r="AI12" s="757">
        <f ca="1">IFERROR(INDIRECT(AH12),0)</f>
        <v>0</v>
      </c>
      <c r="AK12" s="610">
        <f ca="1">AG12*AI12</f>
        <v>0</v>
      </c>
    </row>
    <row r="13" spans="1:38">
      <c r="A13" s="739">
        <f>A12+0.01</f>
        <v>2.0199999999999996</v>
      </c>
      <c r="B13" s="604"/>
      <c r="C13" s="659"/>
      <c r="E13" s="665"/>
      <c r="G13" s="660"/>
      <c r="I13" s="660"/>
      <c r="K13" s="660"/>
      <c r="M13" s="660"/>
      <c r="O13" s="660"/>
      <c r="Q13" s="660"/>
      <c r="S13" s="660"/>
      <c r="U13" s="660"/>
      <c r="W13" s="660"/>
      <c r="Y13" s="660"/>
      <c r="AA13" s="660"/>
      <c r="AC13" s="660"/>
      <c r="AE13" s="660"/>
      <c r="AG13" s="606">
        <f t="shared" ref="AG13" si="1">SUM(G13:AE13)/13</f>
        <v>0</v>
      </c>
      <c r="AH13" s="727"/>
      <c r="AI13" s="757">
        <f ca="1">IFERROR(INDIRECT(AH13),0)</f>
        <v>0</v>
      </c>
      <c r="AK13" s="852">
        <f ca="1">AG13*AI13</f>
        <v>0</v>
      </c>
    </row>
    <row r="14" spans="1:38">
      <c r="A14" s="605">
        <f>A10+1</f>
        <v>3</v>
      </c>
      <c r="B14" s="604"/>
      <c r="C14" s="659" t="str">
        <f ca="1">"Sum of Lines "&amp;A12&amp;" through "&amp;OFFSET(A14,-1,0)</f>
        <v>Sum of Lines 2.01 through 2.02</v>
      </c>
      <c r="E14" s="647"/>
      <c r="G14" s="609">
        <f>SUM(G12:G13)</f>
        <v>0</v>
      </c>
      <c r="I14" s="609">
        <f>SUM(I12:I13)</f>
        <v>0</v>
      </c>
      <c r="K14" s="609">
        <f>SUM(K12:K13)</f>
        <v>0</v>
      </c>
      <c r="M14" s="609">
        <f>SUM(M12:M13)</f>
        <v>0</v>
      </c>
      <c r="O14" s="609">
        <f>SUM(O12:O13)</f>
        <v>0</v>
      </c>
      <c r="Q14" s="609">
        <f>SUM(Q12:Q13)</f>
        <v>0</v>
      </c>
      <c r="S14" s="609">
        <f>SUM(S12:S13)</f>
        <v>0</v>
      </c>
      <c r="U14" s="609">
        <f>SUM(U12:U13)</f>
        <v>0</v>
      </c>
      <c r="W14" s="609">
        <f>SUM(W12:W13)</f>
        <v>0</v>
      </c>
      <c r="Y14" s="609">
        <f>SUM(Y12:Y13)</f>
        <v>0</v>
      </c>
      <c r="AA14" s="609">
        <f>SUM(AA12:AA13)</f>
        <v>0</v>
      </c>
      <c r="AC14" s="609">
        <f>SUM(AC12:AC13)</f>
        <v>0</v>
      </c>
      <c r="AE14" s="609">
        <f>SUM(AE12:AE13)</f>
        <v>0</v>
      </c>
      <c r="AG14" s="609">
        <f>SUM(AG12:AG13)</f>
        <v>0</v>
      </c>
      <c r="AK14" s="610">
        <f ca="1">SUM(AK12:AK13)</f>
        <v>0</v>
      </c>
    </row>
    <row r="15" spans="1:38">
      <c r="AA15" s="741"/>
      <c r="AC15" s="741"/>
      <c r="AE15" s="605"/>
      <c r="AK15" s="604"/>
    </row>
    <row r="16" spans="1:38">
      <c r="A16" s="615">
        <f>A14+1</f>
        <v>4</v>
      </c>
      <c r="B16" s="613"/>
      <c r="C16" s="758" t="s">
        <v>1005</v>
      </c>
      <c r="D16" s="613"/>
      <c r="E16" s="612"/>
      <c r="F16" s="613"/>
      <c r="G16" s="612"/>
      <c r="H16" s="613"/>
      <c r="I16" s="612"/>
      <c r="J16" s="613"/>
      <c r="K16" s="612"/>
      <c r="L16" s="613"/>
      <c r="M16" s="612"/>
      <c r="N16" s="613"/>
      <c r="O16" s="612"/>
      <c r="P16" s="613"/>
      <c r="Q16" s="612"/>
      <c r="R16" s="613"/>
      <c r="S16" s="612"/>
      <c r="T16" s="613"/>
      <c r="U16" s="612"/>
      <c r="V16" s="613"/>
      <c r="W16" s="612"/>
      <c r="X16" s="613"/>
      <c r="Y16" s="612"/>
      <c r="Z16" s="613"/>
      <c r="AA16" s="612"/>
      <c r="AB16" s="613"/>
      <c r="AC16" s="612"/>
      <c r="AD16" s="613"/>
      <c r="AE16" s="612"/>
      <c r="AF16" s="611"/>
      <c r="AG16" s="612"/>
      <c r="AH16" s="611"/>
      <c r="AI16" s="611"/>
      <c r="AJ16" s="611"/>
      <c r="AK16" s="926"/>
    </row>
    <row r="17" spans="1:37">
      <c r="C17" s="605"/>
      <c r="D17" s="605"/>
      <c r="E17" s="605"/>
      <c r="F17" s="605"/>
      <c r="G17" s="605"/>
      <c r="H17" s="605"/>
      <c r="I17" s="605"/>
      <c r="J17" s="605"/>
      <c r="K17" s="605"/>
      <c r="L17" s="605"/>
      <c r="M17" s="605"/>
      <c r="N17" s="605"/>
      <c r="O17" s="605"/>
      <c r="P17" s="605"/>
      <c r="Q17" s="605"/>
      <c r="R17" s="605"/>
      <c r="S17" s="605"/>
      <c r="T17" s="605"/>
      <c r="U17" s="605"/>
      <c r="V17" s="605"/>
      <c r="W17" s="605"/>
      <c r="X17" s="605"/>
      <c r="Y17" s="605"/>
      <c r="Z17" s="605"/>
      <c r="AA17" s="605"/>
      <c r="AB17" s="605"/>
      <c r="AC17" s="605"/>
      <c r="AD17" s="605"/>
      <c r="AE17" s="605"/>
      <c r="AF17" s="605"/>
      <c r="AH17" s="605"/>
      <c r="AI17" s="605"/>
      <c r="AJ17" s="605"/>
    </row>
    <row r="18" spans="1:37">
      <c r="A18" s="740">
        <f>A16+0.01</f>
        <v>4.01</v>
      </c>
      <c r="B18" s="604"/>
      <c r="C18" s="659"/>
      <c r="E18" s="660"/>
      <c r="G18" s="660"/>
      <c r="I18" s="660"/>
      <c r="K18" s="660"/>
      <c r="M18" s="660"/>
      <c r="O18" s="660"/>
      <c r="Q18" s="660"/>
      <c r="S18" s="660"/>
      <c r="U18" s="660"/>
      <c r="W18" s="660"/>
      <c r="Y18" s="660"/>
      <c r="AA18" s="660"/>
      <c r="AC18" s="660"/>
      <c r="AE18" s="660"/>
      <c r="AG18" s="606">
        <f>SUM(G18:AE18)/13</f>
        <v>0</v>
      </c>
      <c r="AH18" s="727"/>
      <c r="AI18" s="757">
        <f ca="1">IFERROR(INDIRECT(AH18),0)</f>
        <v>0</v>
      </c>
      <c r="AK18" s="610">
        <f ca="1">AG18*AI18</f>
        <v>0</v>
      </c>
    </row>
    <row r="19" spans="1:37">
      <c r="A19" s="739">
        <f>A18+0.01</f>
        <v>4.0199999999999996</v>
      </c>
      <c r="B19" s="604"/>
      <c r="C19" s="659"/>
      <c r="E19" s="665"/>
      <c r="G19" s="660"/>
      <c r="I19" s="660"/>
      <c r="K19" s="660"/>
      <c r="M19" s="660"/>
      <c r="O19" s="660"/>
      <c r="Q19" s="660"/>
      <c r="S19" s="660"/>
      <c r="U19" s="660"/>
      <c r="W19" s="660"/>
      <c r="Y19" s="660"/>
      <c r="AA19" s="660"/>
      <c r="AC19" s="660"/>
      <c r="AE19" s="660"/>
      <c r="AG19" s="606">
        <f t="shared" ref="AG19" si="2">SUM(G19:AE19)/13</f>
        <v>0</v>
      </c>
      <c r="AH19" s="727"/>
      <c r="AI19" s="757">
        <f ca="1">IFERROR(INDIRECT(AH19),0)</f>
        <v>0</v>
      </c>
      <c r="AK19" s="852">
        <f ca="1">AG19*AI19</f>
        <v>0</v>
      </c>
    </row>
    <row r="20" spans="1:37">
      <c r="A20" s="605">
        <f>A16+1</f>
        <v>5</v>
      </c>
      <c r="B20" s="604"/>
      <c r="C20" s="659" t="str">
        <f ca="1">"Sum of Lines "&amp;A18&amp;" through "&amp;OFFSET(A20,-1,0)</f>
        <v>Sum of Lines 4.01 through 4.02</v>
      </c>
      <c r="E20" s="647"/>
      <c r="G20" s="609">
        <f>SUM(G18:G19)</f>
        <v>0</v>
      </c>
      <c r="I20" s="609">
        <f>SUM(I18:I19)</f>
        <v>0</v>
      </c>
      <c r="K20" s="609">
        <f>SUM(K18:K19)</f>
        <v>0</v>
      </c>
      <c r="M20" s="609">
        <f>SUM(M18:M19)</f>
        <v>0</v>
      </c>
      <c r="O20" s="609">
        <f>SUM(O18:O19)</f>
        <v>0</v>
      </c>
      <c r="Q20" s="609">
        <f>SUM(Q18:Q19)</f>
        <v>0</v>
      </c>
      <c r="S20" s="609">
        <f>SUM(S18:S19)</f>
        <v>0</v>
      </c>
      <c r="U20" s="609">
        <f>SUM(U18:U19)</f>
        <v>0</v>
      </c>
      <c r="W20" s="609">
        <f>SUM(W18:W19)</f>
        <v>0</v>
      </c>
      <c r="Y20" s="609">
        <f>SUM(Y18:Y19)</f>
        <v>0</v>
      </c>
      <c r="AA20" s="609">
        <f>SUM(AA18:AA19)</f>
        <v>0</v>
      </c>
      <c r="AC20" s="609">
        <f>SUM(AC18:AC19)</f>
        <v>0</v>
      </c>
      <c r="AE20" s="609">
        <f>SUM(AE18:AE19)</f>
        <v>0</v>
      </c>
      <c r="AG20" s="609">
        <f>SUM(AG18:AG19)</f>
        <v>0</v>
      </c>
      <c r="AK20" s="610">
        <f ca="1">SUM(AK18:AK19)</f>
        <v>0</v>
      </c>
    </row>
    <row r="21" spans="1:37">
      <c r="AE21" s="605"/>
      <c r="AK21" s="604"/>
    </row>
    <row r="22" spans="1:37">
      <c r="A22" s="615">
        <f>A20+1</f>
        <v>6</v>
      </c>
      <c r="B22" s="613"/>
      <c r="C22" s="758" t="s">
        <v>1006</v>
      </c>
      <c r="D22" s="613"/>
      <c r="E22" s="612"/>
      <c r="F22" s="613"/>
      <c r="G22" s="612"/>
      <c r="H22" s="613"/>
      <c r="I22" s="612"/>
      <c r="J22" s="613"/>
      <c r="K22" s="612"/>
      <c r="L22" s="613"/>
      <c r="M22" s="612"/>
      <c r="N22" s="613"/>
      <c r="O22" s="612"/>
      <c r="P22" s="613"/>
      <c r="Q22" s="612"/>
      <c r="R22" s="613"/>
      <c r="S22" s="612"/>
      <c r="T22" s="613"/>
      <c r="U22" s="612"/>
      <c r="V22" s="613"/>
      <c r="W22" s="612"/>
      <c r="X22" s="613"/>
      <c r="Y22" s="612"/>
      <c r="Z22" s="613"/>
      <c r="AA22" s="612"/>
      <c r="AB22" s="613"/>
      <c r="AC22" s="612"/>
      <c r="AD22" s="613"/>
      <c r="AE22" s="612"/>
      <c r="AF22" s="611"/>
      <c r="AG22" s="612"/>
      <c r="AH22" s="611"/>
      <c r="AI22" s="611"/>
      <c r="AJ22" s="611"/>
      <c r="AK22" s="926"/>
    </row>
    <row r="23" spans="1:37">
      <c r="C23" s="605"/>
      <c r="D23" s="605"/>
      <c r="E23" s="605"/>
      <c r="F23" s="605"/>
      <c r="G23" s="605"/>
      <c r="H23" s="605"/>
      <c r="I23" s="605"/>
      <c r="J23" s="605"/>
      <c r="K23" s="605"/>
      <c r="L23" s="605"/>
      <c r="M23" s="605"/>
      <c r="N23" s="605"/>
      <c r="O23" s="605"/>
      <c r="P23" s="605"/>
      <c r="Q23" s="605"/>
      <c r="R23" s="605"/>
      <c r="S23" s="605"/>
      <c r="T23" s="605"/>
      <c r="U23" s="605"/>
      <c r="V23" s="605"/>
      <c r="W23" s="605"/>
      <c r="X23" s="605"/>
      <c r="Y23" s="605"/>
      <c r="Z23" s="605"/>
      <c r="AA23" s="605"/>
      <c r="AB23" s="605"/>
      <c r="AC23" s="605"/>
      <c r="AD23" s="605"/>
      <c r="AE23" s="605"/>
      <c r="AF23" s="605"/>
      <c r="AH23" s="605"/>
      <c r="AI23" s="605"/>
      <c r="AJ23" s="605"/>
    </row>
    <row r="24" spans="1:37">
      <c r="A24" s="740">
        <f>A22+0.01</f>
        <v>6.01</v>
      </c>
      <c r="B24" s="604"/>
      <c r="C24" s="659"/>
      <c r="E24" s="660"/>
      <c r="G24" s="660"/>
      <c r="I24" s="660"/>
      <c r="K24" s="660"/>
      <c r="M24" s="660"/>
      <c r="O24" s="660"/>
      <c r="Q24" s="660"/>
      <c r="S24" s="660"/>
      <c r="U24" s="660"/>
      <c r="W24" s="660"/>
      <c r="Y24" s="660"/>
      <c r="AA24" s="660"/>
      <c r="AC24" s="660"/>
      <c r="AE24" s="660"/>
      <c r="AG24" s="606">
        <f>SUM(G24:AE24)/13</f>
        <v>0</v>
      </c>
      <c r="AH24" s="727"/>
      <c r="AI24" s="757">
        <f ca="1">IFERROR(INDIRECT(AH24),0)</f>
        <v>0</v>
      </c>
      <c r="AK24" s="610">
        <f ca="1">AG24*AI24</f>
        <v>0</v>
      </c>
    </row>
    <row r="25" spans="1:37">
      <c r="A25" s="739">
        <f>A24+0.01</f>
        <v>6.02</v>
      </c>
      <c r="B25" s="604"/>
      <c r="C25" s="659"/>
      <c r="E25" s="665"/>
      <c r="G25" s="660"/>
      <c r="I25" s="660"/>
      <c r="K25" s="660"/>
      <c r="M25" s="660"/>
      <c r="O25" s="660"/>
      <c r="Q25" s="660"/>
      <c r="S25" s="660"/>
      <c r="U25" s="660"/>
      <c r="W25" s="660"/>
      <c r="Y25" s="660"/>
      <c r="AA25" s="660"/>
      <c r="AC25" s="660"/>
      <c r="AE25" s="660"/>
      <c r="AG25" s="606">
        <f t="shared" ref="AG25" si="3">SUM(G25:AE25)/13</f>
        <v>0</v>
      </c>
      <c r="AH25" s="727"/>
      <c r="AI25" s="757">
        <f ca="1">IFERROR(INDIRECT(AH25),0)</f>
        <v>0</v>
      </c>
      <c r="AK25" s="852">
        <f ca="1">AG25*AI25</f>
        <v>0</v>
      </c>
    </row>
    <row r="26" spans="1:37">
      <c r="A26" s="605">
        <f>A22+1</f>
        <v>7</v>
      </c>
      <c r="B26" s="604"/>
      <c r="C26" s="659" t="str">
        <f ca="1">"Sum of Lines "&amp;A24&amp;" through "&amp;OFFSET(A26,-1,0)</f>
        <v>Sum of Lines 6.01 through 6.02</v>
      </c>
      <c r="E26" s="647"/>
      <c r="G26" s="609">
        <f>SUM(G24:G25)</f>
        <v>0</v>
      </c>
      <c r="I26" s="609">
        <f>SUM(I24:I25)</f>
        <v>0</v>
      </c>
      <c r="K26" s="609">
        <f>SUM(K24:K25)</f>
        <v>0</v>
      </c>
      <c r="M26" s="609">
        <f>SUM(M24:M25)</f>
        <v>0</v>
      </c>
      <c r="O26" s="609">
        <f>SUM(O24:O25)</f>
        <v>0</v>
      </c>
      <c r="Q26" s="609">
        <f>SUM(Q24:Q25)</f>
        <v>0</v>
      </c>
      <c r="S26" s="609">
        <f>SUM(S24:S25)</f>
        <v>0</v>
      </c>
      <c r="U26" s="609">
        <f>SUM(U24:U25)</f>
        <v>0</v>
      </c>
      <c r="W26" s="609">
        <f>SUM(W24:W25)</f>
        <v>0</v>
      </c>
      <c r="Y26" s="609">
        <f>SUM(Y24:Y25)</f>
        <v>0</v>
      </c>
      <c r="AA26" s="609">
        <f>SUM(AA24:AA25)</f>
        <v>0</v>
      </c>
      <c r="AC26" s="609">
        <f>SUM(AC24:AC25)</f>
        <v>0</v>
      </c>
      <c r="AE26" s="609">
        <f>SUM(AE24:AE25)</f>
        <v>0</v>
      </c>
      <c r="AG26" s="609">
        <f>SUM(AG24:AG25)</f>
        <v>0</v>
      </c>
      <c r="AK26" s="610">
        <f ca="1">SUM(AK24:AK25)</f>
        <v>0</v>
      </c>
    </row>
    <row r="27" spans="1:37">
      <c r="AE27" s="605"/>
      <c r="AK27" s="604"/>
    </row>
    <row r="28" spans="1:37">
      <c r="A28" s="615">
        <f>A26+1</f>
        <v>8</v>
      </c>
      <c r="B28" s="613"/>
      <c r="C28" s="758" t="s">
        <v>1007</v>
      </c>
      <c r="D28" s="613"/>
      <c r="E28" s="612"/>
      <c r="F28" s="613"/>
      <c r="G28" s="612"/>
      <c r="H28" s="613"/>
      <c r="I28" s="612"/>
      <c r="J28" s="613"/>
      <c r="K28" s="612"/>
      <c r="L28" s="613"/>
      <c r="M28" s="612"/>
      <c r="N28" s="613"/>
      <c r="O28" s="612"/>
      <c r="P28" s="613"/>
      <c r="Q28" s="612"/>
      <c r="R28" s="613"/>
      <c r="S28" s="612"/>
      <c r="T28" s="613"/>
      <c r="U28" s="612"/>
      <c r="V28" s="613"/>
      <c r="W28" s="612"/>
      <c r="X28" s="613"/>
      <c r="Y28" s="612"/>
      <c r="Z28" s="613"/>
      <c r="AA28" s="612"/>
      <c r="AB28" s="613"/>
      <c r="AC28" s="612"/>
      <c r="AD28" s="613"/>
      <c r="AE28" s="612"/>
      <c r="AF28" s="611"/>
      <c r="AG28" s="612"/>
      <c r="AH28" s="611"/>
      <c r="AI28" s="611"/>
      <c r="AJ28" s="611"/>
      <c r="AK28" s="926"/>
    </row>
    <row r="29" spans="1:37">
      <c r="C29" s="605"/>
      <c r="D29" s="605"/>
      <c r="E29" s="605"/>
      <c r="F29" s="605"/>
      <c r="G29" s="605"/>
      <c r="H29" s="605"/>
      <c r="I29" s="605"/>
      <c r="J29" s="605"/>
      <c r="K29" s="605"/>
      <c r="L29" s="605"/>
      <c r="M29" s="605"/>
      <c r="N29" s="605"/>
      <c r="O29" s="605"/>
      <c r="P29" s="605"/>
      <c r="Q29" s="605"/>
      <c r="R29" s="605"/>
      <c r="S29" s="605"/>
      <c r="T29" s="605"/>
      <c r="U29" s="605"/>
      <c r="V29" s="605"/>
      <c r="W29" s="605"/>
      <c r="X29" s="605"/>
      <c r="Y29" s="605"/>
      <c r="Z29" s="605"/>
      <c r="AA29" s="605"/>
      <c r="AB29" s="605"/>
      <c r="AC29" s="605"/>
      <c r="AD29" s="605"/>
      <c r="AE29" s="605"/>
      <c r="AF29" s="605"/>
      <c r="AH29" s="605"/>
      <c r="AI29" s="605"/>
      <c r="AJ29" s="605"/>
    </row>
    <row r="30" spans="1:37">
      <c r="A30" s="740">
        <f>A28+0.01</f>
        <v>8.01</v>
      </c>
      <c r="B30" s="604"/>
      <c r="C30" s="659"/>
      <c r="E30" s="660"/>
      <c r="G30" s="660"/>
      <c r="I30" s="660"/>
      <c r="K30" s="660"/>
      <c r="M30" s="660"/>
      <c r="O30" s="660"/>
      <c r="Q30" s="660"/>
      <c r="S30" s="660"/>
      <c r="U30" s="660"/>
      <c r="W30" s="660"/>
      <c r="Y30" s="660"/>
      <c r="AA30" s="660"/>
      <c r="AC30" s="660"/>
      <c r="AE30" s="660"/>
      <c r="AG30" s="606">
        <f>SUM(G30:AE30)/13</f>
        <v>0</v>
      </c>
      <c r="AH30" s="727"/>
      <c r="AI30" s="757">
        <f ca="1">IFERROR(INDIRECT(AH30),0)</f>
        <v>0</v>
      </c>
      <c r="AK30" s="610">
        <f ca="1">AG30*AI30</f>
        <v>0</v>
      </c>
    </row>
    <row r="31" spans="1:37">
      <c r="A31" s="739">
        <f>A30+0.01</f>
        <v>8.02</v>
      </c>
      <c r="B31" s="604"/>
      <c r="C31" s="659"/>
      <c r="E31" s="665"/>
      <c r="G31" s="660"/>
      <c r="I31" s="660"/>
      <c r="K31" s="660"/>
      <c r="M31" s="660"/>
      <c r="O31" s="660"/>
      <c r="Q31" s="660"/>
      <c r="S31" s="660"/>
      <c r="U31" s="660"/>
      <c r="W31" s="660"/>
      <c r="Y31" s="660"/>
      <c r="AA31" s="660"/>
      <c r="AC31" s="660"/>
      <c r="AE31" s="660"/>
      <c r="AG31" s="606">
        <f t="shared" ref="AG31" si="4">SUM(G31:AE31)/13</f>
        <v>0</v>
      </c>
      <c r="AH31" s="727"/>
      <c r="AI31" s="757">
        <f ca="1">IFERROR(INDIRECT(AH31),0)</f>
        <v>0</v>
      </c>
      <c r="AK31" s="852">
        <f ca="1">AG31*AI31</f>
        <v>0</v>
      </c>
    </row>
    <row r="32" spans="1:37">
      <c r="A32" s="605">
        <f>A28+1</f>
        <v>9</v>
      </c>
      <c r="B32" s="604"/>
      <c r="C32" s="659" t="str">
        <f ca="1">"Sum of Lines "&amp;A30&amp;" through "&amp;OFFSET(A32,-1,0)</f>
        <v>Sum of Lines 8.01 through 8.02</v>
      </c>
      <c r="E32" s="647"/>
      <c r="G32" s="609">
        <f>SUM(G30:G31)</f>
        <v>0</v>
      </c>
      <c r="I32" s="609">
        <f>SUM(I30:I31)</f>
        <v>0</v>
      </c>
      <c r="K32" s="609">
        <f>SUM(K30:K31)</f>
        <v>0</v>
      </c>
      <c r="M32" s="609">
        <f>SUM(M30:M31)</f>
        <v>0</v>
      </c>
      <c r="O32" s="609">
        <f>SUM(O30:O31)</f>
        <v>0</v>
      </c>
      <c r="Q32" s="609">
        <f>SUM(Q30:Q31)</f>
        <v>0</v>
      </c>
      <c r="S32" s="609">
        <f>SUM(S30:S31)</f>
        <v>0</v>
      </c>
      <c r="U32" s="609">
        <f>SUM(U30:U31)</f>
        <v>0</v>
      </c>
      <c r="W32" s="609">
        <f>SUM(W30:W31)</f>
        <v>0</v>
      </c>
      <c r="Y32" s="609">
        <f>SUM(Y30:Y31)</f>
        <v>0</v>
      </c>
      <c r="AA32" s="609">
        <f>SUM(AA30:AA31)</f>
        <v>0</v>
      </c>
      <c r="AC32" s="609">
        <f>SUM(AC30:AC31)</f>
        <v>0</v>
      </c>
      <c r="AE32" s="609">
        <f>SUM(AE30:AE31)</f>
        <v>0</v>
      </c>
      <c r="AG32" s="609">
        <f>SUM(AG30:AG31)</f>
        <v>0</v>
      </c>
      <c r="AK32" s="610">
        <f ca="1">SUM(AK30:AK31)</f>
        <v>0</v>
      </c>
    </row>
    <row r="33" spans="1:37">
      <c r="AE33" s="605"/>
      <c r="AK33" s="604"/>
    </row>
    <row r="34" spans="1:37">
      <c r="A34" s="615">
        <f>A32+1</f>
        <v>10</v>
      </c>
      <c r="B34" s="613"/>
      <c r="C34" s="758" t="s">
        <v>1008</v>
      </c>
      <c r="D34" s="613"/>
      <c r="E34" s="612"/>
      <c r="F34" s="613"/>
      <c r="G34" s="612"/>
      <c r="H34" s="613"/>
      <c r="I34" s="612"/>
      <c r="J34" s="613"/>
      <c r="K34" s="612"/>
      <c r="L34" s="613"/>
      <c r="M34" s="612"/>
      <c r="N34" s="613"/>
      <c r="O34" s="612"/>
      <c r="P34" s="613"/>
      <c r="Q34" s="612"/>
      <c r="R34" s="613"/>
      <c r="S34" s="612"/>
      <c r="T34" s="613"/>
      <c r="U34" s="612"/>
      <c r="V34" s="613"/>
      <c r="W34" s="612"/>
      <c r="X34" s="613"/>
      <c r="Y34" s="612"/>
      <c r="Z34" s="613"/>
      <c r="AA34" s="612"/>
      <c r="AB34" s="613"/>
      <c r="AC34" s="612"/>
      <c r="AD34" s="613"/>
      <c r="AE34" s="612"/>
      <c r="AF34" s="611"/>
      <c r="AG34" s="612"/>
      <c r="AH34" s="611"/>
      <c r="AI34" s="611"/>
      <c r="AJ34" s="611"/>
      <c r="AK34" s="926"/>
    </row>
    <row r="35" spans="1:37">
      <c r="C35" s="605"/>
      <c r="D35" s="605"/>
      <c r="E35" s="605"/>
      <c r="F35" s="605"/>
      <c r="G35" s="605"/>
      <c r="H35" s="605"/>
      <c r="I35" s="605"/>
      <c r="J35" s="605"/>
      <c r="K35" s="605"/>
      <c r="L35" s="605"/>
      <c r="M35" s="605"/>
      <c r="N35" s="605"/>
      <c r="O35" s="605"/>
      <c r="P35" s="605"/>
      <c r="Q35" s="605"/>
      <c r="R35" s="605"/>
      <c r="S35" s="605"/>
      <c r="T35" s="605"/>
      <c r="U35" s="605"/>
      <c r="V35" s="605"/>
      <c r="W35" s="605"/>
      <c r="X35" s="605"/>
      <c r="Y35" s="605"/>
      <c r="Z35" s="605"/>
      <c r="AA35" s="605"/>
      <c r="AB35" s="605"/>
      <c r="AC35" s="605"/>
      <c r="AD35" s="605"/>
      <c r="AE35" s="605"/>
      <c r="AF35" s="605"/>
      <c r="AH35" s="605"/>
      <c r="AI35" s="605"/>
      <c r="AJ35" s="605"/>
    </row>
    <row r="36" spans="1:37">
      <c r="A36" s="740">
        <f>A34+0.01</f>
        <v>10.01</v>
      </c>
      <c r="B36" s="604"/>
      <c r="C36" s="659" t="s">
        <v>1077</v>
      </c>
      <c r="E36" s="660">
        <v>920</v>
      </c>
      <c r="G36" s="660">
        <v>14219821</v>
      </c>
      <c r="I36" s="660">
        <v>15829389</v>
      </c>
      <c r="K36" s="660">
        <v>1790304</v>
      </c>
      <c r="M36" s="660">
        <v>1912577</v>
      </c>
      <c r="O36" s="660">
        <v>2807729</v>
      </c>
      <c r="Q36" s="660">
        <v>3702881</v>
      </c>
      <c r="S36" s="660">
        <v>5293581</v>
      </c>
      <c r="U36" s="660">
        <v>6175844</v>
      </c>
      <c r="W36" s="660">
        <v>7058107</v>
      </c>
      <c r="Y36" s="660">
        <v>7636473</v>
      </c>
      <c r="AA36" s="660">
        <v>8484970</v>
      </c>
      <c r="AC36" s="660">
        <v>9333467</v>
      </c>
      <c r="AE36" s="660">
        <v>10168992</v>
      </c>
      <c r="AG36" s="606">
        <f>SUM(G36:AE36)/13</f>
        <v>7262625.769230769</v>
      </c>
      <c r="AH36" s="727" t="s">
        <v>1071</v>
      </c>
      <c r="AI36" s="757">
        <f ca="1">IFERROR(INDIRECT(AH36),0)</f>
        <v>8.452849912295303E-2</v>
      </c>
      <c r="AK36" s="610">
        <f ca="1">AG36*AI36</f>
        <v>613898.85596475913</v>
      </c>
    </row>
    <row r="37" spans="1:37">
      <c r="A37" s="739">
        <f>A36+0.01</f>
        <v>10.02</v>
      </c>
      <c r="B37" s="604"/>
      <c r="C37" s="659"/>
      <c r="E37" s="665"/>
      <c r="G37" s="660"/>
      <c r="I37" s="660"/>
      <c r="K37" s="660"/>
      <c r="M37" s="660"/>
      <c r="O37" s="660"/>
      <c r="Q37" s="660"/>
      <c r="S37" s="660"/>
      <c r="U37" s="660"/>
      <c r="W37" s="660"/>
      <c r="Y37" s="660"/>
      <c r="AA37" s="660"/>
      <c r="AC37" s="660"/>
      <c r="AE37" s="660"/>
      <c r="AG37" s="606">
        <f t="shared" ref="AG37" si="5">SUM(G37:AE37)/13</f>
        <v>0</v>
      </c>
      <c r="AH37" s="727"/>
      <c r="AI37" s="757">
        <f ca="1">IFERROR(INDIRECT(AH37),0)</f>
        <v>0</v>
      </c>
      <c r="AK37" s="852">
        <f ca="1">AG37*AI37</f>
        <v>0</v>
      </c>
    </row>
    <row r="38" spans="1:37">
      <c r="A38" s="605">
        <f>A34+1</f>
        <v>11</v>
      </c>
      <c r="B38" s="604"/>
      <c r="C38" s="659" t="str">
        <f ca="1">"Sum of Lines "&amp;A36&amp;" through "&amp;OFFSET(A38,-1,0)</f>
        <v>Sum of Lines 10.01 through 10.02</v>
      </c>
      <c r="E38" s="647"/>
      <c r="G38" s="609">
        <f>SUM(G36:G37)</f>
        <v>14219821</v>
      </c>
      <c r="I38" s="609">
        <f>SUM(I36:I37)</f>
        <v>15829389</v>
      </c>
      <c r="K38" s="609">
        <f>SUM(K36:K37)</f>
        <v>1790304</v>
      </c>
      <c r="M38" s="609">
        <f>SUM(M36:M37)</f>
        <v>1912577</v>
      </c>
      <c r="O38" s="609">
        <f>SUM(O36:O37)</f>
        <v>2807729</v>
      </c>
      <c r="Q38" s="609">
        <f>SUM(Q36:Q37)</f>
        <v>3702881</v>
      </c>
      <c r="S38" s="609">
        <f>SUM(S36:S37)</f>
        <v>5293581</v>
      </c>
      <c r="U38" s="609">
        <f>SUM(U36:U37)</f>
        <v>6175844</v>
      </c>
      <c r="W38" s="609">
        <f>SUM(W36:W37)</f>
        <v>7058107</v>
      </c>
      <c r="Y38" s="609">
        <f>SUM(Y36:Y37)</f>
        <v>7636473</v>
      </c>
      <c r="AA38" s="609">
        <f>SUM(AA36:AA37)</f>
        <v>8484970</v>
      </c>
      <c r="AC38" s="609">
        <f>SUM(AC36:AC37)</f>
        <v>9333467</v>
      </c>
      <c r="AE38" s="609">
        <f>SUM(AE36:AE37)</f>
        <v>10168992</v>
      </c>
      <c r="AG38" s="609">
        <f>SUM(AG36:AG37)</f>
        <v>7262625.769230769</v>
      </c>
      <c r="AK38" s="610">
        <f ca="1">SUM(AK36:AK37)</f>
        <v>613898.85596475913</v>
      </c>
    </row>
    <row r="39" spans="1:37">
      <c r="AE39" s="605"/>
      <c r="AK39" s="604"/>
    </row>
    <row r="40" spans="1:37">
      <c r="A40" s="615">
        <f>A38+1</f>
        <v>12</v>
      </c>
      <c r="B40" s="613"/>
      <c r="C40" s="758" t="s">
        <v>1009</v>
      </c>
      <c r="D40" s="613"/>
      <c r="E40" s="612"/>
      <c r="F40" s="613"/>
      <c r="G40" s="612"/>
      <c r="H40" s="613"/>
      <c r="I40" s="612"/>
      <c r="J40" s="613"/>
      <c r="K40" s="612"/>
      <c r="L40" s="613"/>
      <c r="M40" s="612"/>
      <c r="N40" s="613"/>
      <c r="O40" s="612"/>
      <c r="P40" s="613"/>
      <c r="Q40" s="612"/>
      <c r="R40" s="613"/>
      <c r="S40" s="612"/>
      <c r="T40" s="613"/>
      <c r="U40" s="612"/>
      <c r="V40" s="613"/>
      <c r="W40" s="612"/>
      <c r="X40" s="613"/>
      <c r="Y40" s="612"/>
      <c r="Z40" s="613"/>
      <c r="AA40" s="612"/>
      <c r="AB40" s="613"/>
      <c r="AC40" s="612"/>
      <c r="AD40" s="613"/>
      <c r="AE40" s="612"/>
      <c r="AF40" s="611"/>
      <c r="AG40" s="612"/>
      <c r="AH40" s="611"/>
      <c r="AI40" s="611"/>
      <c r="AJ40" s="611"/>
      <c r="AK40" s="926"/>
    </row>
    <row r="41" spans="1:37">
      <c r="C41" s="605"/>
      <c r="D41" s="605"/>
      <c r="E41" s="605"/>
      <c r="F41" s="605"/>
      <c r="G41" s="605"/>
      <c r="H41" s="605"/>
      <c r="I41" s="605"/>
      <c r="J41" s="605"/>
      <c r="K41" s="605"/>
      <c r="L41" s="605"/>
      <c r="M41" s="605"/>
      <c r="N41" s="605"/>
      <c r="O41" s="605"/>
      <c r="P41" s="605"/>
      <c r="Q41" s="605"/>
      <c r="R41" s="605"/>
      <c r="S41" s="605"/>
      <c r="T41" s="605"/>
      <c r="U41" s="605"/>
      <c r="V41" s="605"/>
      <c r="W41" s="605"/>
      <c r="X41" s="605"/>
      <c r="Y41" s="605"/>
      <c r="Z41" s="605"/>
      <c r="AA41" s="605"/>
      <c r="AB41" s="605"/>
      <c r="AC41" s="605"/>
      <c r="AD41" s="605"/>
      <c r="AE41" s="605"/>
      <c r="AF41" s="605"/>
      <c r="AH41" s="605"/>
      <c r="AI41" s="605"/>
      <c r="AJ41" s="605"/>
    </row>
    <row r="42" spans="1:37">
      <c r="A42" s="740">
        <f>A40+0.01</f>
        <v>12.01</v>
      </c>
      <c r="B42" s="604"/>
      <c r="C42" s="659"/>
      <c r="E42" s="660"/>
      <c r="G42" s="660"/>
      <c r="I42" s="660"/>
      <c r="K42" s="660"/>
      <c r="M42" s="660"/>
      <c r="O42" s="660"/>
      <c r="Q42" s="660"/>
      <c r="S42" s="660"/>
      <c r="U42" s="660"/>
      <c r="W42" s="660"/>
      <c r="Y42" s="660"/>
      <c r="AA42" s="660"/>
      <c r="AC42" s="660"/>
      <c r="AE42" s="660"/>
      <c r="AG42" s="606">
        <f>SUM(G42:AE42)/13</f>
        <v>0</v>
      </c>
      <c r="AH42" s="727"/>
      <c r="AI42" s="757">
        <f ca="1">IFERROR(INDIRECT(AH42),0)</f>
        <v>0</v>
      </c>
      <c r="AK42" s="610">
        <f ca="1">AG42*AI42</f>
        <v>0</v>
      </c>
    </row>
    <row r="43" spans="1:37">
      <c r="A43" s="739">
        <f>A42+0.01</f>
        <v>12.02</v>
      </c>
      <c r="B43" s="604"/>
      <c r="C43" s="659"/>
      <c r="E43" s="665"/>
      <c r="G43" s="660"/>
      <c r="I43" s="660"/>
      <c r="K43" s="660"/>
      <c r="M43" s="660"/>
      <c r="O43" s="660"/>
      <c r="Q43" s="660"/>
      <c r="S43" s="660"/>
      <c r="U43" s="660"/>
      <c r="W43" s="660"/>
      <c r="Y43" s="660"/>
      <c r="AA43" s="660"/>
      <c r="AC43" s="660"/>
      <c r="AE43" s="660"/>
      <c r="AG43" s="606">
        <f t="shared" ref="AG43" si="6">SUM(G43:AE43)/13</f>
        <v>0</v>
      </c>
      <c r="AH43" s="727"/>
      <c r="AI43" s="757">
        <f ca="1">IFERROR(INDIRECT(AH43),0)</f>
        <v>0</v>
      </c>
      <c r="AK43" s="852">
        <f ca="1">AG43*AI43</f>
        <v>0</v>
      </c>
    </row>
    <row r="44" spans="1:37">
      <c r="A44" s="605">
        <f>A40+1</f>
        <v>13</v>
      </c>
      <c r="B44" s="604"/>
      <c r="C44" s="659" t="str">
        <f ca="1">"Sum of Lines "&amp;A42&amp;" through "&amp;OFFSET(A44,-1,0)</f>
        <v>Sum of Lines 12.01 through 12.02</v>
      </c>
      <c r="E44" s="647"/>
      <c r="G44" s="609">
        <f>SUM(G42:G43)</f>
        <v>0</v>
      </c>
      <c r="I44" s="609">
        <f>SUM(I42:I43)</f>
        <v>0</v>
      </c>
      <c r="K44" s="609">
        <f>SUM(K42:K43)</f>
        <v>0</v>
      </c>
      <c r="M44" s="609">
        <f>SUM(M42:M43)</f>
        <v>0</v>
      </c>
      <c r="O44" s="609">
        <f>SUM(O42:O43)</f>
        <v>0</v>
      </c>
      <c r="Q44" s="609">
        <f>SUM(Q42:Q43)</f>
        <v>0</v>
      </c>
      <c r="S44" s="609">
        <f>SUM(S42:S43)</f>
        <v>0</v>
      </c>
      <c r="U44" s="609">
        <f>SUM(U42:U43)</f>
        <v>0</v>
      </c>
      <c r="W44" s="609">
        <f>SUM(W42:W43)</f>
        <v>0</v>
      </c>
      <c r="Y44" s="609">
        <f>SUM(Y42:Y43)</f>
        <v>0</v>
      </c>
      <c r="AA44" s="609">
        <f>SUM(AA42:AA43)</f>
        <v>0</v>
      </c>
      <c r="AC44" s="609">
        <f>SUM(AC42:AC43)</f>
        <v>0</v>
      </c>
      <c r="AE44" s="609">
        <f>SUM(AE42:AE43)</f>
        <v>0</v>
      </c>
      <c r="AG44" s="609">
        <f>SUM(AG42:AG43)</f>
        <v>0</v>
      </c>
      <c r="AK44" s="610">
        <f ca="1">SUM(AK42:AK43)</f>
        <v>0</v>
      </c>
    </row>
    <row r="45" spans="1:37">
      <c r="B45" s="604"/>
      <c r="E45" s="625"/>
      <c r="G45" s="625"/>
      <c r="AC45" s="625"/>
      <c r="AD45" s="625"/>
      <c r="AE45" s="625"/>
      <c r="AG45" s="606"/>
    </row>
    <row r="46" spans="1:37">
      <c r="A46" s="605">
        <f>A44+1</f>
        <v>14</v>
      </c>
      <c r="B46" s="604"/>
      <c r="C46" s="604" t="str">
        <f>"Total Reserves (Line "&amp;A14&amp;" + Line "&amp;A20&amp;" + Line "&amp;A26&amp;" + Line "&amp;A32&amp;" + Line "&amp;A38&amp;"  + Line "&amp;A44&amp;")"</f>
        <v>Total Reserves (Line 3 + Line 5 + Line 7 + Line 9 + Line 11  + Line 13)</v>
      </c>
      <c r="H46" s="606"/>
      <c r="AG46" s="852">
        <f>AG14+AG20+AG26+AG32+AG38+AG44</f>
        <v>7262625.769230769</v>
      </c>
      <c r="AK46" s="852">
        <f ca="1">AK14+AK20+AK26+AK32+AK38+AK44</f>
        <v>613898.85596475913</v>
      </c>
    </row>
    <row r="47" spans="1:37">
      <c r="B47" s="604"/>
      <c r="H47" s="606"/>
      <c r="AG47" s="606"/>
    </row>
    <row r="48" spans="1:37">
      <c r="A48" s="605">
        <f>A46+1</f>
        <v>15</v>
      </c>
      <c r="B48" s="604"/>
      <c r="E48" s="696"/>
      <c r="H48" s="606"/>
      <c r="O48" s="786"/>
      <c r="P48" s="786"/>
      <c r="Q48" s="786"/>
      <c r="R48" s="786"/>
      <c r="S48" s="786"/>
      <c r="AH48" s="925"/>
      <c r="AI48" s="925"/>
      <c r="AJ48" s="925"/>
      <c r="AK48" s="610"/>
    </row>
    <row r="49" spans="1:33">
      <c r="B49" s="604"/>
      <c r="H49" s="606"/>
      <c r="O49" s="786"/>
      <c r="P49" s="786"/>
      <c r="Q49" s="786"/>
      <c r="R49" s="786"/>
      <c r="S49" s="786"/>
      <c r="AG49" s="606"/>
    </row>
    <row r="50" spans="1:33">
      <c r="A50" s="604"/>
      <c r="B50" s="604"/>
      <c r="C50" s="607" t="s">
        <v>153</v>
      </c>
      <c r="D50" s="605"/>
      <c r="E50" s="604"/>
      <c r="O50" s="786"/>
      <c r="P50" s="786"/>
      <c r="Q50" s="786"/>
      <c r="R50" s="786"/>
      <c r="S50" s="786"/>
      <c r="AG50" s="606"/>
    </row>
    <row r="51" spans="1:33">
      <c r="A51" s="604"/>
      <c r="B51" s="604"/>
      <c r="C51" s="1020" t="s">
        <v>992</v>
      </c>
      <c r="D51" s="1020"/>
      <c r="E51" s="1020"/>
      <c r="G51" s="741"/>
      <c r="I51" s="904"/>
      <c r="M51" s="828"/>
      <c r="N51" s="826"/>
      <c r="O51" s="786"/>
      <c r="P51" s="786"/>
      <c r="Q51" s="786"/>
      <c r="R51" s="786"/>
      <c r="S51" s="786"/>
    </row>
    <row r="52" spans="1:33">
      <c r="A52" s="604"/>
      <c r="B52" s="604"/>
      <c r="C52" s="999" t="s">
        <v>736</v>
      </c>
      <c r="D52" s="999"/>
      <c r="E52" s="999"/>
      <c r="G52" s="741"/>
      <c r="I52" s="904"/>
      <c r="O52" s="786"/>
      <c r="P52" s="786"/>
      <c r="Q52" s="786"/>
      <c r="R52" s="786"/>
      <c r="S52" s="786"/>
    </row>
    <row r="53" spans="1:33">
      <c r="C53" s="788" t="s">
        <v>915</v>
      </c>
      <c r="E53" s="604"/>
      <c r="G53" s="741"/>
      <c r="I53" s="741"/>
    </row>
    <row r="54" spans="1:33" ht="15.6" customHeight="1">
      <c r="C54" s="989" t="s">
        <v>1010</v>
      </c>
      <c r="D54" s="989"/>
      <c r="E54" s="989"/>
      <c r="I54" s="792"/>
      <c r="J54" s="792"/>
      <c r="K54" s="792"/>
      <c r="L54" s="792"/>
      <c r="M54" s="792"/>
      <c r="N54" s="792"/>
      <c r="O54" s="792"/>
    </row>
    <row r="55" spans="1:33">
      <c r="C55" s="989"/>
      <c r="D55" s="989"/>
      <c r="E55" s="989"/>
      <c r="I55" s="792"/>
      <c r="J55" s="792"/>
      <c r="K55" s="792"/>
      <c r="L55" s="792"/>
      <c r="M55" s="792"/>
      <c r="N55" s="792"/>
      <c r="O55" s="792"/>
    </row>
    <row r="56" spans="1:33">
      <c r="C56" s="989"/>
      <c r="D56" s="989"/>
      <c r="E56" s="989"/>
      <c r="I56" s="792"/>
      <c r="J56" s="792"/>
      <c r="K56" s="792"/>
      <c r="L56" s="792"/>
      <c r="M56" s="792"/>
      <c r="N56" s="792"/>
      <c r="O56" s="792"/>
    </row>
    <row r="57" spans="1:33">
      <c r="I57" s="792"/>
      <c r="J57" s="792"/>
      <c r="K57" s="792"/>
      <c r="L57" s="792"/>
      <c r="M57" s="792"/>
      <c r="N57" s="792"/>
      <c r="O57" s="792"/>
    </row>
    <row r="58" spans="1:33">
      <c r="I58" s="792"/>
      <c r="J58" s="792"/>
      <c r="K58" s="792"/>
      <c r="L58" s="792"/>
      <c r="M58" s="792"/>
      <c r="N58" s="792"/>
      <c r="O58" s="792"/>
    </row>
    <row r="59" spans="1:33">
      <c r="I59" s="792"/>
      <c r="J59" s="792"/>
      <c r="K59" s="792"/>
      <c r="L59" s="792"/>
      <c r="M59" s="792"/>
      <c r="N59" s="792"/>
      <c r="O59" s="792"/>
    </row>
    <row r="60" spans="1:33">
      <c r="I60" s="792"/>
      <c r="J60" s="792"/>
      <c r="K60" s="792"/>
      <c r="L60" s="792"/>
      <c r="M60" s="792"/>
      <c r="N60" s="792"/>
      <c r="O60" s="792"/>
    </row>
  </sheetData>
  <mergeCells count="3">
    <mergeCell ref="C54:E56"/>
    <mergeCell ref="C51:E51"/>
    <mergeCell ref="C52:E52"/>
  </mergeCells>
  <dataValidations count="1">
    <dataValidation type="list" allowBlank="1" showInputMessage="1" showErrorMessage="1" sqref="AH12:AH13 AH18:AH19 AH24:AH25 AH30:AH31 AH36:AH37 AH42:AH43" xr:uid="{00000000-0002-0000-1400-000000000000}">
      <formula1>"DA, TE, TP, GP, WS, CE, EXCL,"</formula1>
    </dataValidation>
  </dataValidations>
  <pageMargins left="0" right="0" top="1" bottom="0.5" header="0" footer="0"/>
  <pageSetup scale="29" fitToHeight="0" orientation="landscape" r:id="rId1"/>
  <headerFooter>
    <oddHeader xml:space="preserve">&amp;R&amp;"Times New Roman,Regular"
</oddHeader>
    <oddFooter xml:space="preserve">&amp;L&amp;"Times New Roman,Bold"&amp;10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8">
    <pageSetUpPr fitToPage="1"/>
  </sheetPr>
  <dimension ref="A1:U46"/>
  <sheetViews>
    <sheetView showWhiteSpace="0" zoomScale="80" zoomScaleNormal="80" zoomScalePageLayoutView="60" workbookViewId="0">
      <selection activeCell="C1" sqref="C1"/>
    </sheetView>
  </sheetViews>
  <sheetFormatPr defaultColWidth="8.7265625" defaultRowHeight="15.6"/>
  <cols>
    <col min="1" max="1" width="4.26953125" style="685" bestFit="1" customWidth="1"/>
    <col min="2" max="2" width="1.7265625" style="685" customWidth="1"/>
    <col min="3" max="3" width="41.26953125" style="685" customWidth="1"/>
    <col min="4" max="4" width="1.81640625" style="676" customWidth="1"/>
    <col min="5" max="5" width="11.453125" style="658" customWidth="1"/>
    <col min="6" max="6" width="1.7265625" style="676" bestFit="1" customWidth="1"/>
    <col min="7" max="7" width="10.7265625" style="658" bestFit="1" customWidth="1"/>
    <col min="8" max="8" width="1.7265625" style="676" bestFit="1" customWidth="1"/>
    <col min="9" max="9" width="10.7265625" style="658" bestFit="1" customWidth="1"/>
    <col min="10" max="10" width="1.7265625" style="676" bestFit="1" customWidth="1"/>
    <col min="11" max="11" width="10.26953125" style="703" customWidth="1"/>
    <col min="12" max="12" width="1.7265625" style="676" bestFit="1" customWidth="1"/>
    <col min="13" max="13" width="8.7265625" style="703"/>
    <col min="14" max="16384" width="8.7265625" style="685"/>
  </cols>
  <sheetData>
    <row r="1" spans="1:21">
      <c r="I1" s="675" t="s">
        <v>986</v>
      </c>
      <c r="J1" s="675"/>
      <c r="K1" s="675"/>
    </row>
    <row r="2" spans="1:21">
      <c r="I2" s="675" t="s">
        <v>144</v>
      </c>
      <c r="J2" s="675"/>
      <c r="K2" s="675"/>
    </row>
    <row r="3" spans="1:21">
      <c r="I3" s="675" t="str">
        <f>'Attachment 14b - Unfunded Res'!AH3</f>
        <v>For the 12 months ended 12/31/2022</v>
      </c>
      <c r="J3" s="675"/>
      <c r="K3" s="675"/>
    </row>
    <row r="5" spans="1:21">
      <c r="A5" s="719" t="s">
        <v>5</v>
      </c>
      <c r="C5" s="719" t="s">
        <v>707</v>
      </c>
    </row>
    <row r="6" spans="1:21" s="708" customFormat="1" ht="31.2">
      <c r="A6" s="708">
        <v>1</v>
      </c>
      <c r="C6" s="708" t="s">
        <v>715</v>
      </c>
      <c r="D6" s="709"/>
      <c r="E6" s="711" t="s">
        <v>466</v>
      </c>
      <c r="F6" s="717"/>
      <c r="G6" s="712"/>
      <c r="H6" s="717"/>
      <c r="I6" s="712"/>
      <c r="J6" s="717"/>
      <c r="K6" s="713" t="s">
        <v>718</v>
      </c>
      <c r="L6" s="709"/>
      <c r="M6" s="710"/>
    </row>
    <row r="7" spans="1:21">
      <c r="A7" s="685">
        <f>MAX($A$6:A6)+1</f>
        <v>2</v>
      </c>
      <c r="C7" s="685" t="s">
        <v>708</v>
      </c>
      <c r="E7" s="714">
        <f>FIT</f>
        <v>0.21</v>
      </c>
      <c r="G7" s="714">
        <f>FIT</f>
        <v>0.21</v>
      </c>
      <c r="H7" s="685"/>
      <c r="I7" s="714">
        <f>FIT</f>
        <v>0.21</v>
      </c>
      <c r="J7" s="685"/>
      <c r="K7" s="704">
        <v>0.21</v>
      </c>
      <c r="L7" s="676" t="s">
        <v>60</v>
      </c>
      <c r="M7" s="703" t="s">
        <v>709</v>
      </c>
      <c r="O7" s="703"/>
      <c r="Q7" s="703"/>
      <c r="S7" s="703"/>
    </row>
    <row r="8" spans="1:21">
      <c r="A8" s="685">
        <f>MAX($A$6:A7)+1</f>
        <v>3</v>
      </c>
      <c r="C8" s="685" t="s">
        <v>717</v>
      </c>
      <c r="E8" s="704">
        <v>1</v>
      </c>
      <c r="F8" s="706" t="s">
        <v>686</v>
      </c>
      <c r="G8" s="715"/>
      <c r="H8" s="766" t="s">
        <v>686</v>
      </c>
      <c r="I8" s="715"/>
      <c r="J8" s="766" t="s">
        <v>60</v>
      </c>
      <c r="K8" s="705">
        <f>SUM(E8:I8)</f>
        <v>1</v>
      </c>
      <c r="O8" s="703"/>
      <c r="Q8" s="703"/>
      <c r="S8" s="703"/>
    </row>
    <row r="9" spans="1:21">
      <c r="A9" s="685">
        <f>MAX($A$6:A8)+1</f>
        <v>4</v>
      </c>
      <c r="C9" s="685" t="s">
        <v>716</v>
      </c>
      <c r="E9" s="704">
        <v>0.09</v>
      </c>
      <c r="G9" s="715"/>
      <c r="H9" s="685"/>
      <c r="I9" s="715"/>
      <c r="J9" s="685"/>
      <c r="K9" s="685"/>
      <c r="M9" s="685"/>
      <c r="O9" s="703"/>
      <c r="Q9" s="703"/>
      <c r="S9" s="703"/>
    </row>
    <row r="10" spans="1:21">
      <c r="A10" s="685">
        <f>MAX($A$6:A9)+1</f>
        <v>5</v>
      </c>
      <c r="C10" s="685" t="s">
        <v>712</v>
      </c>
      <c r="E10" s="704">
        <v>0</v>
      </c>
      <c r="G10" s="715"/>
      <c r="H10" s="685"/>
      <c r="I10" s="715"/>
      <c r="J10" s="685"/>
      <c r="K10" s="685"/>
      <c r="L10" s="685"/>
      <c r="M10" s="685"/>
      <c r="O10" s="703"/>
      <c r="Q10" s="703"/>
      <c r="S10" s="703"/>
    </row>
    <row r="11" spans="1:21">
      <c r="A11" s="685">
        <f>MAX($A$6:A10)+1</f>
        <v>6</v>
      </c>
      <c r="C11" s="685" t="str">
        <f>"Line "&amp;A8&amp;" "&amp;CHAR(215)&amp;" Line "&amp;A9</f>
        <v>Line 3 × Line 4</v>
      </c>
      <c r="E11" s="720">
        <f>$E$8*E9</f>
        <v>0.09</v>
      </c>
      <c r="F11" s="706" t="s">
        <v>686</v>
      </c>
      <c r="G11" s="720"/>
      <c r="H11" s="706" t="s">
        <v>686</v>
      </c>
      <c r="I11" s="720"/>
      <c r="J11" s="766" t="s">
        <v>60</v>
      </c>
      <c r="K11" s="705">
        <f>SUM(E11:I11)</f>
        <v>0.09</v>
      </c>
      <c r="L11" s="676" t="s">
        <v>60</v>
      </c>
      <c r="M11" s="703" t="s">
        <v>711</v>
      </c>
      <c r="O11" s="703"/>
      <c r="Q11" s="703"/>
      <c r="S11" s="703"/>
    </row>
    <row r="12" spans="1:21">
      <c r="A12" s="685">
        <f>MAX($A$6:A11)+1</f>
        <v>7</v>
      </c>
      <c r="C12" s="685" t="str">
        <f>"Line "&amp;A8&amp;" "&amp;CHAR(215)&amp;" Line "&amp;A10</f>
        <v>Line 3 × Line 5</v>
      </c>
      <c r="E12" s="720">
        <f>$E$8*E10</f>
        <v>0</v>
      </c>
      <c r="F12" s="706" t="s">
        <v>686</v>
      </c>
      <c r="G12" s="720"/>
      <c r="H12" s="706" t="s">
        <v>686</v>
      </c>
      <c r="I12" s="720"/>
      <c r="J12" s="766" t="s">
        <v>60</v>
      </c>
      <c r="K12" s="705">
        <f>SUM(E12:I12)</f>
        <v>0</v>
      </c>
      <c r="L12" s="676" t="s">
        <v>60</v>
      </c>
      <c r="M12" s="703" t="s">
        <v>710</v>
      </c>
      <c r="O12" s="703"/>
      <c r="Q12" s="703"/>
      <c r="S12" s="703"/>
    </row>
    <row r="13" spans="1:21">
      <c r="E13" s="685"/>
      <c r="G13" s="685"/>
      <c r="H13" s="685"/>
      <c r="I13" s="685"/>
      <c r="J13" s="685"/>
      <c r="K13" s="685"/>
      <c r="O13" s="703"/>
      <c r="Q13" s="703"/>
      <c r="S13" s="703"/>
    </row>
    <row r="14" spans="1:21">
      <c r="A14" s="685">
        <f>MAX($A$6:A13)+1</f>
        <v>8</v>
      </c>
      <c r="C14" s="721" t="s">
        <v>94</v>
      </c>
      <c r="D14" s="706" t="s">
        <v>60</v>
      </c>
      <c r="E14" s="720">
        <f>1-(((1-SIT)*(1-FIT))/(1-SIT*FIT*P))</f>
        <v>0.28109999999999991</v>
      </c>
      <c r="F14" s="706" t="s">
        <v>60</v>
      </c>
      <c r="G14" s="685" t="s">
        <v>720</v>
      </c>
      <c r="H14" s="685"/>
      <c r="I14" s="685"/>
      <c r="J14" s="685"/>
      <c r="K14" s="685"/>
      <c r="O14" s="703"/>
      <c r="Q14" s="703"/>
      <c r="S14" s="703"/>
    </row>
    <row r="15" spans="1:21">
      <c r="A15" s="685">
        <f>MAX($A$6:A14)+1</f>
        <v>9</v>
      </c>
      <c r="C15" s="16" t="s">
        <v>739</v>
      </c>
      <c r="D15" s="706" t="s">
        <v>60</v>
      </c>
      <c r="E15" s="720">
        <f>(T/(1-T))*(1-(WCLTD/ROR))</f>
        <v>0.2697908146870277</v>
      </c>
      <c r="F15" s="706" t="s">
        <v>60</v>
      </c>
      <c r="G15" s="685" t="s">
        <v>721</v>
      </c>
      <c r="H15" s="685"/>
      <c r="I15" s="685"/>
      <c r="J15" s="685"/>
      <c r="K15" s="685"/>
      <c r="O15" s="703"/>
      <c r="Q15" s="703"/>
      <c r="S15" s="703"/>
    </row>
    <row r="16" spans="1:21">
      <c r="A16" s="685">
        <f>MAX($A$6:A15)+1</f>
        <v>10</v>
      </c>
      <c r="E16" s="685"/>
      <c r="G16" s="2" t="s">
        <v>818</v>
      </c>
      <c r="H16" s="685"/>
      <c r="I16" s="685"/>
      <c r="J16" s="685"/>
      <c r="K16" s="685"/>
      <c r="M16" s="905"/>
      <c r="N16" s="823"/>
      <c r="O16" s="703"/>
      <c r="Q16" s="703"/>
      <c r="S16" s="703"/>
      <c r="U16" s="834"/>
    </row>
    <row r="17" spans="1:20">
      <c r="A17" s="685">
        <f>MAX($A$6:A16)+1</f>
        <v>11</v>
      </c>
      <c r="E17" s="685"/>
      <c r="G17" s="685" t="s">
        <v>819</v>
      </c>
      <c r="H17" s="574"/>
      <c r="I17" s="574"/>
      <c r="K17" s="906"/>
      <c r="M17" s="905"/>
    </row>
    <row r="18" spans="1:20">
      <c r="A18" s="685">
        <f>MAX($A$6:A17)+1</f>
        <v>12</v>
      </c>
      <c r="C18" s="685" t="s">
        <v>746</v>
      </c>
      <c r="D18" s="706" t="s">
        <v>60</v>
      </c>
      <c r="E18" s="720">
        <f>T/(1-T)</f>
        <v>0.39101404924189714</v>
      </c>
      <c r="F18" s="706" t="s">
        <v>60</v>
      </c>
      <c r="G18" s="685" t="s">
        <v>747</v>
      </c>
      <c r="H18" s="658"/>
    </row>
    <row r="19" spans="1:20">
      <c r="D19" s="706"/>
      <c r="E19" s="720"/>
      <c r="F19" s="706"/>
      <c r="G19" s="685"/>
      <c r="H19" s="658"/>
    </row>
    <row r="20" spans="1:20" ht="15.6" customHeight="1">
      <c r="A20" s="685">
        <f>MAX($A$6:A19)+1</f>
        <v>13</v>
      </c>
      <c r="C20" s="685" t="s">
        <v>130</v>
      </c>
      <c r="D20" s="722"/>
      <c r="E20" s="658">
        <f ca="1">'Attachment H-4A JCP&amp;L '!I137</f>
        <v>78042346.384617522</v>
      </c>
      <c r="G20" s="634" t="s">
        <v>879</v>
      </c>
      <c r="H20" s="574"/>
      <c r="I20" s="574"/>
      <c r="K20" s="905"/>
      <c r="N20" s="928"/>
      <c r="O20" s="928"/>
      <c r="P20" s="928"/>
    </row>
    <row r="21" spans="1:20">
      <c r="A21" s="685">
        <f>MAX($A$6:A20)+1</f>
        <v>14</v>
      </c>
      <c r="C21" s="685" t="s">
        <v>719</v>
      </c>
      <c r="D21" s="722" t="s">
        <v>642</v>
      </c>
      <c r="E21" s="723">
        <f>CTF</f>
        <v>0.2697908146870277</v>
      </c>
      <c r="N21" s="928"/>
      <c r="O21" s="928"/>
      <c r="P21" s="928"/>
    </row>
    <row r="22" spans="1:20">
      <c r="A22" s="685">
        <f>MAX($A$6:A21)+1</f>
        <v>15</v>
      </c>
      <c r="C22" s="685" t="s">
        <v>750</v>
      </c>
      <c r="E22" s="718">
        <f ca="1">E20*E21</f>
        <v>21055108.211193174</v>
      </c>
      <c r="N22" s="928"/>
      <c r="O22" s="928"/>
      <c r="P22" s="928"/>
    </row>
    <row r="23" spans="1:20">
      <c r="D23" s="722"/>
      <c r="G23" s="746"/>
      <c r="H23" s="658"/>
      <c r="N23" s="928"/>
      <c r="O23" s="928"/>
      <c r="P23" s="928"/>
    </row>
    <row r="24" spans="1:20">
      <c r="A24" s="685">
        <f>MAX($A$6:A23)+1</f>
        <v>16</v>
      </c>
      <c r="C24" s="685" t="s">
        <v>1000</v>
      </c>
      <c r="E24" s="707">
        <v>74497.692351899983</v>
      </c>
      <c r="F24" s="1032"/>
      <c r="G24" s="574"/>
      <c r="N24" s="928"/>
      <c r="O24" s="928"/>
      <c r="P24" s="928"/>
    </row>
    <row r="25" spans="1:20">
      <c r="A25" s="685">
        <f>MAX($A$6:A24)+1</f>
        <v>17</v>
      </c>
      <c r="C25" s="685" t="s">
        <v>916</v>
      </c>
      <c r="D25" s="706"/>
      <c r="E25" s="574">
        <f ca="1">G25*(INDIRECT(I25))</f>
        <v>-32187.234782160191</v>
      </c>
      <c r="F25" s="706" t="s">
        <v>60</v>
      </c>
      <c r="G25" s="572">
        <v>-131199</v>
      </c>
      <c r="H25" s="722" t="s">
        <v>642</v>
      </c>
      <c r="I25" s="1033" t="s">
        <v>762</v>
      </c>
      <c r="J25" s="1032"/>
      <c r="K25" s="1034"/>
      <c r="N25" s="928"/>
      <c r="O25" s="928"/>
      <c r="P25" s="928"/>
      <c r="R25" s="834"/>
      <c r="S25" s="834"/>
      <c r="T25" s="834"/>
    </row>
    <row r="26" spans="1:20">
      <c r="A26" s="685">
        <f>MAX($A$6:A25)+1</f>
        <v>18</v>
      </c>
      <c r="C26" s="685" t="s">
        <v>1002</v>
      </c>
      <c r="D26" s="706" t="s">
        <v>686</v>
      </c>
      <c r="E26" s="707">
        <v>-1037995.5773416</v>
      </c>
      <c r="F26" s="706" t="s">
        <v>60</v>
      </c>
      <c r="G26" s="663" t="s">
        <v>902</v>
      </c>
      <c r="H26" s="931"/>
      <c r="I26" s="715"/>
      <c r="J26" s="931"/>
      <c r="K26" s="905"/>
      <c r="N26" s="928"/>
      <c r="O26" s="928"/>
      <c r="P26" s="928"/>
    </row>
    <row r="27" spans="1:20">
      <c r="A27" s="685">
        <f>MAX($A$6:A26)+1</f>
        <v>19</v>
      </c>
      <c r="C27" s="685" t="s">
        <v>427</v>
      </c>
      <c r="E27" s="718">
        <f ca="1">SUM(E24:E26)</f>
        <v>-995685.11977186019</v>
      </c>
      <c r="F27" s="706"/>
      <c r="G27" s="774"/>
    </row>
    <row r="28" spans="1:20">
      <c r="A28" s="685">
        <f>MAX($A$6:A27)+1</f>
        <v>20</v>
      </c>
      <c r="C28" s="685" t="s">
        <v>751</v>
      </c>
      <c r="D28" s="775" t="s">
        <v>686</v>
      </c>
      <c r="E28" s="574">
        <f ca="1">E27*TGUF</f>
        <v>-389326.87045189837</v>
      </c>
      <c r="F28" s="706" t="s">
        <v>60</v>
      </c>
      <c r="G28" s="685" t="str">
        <f>"Line "&amp;A27&amp;" "&amp;CHAR(215)&amp;" TGUF"</f>
        <v>Line 19 × TGUF</v>
      </c>
    </row>
    <row r="29" spans="1:20">
      <c r="A29" s="685">
        <f>MAX($A$6:A28)+1</f>
        <v>21</v>
      </c>
      <c r="C29" s="685" t="s">
        <v>748</v>
      </c>
      <c r="E29" s="718">
        <f ca="1">E27+E28</f>
        <v>-1385011.9902237586</v>
      </c>
    </row>
    <row r="30" spans="1:20">
      <c r="N30" s="966"/>
    </row>
    <row r="31" spans="1:20" ht="16.2" thickBot="1">
      <c r="A31" s="685">
        <f>MAX($A$6:A30)+1</f>
        <v>22</v>
      </c>
      <c r="C31" s="685" t="s">
        <v>749</v>
      </c>
      <c r="E31" s="791">
        <f ca="1">E22+E29</f>
        <v>19670096.220969416</v>
      </c>
      <c r="F31" s="706" t="s">
        <v>60</v>
      </c>
      <c r="G31" s="746" t="str">
        <f>"Line "&amp;A22&amp;" + Line "&amp;A29</f>
        <v>Line 15 + Line 21</v>
      </c>
    </row>
    <row r="32" spans="1:20" ht="16.2" thickTop="1"/>
    <row r="34" spans="2:14">
      <c r="C34" s="685" t="s">
        <v>153</v>
      </c>
    </row>
    <row r="35" spans="2:14">
      <c r="C35" s="685" t="s">
        <v>917</v>
      </c>
      <c r="E35" s="574"/>
      <c r="G35" s="574"/>
      <c r="I35" s="574"/>
    </row>
    <row r="36" spans="2:14" ht="15.6" customHeight="1">
      <c r="C36" s="1021" t="s">
        <v>1001</v>
      </c>
      <c r="D36" s="1021"/>
      <c r="E36" s="1021"/>
      <c r="F36" s="1021"/>
      <c r="G36" s="1021"/>
      <c r="H36" s="675"/>
      <c r="I36" s="675"/>
      <c r="J36" s="675"/>
      <c r="K36" s="675"/>
      <c r="L36" s="675"/>
      <c r="M36" s="675"/>
      <c r="N36" s="675"/>
    </row>
    <row r="37" spans="2:14">
      <c r="C37" s="1021"/>
      <c r="D37" s="1021"/>
      <c r="E37" s="1021"/>
      <c r="F37" s="1021"/>
      <c r="G37" s="1021"/>
      <c r="H37" s="675"/>
      <c r="I37" s="675"/>
      <c r="J37" s="675"/>
      <c r="K37" s="675"/>
      <c r="L37" s="675"/>
      <c r="M37" s="675"/>
      <c r="N37" s="675"/>
    </row>
    <row r="38" spans="2:14">
      <c r="C38" s="1021"/>
      <c r="D38" s="1021"/>
      <c r="E38" s="1021"/>
      <c r="F38" s="1021"/>
      <c r="G38" s="1021"/>
      <c r="H38" s="675"/>
      <c r="I38" s="675"/>
      <c r="J38" s="675"/>
      <c r="K38" s="675"/>
      <c r="L38" s="675"/>
      <c r="M38" s="675"/>
      <c r="N38" s="675"/>
    </row>
    <row r="39" spans="2:14">
      <c r="C39" s="685" t="s">
        <v>1003</v>
      </c>
      <c r="D39" s="675"/>
      <c r="E39" s="675"/>
      <c r="F39" s="675"/>
      <c r="G39" s="675"/>
      <c r="H39" s="675"/>
      <c r="I39" s="675"/>
      <c r="J39" s="675"/>
      <c r="K39" s="675"/>
      <c r="L39" s="675"/>
      <c r="M39" s="675"/>
      <c r="N39" s="675"/>
    </row>
    <row r="40" spans="2:14">
      <c r="C40" s="675"/>
      <c r="D40" s="675"/>
      <c r="E40" s="675"/>
      <c r="F40" s="675"/>
      <c r="G40" s="675"/>
      <c r="H40" s="675"/>
      <c r="I40" s="675"/>
      <c r="J40" s="675"/>
      <c r="K40" s="675"/>
      <c r="L40" s="675"/>
      <c r="M40" s="675"/>
      <c r="N40" s="675"/>
    </row>
    <row r="41" spans="2:14" ht="15.75" customHeight="1">
      <c r="B41" s="697"/>
      <c r="D41" s="716"/>
      <c r="F41" s="716"/>
      <c r="G41" s="697"/>
      <c r="H41" s="697"/>
      <c r="I41" s="697"/>
      <c r="J41" s="697"/>
      <c r="K41" s="697"/>
      <c r="L41" s="716"/>
    </row>
    <row r="46" spans="2:14">
      <c r="C46" s="697"/>
      <c r="E46" s="697"/>
    </row>
  </sheetData>
  <mergeCells count="1">
    <mergeCell ref="C36:G38"/>
  </mergeCells>
  <pageMargins left="0.25" right="0.25" top="0.75" bottom="0.75" header="0.3" footer="0.3"/>
  <pageSetup scale="79" fitToHeight="0" orientation="portrait" r:id="rId1"/>
  <headerFooter>
    <oddHeader xml:space="preserve">&amp;R&amp;"Times New Roman,Regular"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9">
    <pageSetUpPr fitToPage="1"/>
  </sheetPr>
  <dimension ref="A1:AD112"/>
  <sheetViews>
    <sheetView showWhiteSpace="0" zoomScale="70" zoomScaleNormal="70" zoomScaleSheetLayoutView="80" zoomScalePageLayoutView="50" workbookViewId="0">
      <selection activeCell="C4" sqref="C4"/>
    </sheetView>
  </sheetViews>
  <sheetFormatPr defaultColWidth="8.81640625" defaultRowHeight="15.6"/>
  <cols>
    <col min="1" max="1" width="8" style="750" bestFit="1" customWidth="1"/>
    <col min="2" max="2" width="1.08984375" style="1" customWidth="1"/>
    <col min="3" max="3" width="62.7265625" style="1" customWidth="1"/>
    <col min="4" max="4" width="1.08984375" style="1" customWidth="1"/>
    <col min="5" max="5" width="16.7265625" style="1" customWidth="1"/>
    <col min="6" max="6" width="1.08984375" style="1" customWidth="1"/>
    <col min="7" max="7" width="16.26953125" style="1" customWidth="1"/>
    <col min="8" max="8" width="1.08984375" style="1" customWidth="1"/>
    <col min="9" max="9" width="18.7265625" style="1" customWidth="1"/>
    <col min="10" max="10" width="1.08984375" style="1" customWidth="1"/>
    <col min="11" max="11" width="13.54296875" style="573" customWidth="1"/>
    <col min="12" max="12" width="1.08984375" style="1" customWidth="1"/>
    <col min="13" max="13" width="13.54296875" style="573" customWidth="1"/>
    <col min="14" max="14" width="1.08984375" style="1" customWidth="1"/>
    <col min="15" max="15" width="13.54296875" style="573" customWidth="1"/>
    <col min="16" max="16" width="1.08984375" style="1" customWidth="1"/>
    <col min="17" max="17" width="13" style="736" customWidth="1"/>
    <col min="18" max="18" width="1.08984375" style="1" customWidth="1"/>
    <col min="19" max="19" width="13.81640625" style="1" customWidth="1"/>
    <col min="20" max="20" width="1.08984375" style="1" customWidth="1"/>
    <col min="21" max="21" width="16.81640625" style="573" bestFit="1" customWidth="1"/>
    <col min="22" max="22" width="1.08984375" style="1" customWidth="1"/>
    <col min="23" max="23" width="14.7265625" style="573" bestFit="1" customWidth="1"/>
    <col min="24" max="24" width="1.08984375" style="1" customWidth="1"/>
    <col min="25" max="25" width="13.7265625" style="1" customWidth="1"/>
    <col min="26" max="26" width="16.26953125" style="1" customWidth="1"/>
    <col min="27" max="27" width="14.453125" style="1" customWidth="1"/>
    <col min="28" max="28" width="1.08984375" style="1" customWidth="1"/>
    <col min="29" max="29" width="8.81640625" style="1"/>
    <col min="30" max="30" width="11.7265625" style="1" bestFit="1" customWidth="1"/>
    <col min="31" max="31" width="13" style="1" bestFit="1" customWidth="1"/>
    <col min="32" max="33" width="13.7265625" style="1" bestFit="1" customWidth="1"/>
    <col min="34" max="16384" width="8.81640625" style="1"/>
  </cols>
  <sheetData>
    <row r="1" spans="1:30">
      <c r="Y1" s="675" t="s">
        <v>987</v>
      </c>
      <c r="Z1" s="675"/>
    </row>
    <row r="2" spans="1:30">
      <c r="Y2" s="675" t="s">
        <v>144</v>
      </c>
      <c r="Z2" s="675"/>
    </row>
    <row r="3" spans="1:30">
      <c r="Y3" s="675" t="str">
        <f>'Attachment 15 - Income Taxes'!I3</f>
        <v>For the 12 months ended 12/31/2022</v>
      </c>
      <c r="Z3" s="675"/>
    </row>
    <row r="5" spans="1:30">
      <c r="I5" s="55"/>
      <c r="K5" s="196"/>
      <c r="M5" s="196"/>
      <c r="O5" s="196"/>
      <c r="Q5" s="733"/>
      <c r="U5" s="196"/>
      <c r="W5" s="196"/>
    </row>
    <row r="6" spans="1:30">
      <c r="C6" s="624" t="s">
        <v>627</v>
      </c>
      <c r="D6" s="604"/>
      <c r="E6" s="779" t="str">
        <f t="shared" ref="E6" si="0">"("&amp;CHAR(CODE(MID(C6,2,1))+1)&amp;")"</f>
        <v>(B)</v>
      </c>
      <c r="F6" s="895"/>
      <c r="G6" s="780" t="str">
        <f t="shared" ref="G6" si="1">"("&amp;CHAR(CODE(MID(E6,2,1))+1)&amp;")"</f>
        <v>(C)</v>
      </c>
      <c r="H6" s="895"/>
      <c r="I6" s="781" t="str">
        <f t="shared" ref="I6" si="2">"("&amp;CHAR(CODE(MID(G6,2,1))+1)&amp;")"</f>
        <v>(D)</v>
      </c>
      <c r="K6" s="779" t="str">
        <f t="shared" ref="K6" si="3">"("&amp;CHAR(CODE(MID(I6,2,1))+1)&amp;")"</f>
        <v>(E)</v>
      </c>
      <c r="L6" s="895"/>
      <c r="M6" s="781" t="str">
        <f t="shared" ref="M6" si="4">"("&amp;CHAR(CODE(MID(K6,2,1))+1)&amp;")"</f>
        <v>(F)</v>
      </c>
      <c r="O6" s="624" t="str">
        <f t="shared" ref="O6" si="5">"("&amp;CHAR(CODE(MID(M6,2,1))+1)&amp;")"</f>
        <v>(G)</v>
      </c>
      <c r="Q6" s="782" t="str">
        <f t="shared" ref="Q6" si="6">"("&amp;CHAR(CODE(MID(O6,2,1))+1)&amp;")"</f>
        <v>(H)</v>
      </c>
      <c r="S6" s="624" t="str">
        <f>"("&amp;CHAR(CODE(MID(Q6,2,1))+1)&amp;")"</f>
        <v>(I)</v>
      </c>
      <c r="U6" s="624" t="str">
        <f>"("&amp;CHAR(CODE(MID(S6,2,1))+1)&amp;")"</f>
        <v>(J)</v>
      </c>
      <c r="W6" s="624" t="str">
        <f>"("&amp;CHAR(CODE(MID(U6,2,1))+1)&amp;")"</f>
        <v>(K)</v>
      </c>
      <c r="X6" s="624" t="e">
        <f t="shared" ref="X6:Y6" si="7">"("&amp;CHAR(CODE(MID(V6,2,1))+1)&amp;")"</f>
        <v>#VALUE!</v>
      </c>
      <c r="Y6" s="624" t="str">
        <f t="shared" si="7"/>
        <v>(L)</v>
      </c>
      <c r="Z6" s="624" t="str">
        <f>"("&amp;CHAR(CODE(MID(Y6,2,1))+1)&amp;")"</f>
        <v>(M)</v>
      </c>
      <c r="AA6" s="782" t="str">
        <f>"("&amp;CHAR(CODE(MID(Z6,2,1))+1)&amp;")"</f>
        <v>(N)</v>
      </c>
    </row>
    <row r="7" spans="1:30">
      <c r="C7" s="55"/>
      <c r="E7" s="1022" t="s">
        <v>756</v>
      </c>
      <c r="F7" s="1023"/>
      <c r="G7" s="1023"/>
      <c r="H7" s="1023"/>
      <c r="I7" s="1024"/>
      <c r="K7" s="1025" t="s">
        <v>757</v>
      </c>
      <c r="L7" s="1026"/>
      <c r="M7" s="1027"/>
      <c r="O7" s="736"/>
      <c r="Q7" s="783" t="s">
        <v>759</v>
      </c>
      <c r="U7" s="196"/>
      <c r="W7" s="1"/>
      <c r="AA7" s="783" t="s">
        <v>758</v>
      </c>
    </row>
    <row r="8" spans="1:30" s="730" customFormat="1" ht="62.4">
      <c r="A8" s="896" t="s">
        <v>5</v>
      </c>
      <c r="B8" s="534"/>
      <c r="C8" s="743" t="s">
        <v>520</v>
      </c>
      <c r="D8" s="534"/>
      <c r="E8" s="907" t="s">
        <v>884</v>
      </c>
      <c r="F8" s="534"/>
      <c r="G8" s="907" t="s">
        <v>883</v>
      </c>
      <c r="H8" s="534"/>
      <c r="I8" s="907" t="s">
        <v>885</v>
      </c>
      <c r="J8" s="534"/>
      <c r="K8" s="711" t="s">
        <v>724</v>
      </c>
      <c r="L8" s="534"/>
      <c r="M8" s="711" t="s">
        <v>725</v>
      </c>
      <c r="N8" s="534"/>
      <c r="O8" s="734" t="s">
        <v>745</v>
      </c>
      <c r="P8" s="534"/>
      <c r="Q8" s="732" t="s">
        <v>723</v>
      </c>
      <c r="R8" s="534"/>
      <c r="S8" s="732" t="s">
        <v>844</v>
      </c>
      <c r="T8" s="534"/>
      <c r="U8" s="907" t="s">
        <v>887</v>
      </c>
      <c r="V8" s="534"/>
      <c r="W8" s="732" t="s">
        <v>886</v>
      </c>
      <c r="X8" s="534"/>
      <c r="Y8" s="534" t="s">
        <v>865</v>
      </c>
      <c r="Z8" s="534" t="s">
        <v>866</v>
      </c>
      <c r="AA8" s="732" t="s">
        <v>744</v>
      </c>
    </row>
    <row r="9" spans="1:30">
      <c r="A9" s="573">
        <v>1</v>
      </c>
      <c r="C9" s="18" t="s">
        <v>893</v>
      </c>
      <c r="K9" s="628"/>
      <c r="M9" s="628"/>
      <c r="O9" s="735"/>
      <c r="Q9" s="1"/>
      <c r="U9" s="628"/>
      <c r="W9" s="1"/>
    </row>
    <row r="10" spans="1:30">
      <c r="A10" s="573"/>
      <c r="C10" s="18"/>
      <c r="I10" s="628"/>
      <c r="K10" s="628"/>
      <c r="M10" s="628"/>
      <c r="O10" s="735"/>
      <c r="Q10" s="1"/>
      <c r="U10" s="628"/>
      <c r="W10" s="1"/>
    </row>
    <row r="11" spans="1:30">
      <c r="A11" s="573">
        <v>2</v>
      </c>
      <c r="C11" s="18" t="s">
        <v>895</v>
      </c>
      <c r="I11" s="628"/>
      <c r="K11" s="628"/>
      <c r="M11" s="628"/>
      <c r="O11" s="735"/>
      <c r="Q11" s="1"/>
      <c r="U11" s="628"/>
      <c r="W11" s="1"/>
    </row>
    <row r="12" spans="1:30">
      <c r="A12" s="739">
        <f>A11+0.01</f>
        <v>2.0099999999999998</v>
      </c>
      <c r="B12" s="724"/>
      <c r="C12" s="725" t="s">
        <v>1090</v>
      </c>
      <c r="D12" s="724"/>
      <c r="E12" s="729">
        <v>5207.8634820000079</v>
      </c>
      <c r="F12" s="776"/>
      <c r="G12" s="729"/>
      <c r="H12" s="776"/>
      <c r="I12" s="853">
        <f>E12+G12</f>
        <v>5207.8634820000079</v>
      </c>
      <c r="J12" s="776"/>
      <c r="K12" s="729" t="s">
        <v>1130</v>
      </c>
      <c r="L12" s="776"/>
      <c r="M12" s="729" t="s">
        <v>1087</v>
      </c>
      <c r="N12" s="776"/>
      <c r="O12" s="854" t="s">
        <v>1131</v>
      </c>
      <c r="P12" s="776"/>
      <c r="Q12" s="628">
        <f>IF(ISBLANK(C12)=TRUE,0,IF(AND(K12="Protected",M12="Property")=TRUE,"ARAM",IF(AND(K12="Non-Protected",M12="Non-Property")=TRUE,10,35)))</f>
        <v>10</v>
      </c>
      <c r="R12" s="776"/>
      <c r="S12" s="855">
        <v>5</v>
      </c>
      <c r="T12" s="853"/>
      <c r="U12" s="856">
        <f>I12-W12</f>
        <v>4339.8862350000072</v>
      </c>
      <c r="V12" s="853"/>
      <c r="W12" s="855">
        <v>867.97724700000106</v>
      </c>
      <c r="X12" s="776"/>
      <c r="Y12" s="856"/>
      <c r="Z12" s="853">
        <f>W12</f>
        <v>867.97724700000106</v>
      </c>
      <c r="AA12" s="770">
        <v>410.1</v>
      </c>
      <c r="AD12" s="1035"/>
    </row>
    <row r="13" spans="1:30">
      <c r="A13" s="739">
        <f t="shared" ref="A13:A30" si="8">A12+0.01</f>
        <v>2.0199999999999996</v>
      </c>
      <c r="B13" s="724"/>
      <c r="C13" s="725" t="s">
        <v>1120</v>
      </c>
      <c r="D13" s="724"/>
      <c r="E13" s="729">
        <v>9231.5059200000032</v>
      </c>
      <c r="F13" s="776"/>
      <c r="G13" s="729"/>
      <c r="H13" s="776"/>
      <c r="I13" s="853">
        <f>E13+G13</f>
        <v>9231.5059200000032</v>
      </c>
      <c r="J13" s="776"/>
      <c r="K13" s="729" t="s">
        <v>1130</v>
      </c>
      <c r="L13" s="776"/>
      <c r="M13" s="729" t="s">
        <v>1087</v>
      </c>
      <c r="N13" s="776"/>
      <c r="O13" s="854" t="s">
        <v>1131</v>
      </c>
      <c r="P13" s="776"/>
      <c r="Q13" s="628">
        <f>IF(ISBLANK(C13)=TRUE,0,IF(AND(K13="Protected",M13="Property")=TRUE,"ARAM",IF(AND(K13="Non-Protected",M13="Non-Property")=TRUE,10,35)))</f>
        <v>10</v>
      </c>
      <c r="R13" s="776"/>
      <c r="S13" s="855">
        <v>5</v>
      </c>
      <c r="T13" s="853"/>
      <c r="U13" s="856">
        <f>I13-W13</f>
        <v>7692.9216000000033</v>
      </c>
      <c r="V13" s="853"/>
      <c r="W13" s="855">
        <v>1538.5843200000004</v>
      </c>
      <c r="X13" s="776"/>
      <c r="Y13" s="856"/>
      <c r="Z13" s="853">
        <f>W13</f>
        <v>1538.5843200000004</v>
      </c>
      <c r="AA13" s="770">
        <v>410.1</v>
      </c>
      <c r="AD13" s="1035"/>
    </row>
    <row r="14" spans="1:30">
      <c r="A14" s="739">
        <f t="shared" si="8"/>
        <v>2.0299999999999994</v>
      </c>
      <c r="B14" s="724"/>
      <c r="C14" s="725" t="s">
        <v>1121</v>
      </c>
      <c r="D14" s="724"/>
      <c r="E14" s="729">
        <v>30490.080231600037</v>
      </c>
      <c r="F14" s="776"/>
      <c r="G14" s="729"/>
      <c r="H14" s="776"/>
      <c r="I14" s="853">
        <f>E14+G14</f>
        <v>30490.080231600037</v>
      </c>
      <c r="J14" s="776"/>
      <c r="K14" s="729" t="s">
        <v>1130</v>
      </c>
      <c r="L14" s="776"/>
      <c r="M14" s="729" t="s">
        <v>1087</v>
      </c>
      <c r="N14" s="776"/>
      <c r="O14" s="855" t="s">
        <v>1131</v>
      </c>
      <c r="P14" s="776"/>
      <c r="Q14" s="628">
        <f>IF(ISBLANK(C14)=TRUE,0,IF(AND(K14="Protected",M14="Property")=TRUE,"ARAM",IF(AND(K14="Non-Protected",M14="Non-Property")=TRUE,10,35)))</f>
        <v>10</v>
      </c>
      <c r="R14" s="776"/>
      <c r="S14" s="855">
        <v>5</v>
      </c>
      <c r="T14" s="853"/>
      <c r="U14" s="856">
        <f>I14-W14</f>
        <v>25408.40019300003</v>
      </c>
      <c r="V14" s="776"/>
      <c r="W14" s="855">
        <v>5081.6800386000077</v>
      </c>
      <c r="X14" s="776"/>
      <c r="Y14" s="776"/>
      <c r="Z14" s="853">
        <f>W14</f>
        <v>5081.6800386000077</v>
      </c>
      <c r="AA14" s="770">
        <v>410.1</v>
      </c>
      <c r="AD14" s="1035"/>
    </row>
    <row r="15" spans="1:30">
      <c r="A15" s="739">
        <f t="shared" si="8"/>
        <v>2.0399999999999991</v>
      </c>
      <c r="B15" s="724"/>
      <c r="C15" s="725" t="s">
        <v>1122</v>
      </c>
      <c r="D15" s="724"/>
      <c r="E15" s="729">
        <v>-1142.8112639999999</v>
      </c>
      <c r="F15" s="776"/>
      <c r="G15" s="729"/>
      <c r="H15" s="776"/>
      <c r="I15" s="853">
        <f t="shared" ref="I15:I30" si="9">E15+G15</f>
        <v>-1142.8112639999999</v>
      </c>
      <c r="J15" s="776"/>
      <c r="K15" s="729" t="s">
        <v>1130</v>
      </c>
      <c r="L15" s="776"/>
      <c r="M15" s="729" t="s">
        <v>1087</v>
      </c>
      <c r="N15" s="776"/>
      <c r="O15" s="855" t="s">
        <v>1131</v>
      </c>
      <c r="P15" s="776"/>
      <c r="Q15" s="628">
        <f t="shared" ref="Q15:Q30" si="10">IF(ISBLANK(C15)=TRUE,0,IF(AND(K15="Protected",M15="Property")=TRUE,"ARAM",IF(AND(K15="Non-Protected",M15="Non-Property")=TRUE,10,35)))</f>
        <v>10</v>
      </c>
      <c r="R15" s="776"/>
      <c r="S15" s="855">
        <v>5</v>
      </c>
      <c r="T15" s="853"/>
      <c r="U15" s="856">
        <f t="shared" ref="U15:U30" si="11">I15-W15</f>
        <v>-952.34271999999987</v>
      </c>
      <c r="V15" s="776"/>
      <c r="W15" s="855">
        <v>-190.46854400000001</v>
      </c>
      <c r="X15" s="776"/>
      <c r="Y15" s="776"/>
      <c r="Z15" s="853">
        <f t="shared" ref="Z15:Z30" si="12">W15</f>
        <v>-190.46854400000001</v>
      </c>
      <c r="AA15" s="770">
        <v>410.1</v>
      </c>
      <c r="AD15" s="1035"/>
    </row>
    <row r="16" spans="1:30">
      <c r="A16" s="739">
        <f t="shared" si="8"/>
        <v>2.0499999999999989</v>
      </c>
      <c r="B16" s="724"/>
      <c r="C16" s="725" t="s">
        <v>1094</v>
      </c>
      <c r="D16" s="724"/>
      <c r="E16" s="729">
        <v>9861.6106751999978</v>
      </c>
      <c r="F16" s="776"/>
      <c r="G16" s="729"/>
      <c r="H16" s="776"/>
      <c r="I16" s="853">
        <f t="shared" si="9"/>
        <v>9861.6106751999978</v>
      </c>
      <c r="J16" s="776"/>
      <c r="K16" s="729" t="s">
        <v>1130</v>
      </c>
      <c r="L16" s="776"/>
      <c r="M16" s="729" t="s">
        <v>1087</v>
      </c>
      <c r="N16" s="776"/>
      <c r="O16" s="855" t="s">
        <v>1131</v>
      </c>
      <c r="P16" s="776"/>
      <c r="Q16" s="628">
        <f t="shared" si="10"/>
        <v>10</v>
      </c>
      <c r="R16" s="776"/>
      <c r="S16" s="855">
        <v>5</v>
      </c>
      <c r="T16" s="853"/>
      <c r="U16" s="856">
        <f t="shared" si="11"/>
        <v>8218.0088959999975</v>
      </c>
      <c r="V16" s="776"/>
      <c r="W16" s="855">
        <v>1643.6017791999998</v>
      </c>
      <c r="X16" s="776"/>
      <c r="Y16" s="776"/>
      <c r="Z16" s="853">
        <f>W16</f>
        <v>1643.6017791999998</v>
      </c>
      <c r="AA16" s="770">
        <v>410.1</v>
      </c>
      <c r="AD16" s="1035"/>
    </row>
    <row r="17" spans="1:30">
      <c r="A17" s="739">
        <f t="shared" si="8"/>
        <v>2.0599999999999987</v>
      </c>
      <c r="B17" s="724"/>
      <c r="C17" s="725" t="s">
        <v>1095</v>
      </c>
      <c r="D17" s="724"/>
      <c r="E17" s="729">
        <v>99509.370256800088</v>
      </c>
      <c r="F17" s="776"/>
      <c r="G17" s="729"/>
      <c r="H17" s="776"/>
      <c r="I17" s="853">
        <f t="shared" si="9"/>
        <v>99509.370256800088</v>
      </c>
      <c r="J17" s="776"/>
      <c r="K17" s="729" t="s">
        <v>1130</v>
      </c>
      <c r="L17" s="776"/>
      <c r="M17" s="729" t="s">
        <v>1087</v>
      </c>
      <c r="N17" s="776"/>
      <c r="O17" s="855" t="s">
        <v>1131</v>
      </c>
      <c r="P17" s="776"/>
      <c r="Q17" s="628">
        <f t="shared" si="10"/>
        <v>10</v>
      </c>
      <c r="R17" s="776"/>
      <c r="S17" s="855">
        <v>5</v>
      </c>
      <c r="T17" s="853"/>
      <c r="U17" s="856">
        <f t="shared" si="11"/>
        <v>82924.475214000064</v>
      </c>
      <c r="V17" s="776"/>
      <c r="W17" s="855">
        <v>16584.895042800017</v>
      </c>
      <c r="X17" s="776"/>
      <c r="Y17" s="776"/>
      <c r="Z17" s="853">
        <f t="shared" si="12"/>
        <v>16584.895042800017</v>
      </c>
      <c r="AA17" s="770">
        <v>410.1</v>
      </c>
      <c r="AD17" s="1035"/>
    </row>
    <row r="18" spans="1:30">
      <c r="A18" s="739">
        <f t="shared" si="8"/>
        <v>2.0699999999999985</v>
      </c>
      <c r="B18" s="724"/>
      <c r="C18" s="725" t="s">
        <v>1123</v>
      </c>
      <c r="D18" s="724"/>
      <c r="E18" s="729">
        <v>-13294.39358520001</v>
      </c>
      <c r="F18" s="776"/>
      <c r="G18" s="729"/>
      <c r="H18" s="776"/>
      <c r="I18" s="853">
        <f t="shared" si="9"/>
        <v>-13294.39358520001</v>
      </c>
      <c r="J18" s="776"/>
      <c r="K18" s="729" t="s">
        <v>1130</v>
      </c>
      <c r="L18" s="776"/>
      <c r="M18" s="729" t="s">
        <v>1087</v>
      </c>
      <c r="N18" s="776"/>
      <c r="O18" s="855" t="s">
        <v>1131</v>
      </c>
      <c r="P18" s="776"/>
      <c r="Q18" s="628">
        <f t="shared" si="10"/>
        <v>10</v>
      </c>
      <c r="R18" s="776"/>
      <c r="S18" s="855">
        <v>5</v>
      </c>
      <c r="T18" s="853"/>
      <c r="U18" s="856">
        <f>I18-W18</f>
        <v>-11078.661321000009</v>
      </c>
      <c r="V18" s="776"/>
      <c r="W18" s="855">
        <v>-2215.7322642000013</v>
      </c>
      <c r="X18" s="776"/>
      <c r="Y18" s="776"/>
      <c r="Z18" s="853">
        <f t="shared" si="12"/>
        <v>-2215.7322642000013</v>
      </c>
      <c r="AA18" s="770">
        <v>410.1</v>
      </c>
      <c r="AD18" s="1035"/>
    </row>
    <row r="19" spans="1:30">
      <c r="A19" s="739">
        <f t="shared" si="8"/>
        <v>2.0799999999999983</v>
      </c>
      <c r="B19" s="724"/>
      <c r="C19" s="725" t="s">
        <v>1124</v>
      </c>
      <c r="D19" s="724"/>
      <c r="E19" s="729">
        <v>1074.1967963999996</v>
      </c>
      <c r="F19" s="776"/>
      <c r="G19" s="729"/>
      <c r="H19" s="776"/>
      <c r="I19" s="853">
        <f t="shared" si="9"/>
        <v>1074.1967963999996</v>
      </c>
      <c r="J19" s="776"/>
      <c r="K19" s="729" t="s">
        <v>1130</v>
      </c>
      <c r="L19" s="776"/>
      <c r="M19" s="729" t="s">
        <v>1087</v>
      </c>
      <c r="N19" s="776"/>
      <c r="O19" s="855" t="s">
        <v>1131</v>
      </c>
      <c r="P19" s="776"/>
      <c r="Q19" s="628">
        <f t="shared" si="10"/>
        <v>10</v>
      </c>
      <c r="R19" s="776"/>
      <c r="S19" s="855">
        <v>5</v>
      </c>
      <c r="T19" s="853"/>
      <c r="U19" s="856">
        <f t="shared" si="11"/>
        <v>895.16399699999965</v>
      </c>
      <c r="V19" s="776"/>
      <c r="W19" s="855">
        <v>179.03279939999993</v>
      </c>
      <c r="X19" s="776"/>
      <c r="Y19" s="776"/>
      <c r="Z19" s="853">
        <f t="shared" si="12"/>
        <v>179.03279939999993</v>
      </c>
      <c r="AA19" s="770">
        <v>410.1</v>
      </c>
      <c r="AD19" s="1035"/>
    </row>
    <row r="20" spans="1:30">
      <c r="A20" s="739">
        <f t="shared" si="8"/>
        <v>2.0899999999999981</v>
      </c>
      <c r="B20" s="724"/>
      <c r="C20" s="725" t="s">
        <v>1125</v>
      </c>
      <c r="D20" s="724"/>
      <c r="E20" s="729">
        <v>4461726.2826180011</v>
      </c>
      <c r="F20" s="776"/>
      <c r="G20" s="729"/>
      <c r="H20" s="776"/>
      <c r="I20" s="853">
        <f t="shared" si="9"/>
        <v>4461726.2826180011</v>
      </c>
      <c r="J20" s="776"/>
      <c r="K20" s="729" t="s">
        <v>1086</v>
      </c>
      <c r="L20" s="776"/>
      <c r="M20" s="729" t="s">
        <v>1087</v>
      </c>
      <c r="N20" s="776"/>
      <c r="O20" s="855" t="s">
        <v>1131</v>
      </c>
      <c r="P20" s="776"/>
      <c r="Q20" s="628">
        <f t="shared" si="10"/>
        <v>35</v>
      </c>
      <c r="R20" s="776"/>
      <c r="S20" s="855">
        <v>30</v>
      </c>
      <c r="T20" s="853"/>
      <c r="U20" s="856">
        <f t="shared" si="11"/>
        <v>4317799.6283400012</v>
      </c>
      <c r="V20" s="776"/>
      <c r="W20" s="855">
        <v>143926.65427800003</v>
      </c>
      <c r="X20" s="776"/>
      <c r="Y20" s="776"/>
      <c r="Z20" s="853">
        <f t="shared" si="12"/>
        <v>143926.65427800003</v>
      </c>
      <c r="AA20" s="770">
        <v>410.1</v>
      </c>
      <c r="AD20" s="1035"/>
    </row>
    <row r="21" spans="1:30">
      <c r="A21" s="739">
        <f t="shared" si="8"/>
        <v>2.0999999999999979</v>
      </c>
      <c r="B21" s="724"/>
      <c r="C21" s="725" t="s">
        <v>1126</v>
      </c>
      <c r="D21" s="724"/>
      <c r="E21" s="729">
        <v>4209475.3257983997</v>
      </c>
      <c r="F21" s="776"/>
      <c r="G21" s="729"/>
      <c r="H21" s="776"/>
      <c r="I21" s="853">
        <f>E21+G21</f>
        <v>4209475.3257983997</v>
      </c>
      <c r="J21" s="776"/>
      <c r="K21" s="729" t="s">
        <v>1130</v>
      </c>
      <c r="L21" s="776"/>
      <c r="M21" s="729" t="s">
        <v>1087</v>
      </c>
      <c r="N21" s="776"/>
      <c r="O21" s="855" t="s">
        <v>1131</v>
      </c>
      <c r="P21" s="776"/>
      <c r="Q21" s="628">
        <f t="shared" si="10"/>
        <v>10</v>
      </c>
      <c r="R21" s="776"/>
      <c r="S21" s="855">
        <v>5</v>
      </c>
      <c r="T21" s="853"/>
      <c r="U21" s="856">
        <f>I21-W21</f>
        <v>3507896.1048320001</v>
      </c>
      <c r="V21" s="776"/>
      <c r="W21" s="855">
        <v>701579.22096639988</v>
      </c>
      <c r="X21" s="776"/>
      <c r="Y21" s="776"/>
      <c r="Z21" s="853">
        <f t="shared" si="12"/>
        <v>701579.22096639988</v>
      </c>
      <c r="AA21" s="770">
        <v>410.1</v>
      </c>
      <c r="AD21" s="1035"/>
    </row>
    <row r="22" spans="1:30">
      <c r="A22" s="739">
        <f t="shared" si="8"/>
        <v>2.1099999999999977</v>
      </c>
      <c r="B22" s="724"/>
      <c r="C22" s="725" t="s">
        <v>1101</v>
      </c>
      <c r="D22" s="724"/>
      <c r="E22" s="729">
        <v>22048.395724800008</v>
      </c>
      <c r="F22" s="776"/>
      <c r="G22" s="729"/>
      <c r="H22" s="776"/>
      <c r="I22" s="853">
        <f t="shared" si="9"/>
        <v>22048.395724800008</v>
      </c>
      <c r="J22" s="776"/>
      <c r="K22" s="729" t="s">
        <v>1130</v>
      </c>
      <c r="L22" s="776"/>
      <c r="M22" s="729" t="s">
        <v>1087</v>
      </c>
      <c r="N22" s="776"/>
      <c r="O22" s="855" t="s">
        <v>1131</v>
      </c>
      <c r="P22" s="776"/>
      <c r="Q22" s="628">
        <f t="shared" si="10"/>
        <v>10</v>
      </c>
      <c r="R22" s="776"/>
      <c r="S22" s="855">
        <v>5</v>
      </c>
      <c r="T22" s="853"/>
      <c r="U22" s="856">
        <f t="shared" si="11"/>
        <v>18373.663104000007</v>
      </c>
      <c r="V22" s="776"/>
      <c r="W22" s="855">
        <v>3674.7326208000013</v>
      </c>
      <c r="X22" s="776"/>
      <c r="Y22" s="776"/>
      <c r="Z22" s="853">
        <f t="shared" si="12"/>
        <v>3674.7326208000013</v>
      </c>
      <c r="AA22" s="770">
        <v>410.1</v>
      </c>
      <c r="AD22" s="1035"/>
    </row>
    <row r="23" spans="1:30">
      <c r="A23" s="739">
        <f t="shared" si="8"/>
        <v>2.1199999999999974</v>
      </c>
      <c r="B23" s="724"/>
      <c r="C23" s="725" t="s">
        <v>1103</v>
      </c>
      <c r="D23" s="724"/>
      <c r="E23" s="729">
        <v>-64068.451507200021</v>
      </c>
      <c r="F23" s="776"/>
      <c r="G23" s="729"/>
      <c r="H23" s="776"/>
      <c r="I23" s="853">
        <f t="shared" si="9"/>
        <v>-64068.451507200021</v>
      </c>
      <c r="J23" s="776"/>
      <c r="K23" s="729" t="s">
        <v>1130</v>
      </c>
      <c r="L23" s="776"/>
      <c r="M23" s="729" t="s">
        <v>1087</v>
      </c>
      <c r="N23" s="776"/>
      <c r="O23" s="855" t="s">
        <v>1131</v>
      </c>
      <c r="P23" s="776"/>
      <c r="Q23" s="628">
        <f t="shared" si="10"/>
        <v>10</v>
      </c>
      <c r="R23" s="776"/>
      <c r="S23" s="855">
        <v>5</v>
      </c>
      <c r="T23" s="853"/>
      <c r="U23" s="856">
        <f t="shared" si="11"/>
        <v>-53390.376256000018</v>
      </c>
      <c r="V23" s="776"/>
      <c r="W23" s="855">
        <v>-10678.075251200004</v>
      </c>
      <c r="X23" s="776"/>
      <c r="Y23" s="776"/>
      <c r="Z23" s="853">
        <f t="shared" si="12"/>
        <v>-10678.075251200004</v>
      </c>
      <c r="AA23" s="770">
        <v>410.1</v>
      </c>
      <c r="AD23" s="1035"/>
    </row>
    <row r="24" spans="1:30">
      <c r="A24" s="739">
        <f t="shared" si="8"/>
        <v>2.1299999999999972</v>
      </c>
      <c r="B24" s="724"/>
      <c r="C24" s="725" t="s">
        <v>1127</v>
      </c>
      <c r="D24" s="724"/>
      <c r="E24" s="729">
        <v>0</v>
      </c>
      <c r="F24" s="776"/>
      <c r="G24" s="729"/>
      <c r="H24" s="776"/>
      <c r="I24" s="853">
        <f t="shared" si="9"/>
        <v>0</v>
      </c>
      <c r="J24" s="776"/>
      <c r="K24" s="729" t="s">
        <v>1130</v>
      </c>
      <c r="L24" s="776"/>
      <c r="M24" s="729" t="s">
        <v>1087</v>
      </c>
      <c r="N24" s="776"/>
      <c r="O24" s="855" t="s">
        <v>1131</v>
      </c>
      <c r="P24" s="776"/>
      <c r="Q24" s="628">
        <f t="shared" si="10"/>
        <v>10</v>
      </c>
      <c r="R24" s="776"/>
      <c r="S24" s="855">
        <v>5</v>
      </c>
      <c r="T24" s="853"/>
      <c r="U24" s="856">
        <f t="shared" si="11"/>
        <v>0</v>
      </c>
      <c r="V24" s="776"/>
      <c r="W24" s="855">
        <v>0</v>
      </c>
      <c r="X24" s="776"/>
      <c r="Y24" s="776"/>
      <c r="Z24" s="853">
        <f t="shared" si="12"/>
        <v>0</v>
      </c>
      <c r="AA24" s="770">
        <v>410.1</v>
      </c>
      <c r="AD24" s="1035"/>
    </row>
    <row r="25" spans="1:30">
      <c r="A25" s="739">
        <f t="shared" si="8"/>
        <v>2.139999999999997</v>
      </c>
      <c r="B25" s="724"/>
      <c r="C25" s="725" t="s">
        <v>1128</v>
      </c>
      <c r="D25" s="724"/>
      <c r="E25" s="729">
        <v>1365526.3286934011</v>
      </c>
      <c r="F25" s="776"/>
      <c r="G25" s="729"/>
      <c r="H25" s="776"/>
      <c r="I25" s="853">
        <f t="shared" si="9"/>
        <v>1365526.3286934011</v>
      </c>
      <c r="J25" s="776"/>
      <c r="K25" s="729" t="s">
        <v>1130</v>
      </c>
      <c r="L25" s="776"/>
      <c r="M25" s="729" t="s">
        <v>1087</v>
      </c>
      <c r="N25" s="776"/>
      <c r="O25" s="855" t="s">
        <v>1131</v>
      </c>
      <c r="P25" s="776"/>
      <c r="Q25" s="628">
        <f t="shared" si="10"/>
        <v>10</v>
      </c>
      <c r="R25" s="776"/>
      <c r="S25" s="855">
        <v>5</v>
      </c>
      <c r="T25" s="853"/>
      <c r="U25" s="856">
        <f t="shared" si="11"/>
        <v>1137938.6072445009</v>
      </c>
      <c r="V25" s="776"/>
      <c r="W25" s="855">
        <v>227587.72144890018</v>
      </c>
      <c r="X25" s="776"/>
      <c r="Y25" s="776"/>
      <c r="Z25" s="853">
        <f t="shared" si="12"/>
        <v>227587.72144890018</v>
      </c>
      <c r="AA25" s="770">
        <v>410.1</v>
      </c>
      <c r="AD25" s="1035"/>
    </row>
    <row r="26" spans="1:30">
      <c r="A26" s="739">
        <f t="shared" si="8"/>
        <v>2.1499999999999968</v>
      </c>
      <c r="B26" s="724"/>
      <c r="C26" s="725" t="s">
        <v>1107</v>
      </c>
      <c r="D26" s="724"/>
      <c r="E26" s="729">
        <v>1625528.562386401</v>
      </c>
      <c r="F26" s="776"/>
      <c r="G26" s="729"/>
      <c r="H26" s="776"/>
      <c r="I26" s="853">
        <f t="shared" si="9"/>
        <v>1625528.562386401</v>
      </c>
      <c r="J26" s="776"/>
      <c r="K26" s="729" t="s">
        <v>1130</v>
      </c>
      <c r="L26" s="776"/>
      <c r="M26" s="729" t="s">
        <v>1087</v>
      </c>
      <c r="N26" s="776"/>
      <c r="O26" s="855" t="s">
        <v>1131</v>
      </c>
      <c r="P26" s="776"/>
      <c r="Q26" s="628">
        <f t="shared" si="10"/>
        <v>10</v>
      </c>
      <c r="R26" s="776"/>
      <c r="S26" s="855">
        <v>5</v>
      </c>
      <c r="T26" s="853"/>
      <c r="U26" s="856">
        <f t="shared" si="11"/>
        <v>1354607.1353220008</v>
      </c>
      <c r="V26" s="776"/>
      <c r="W26" s="855">
        <v>270921.42706440017</v>
      </c>
      <c r="X26" s="776"/>
      <c r="Y26" s="776"/>
      <c r="Z26" s="853">
        <f t="shared" si="12"/>
        <v>270921.42706440017</v>
      </c>
      <c r="AA26" s="770">
        <v>410.1</v>
      </c>
      <c r="AD26" s="1035"/>
    </row>
    <row r="27" spans="1:30">
      <c r="A27" s="739">
        <f t="shared" si="8"/>
        <v>2.1599999999999966</v>
      </c>
      <c r="B27" s="724"/>
      <c r="C27" s="725" t="s">
        <v>1116</v>
      </c>
      <c r="D27" s="724"/>
      <c r="E27" s="729">
        <v>-829057.28400000022</v>
      </c>
      <c r="F27" s="776"/>
      <c r="G27" s="729"/>
      <c r="H27" s="776"/>
      <c r="I27" s="853">
        <f t="shared" si="9"/>
        <v>-829057.28400000022</v>
      </c>
      <c r="J27" s="776"/>
      <c r="K27" s="729" t="s">
        <v>1130</v>
      </c>
      <c r="L27" s="776"/>
      <c r="M27" s="729" t="s">
        <v>1087</v>
      </c>
      <c r="N27" s="776"/>
      <c r="O27" s="855" t="s">
        <v>1131</v>
      </c>
      <c r="P27" s="776"/>
      <c r="Q27" s="628">
        <f t="shared" si="10"/>
        <v>10</v>
      </c>
      <c r="R27" s="776"/>
      <c r="S27" s="855">
        <v>5</v>
      </c>
      <c r="T27" s="853"/>
      <c r="U27" s="856">
        <f t="shared" si="11"/>
        <v>-690881.0700000003</v>
      </c>
      <c r="V27" s="776"/>
      <c r="W27" s="855">
        <v>-138176.21399999998</v>
      </c>
      <c r="X27" s="776"/>
      <c r="Y27" s="776"/>
      <c r="Z27" s="853">
        <f>W27</f>
        <v>-138176.21399999998</v>
      </c>
      <c r="AA27" s="770">
        <v>410.1</v>
      </c>
      <c r="AD27" s="1035"/>
    </row>
    <row r="28" spans="1:30">
      <c r="A28" s="739">
        <f t="shared" si="8"/>
        <v>2.1699999999999964</v>
      </c>
      <c r="B28" s="724"/>
      <c r="C28" s="725" t="s">
        <v>1108</v>
      </c>
      <c r="D28" s="724"/>
      <c r="E28" s="729">
        <v>1864333.2785057987</v>
      </c>
      <c r="F28" s="776"/>
      <c r="G28" s="729"/>
      <c r="H28" s="776"/>
      <c r="I28" s="853">
        <f t="shared" si="9"/>
        <v>1864333.2785057987</v>
      </c>
      <c r="J28" s="776"/>
      <c r="K28" s="729" t="s">
        <v>1130</v>
      </c>
      <c r="L28" s="776"/>
      <c r="M28" s="729" t="s">
        <v>1087</v>
      </c>
      <c r="N28" s="776"/>
      <c r="O28" s="855" t="s">
        <v>1131</v>
      </c>
      <c r="P28" s="776"/>
      <c r="Q28" s="628">
        <f t="shared" si="10"/>
        <v>10</v>
      </c>
      <c r="R28" s="776"/>
      <c r="S28" s="855">
        <v>5</v>
      </c>
      <c r="T28" s="853"/>
      <c r="U28" s="856">
        <f>I28-W28</f>
        <v>1553611.0654214988</v>
      </c>
      <c r="V28" s="776"/>
      <c r="W28" s="855">
        <v>310722.21308429987</v>
      </c>
      <c r="X28" s="776"/>
      <c r="Y28" s="776"/>
      <c r="Z28" s="853">
        <f t="shared" si="12"/>
        <v>310722.21308429987</v>
      </c>
      <c r="AA28" s="770">
        <v>410.1</v>
      </c>
      <c r="AD28" s="1035"/>
    </row>
    <row r="29" spans="1:30">
      <c r="A29" s="739">
        <f t="shared" si="8"/>
        <v>2.1799999999999962</v>
      </c>
      <c r="B29" s="724"/>
      <c r="C29" s="725" t="s">
        <v>1129</v>
      </c>
      <c r="D29" s="724"/>
      <c r="E29" s="729">
        <v>963.61113600000044</v>
      </c>
      <c r="F29" s="776"/>
      <c r="G29" s="729"/>
      <c r="H29" s="776"/>
      <c r="I29" s="853">
        <f t="shared" si="9"/>
        <v>963.61113600000044</v>
      </c>
      <c r="J29" s="776"/>
      <c r="K29" s="729" t="s">
        <v>1130</v>
      </c>
      <c r="L29" s="776"/>
      <c r="M29" s="729" t="s">
        <v>1087</v>
      </c>
      <c r="N29" s="776"/>
      <c r="O29" s="855" t="s">
        <v>1131</v>
      </c>
      <c r="P29" s="776"/>
      <c r="Q29" s="628">
        <f t="shared" si="10"/>
        <v>10</v>
      </c>
      <c r="R29" s="776"/>
      <c r="S29" s="855">
        <v>5</v>
      </c>
      <c r="T29" s="853"/>
      <c r="U29" s="856">
        <f t="shared" si="11"/>
        <v>803.00928000000044</v>
      </c>
      <c r="V29" s="776"/>
      <c r="W29" s="855">
        <v>160.60185600000005</v>
      </c>
      <c r="X29" s="776"/>
      <c r="Y29" s="776"/>
      <c r="Z29" s="853">
        <f t="shared" si="12"/>
        <v>160.60185600000005</v>
      </c>
      <c r="AA29" s="770">
        <v>410.1</v>
      </c>
      <c r="AD29" s="1035"/>
    </row>
    <row r="30" spans="1:30">
      <c r="A30" s="739">
        <f t="shared" si="8"/>
        <v>2.1899999999999959</v>
      </c>
      <c r="B30" s="724"/>
      <c r="C30" s="725" t="s">
        <v>1109</v>
      </c>
      <c r="D30" s="724"/>
      <c r="E30" s="729">
        <v>56231.866355400009</v>
      </c>
      <c r="F30" s="776"/>
      <c r="G30" s="729"/>
      <c r="H30" s="776"/>
      <c r="I30" s="853">
        <f t="shared" si="9"/>
        <v>56231.866355400009</v>
      </c>
      <c r="J30" s="776"/>
      <c r="K30" s="729" t="s">
        <v>1130</v>
      </c>
      <c r="L30" s="776"/>
      <c r="M30" s="729" t="s">
        <v>1087</v>
      </c>
      <c r="N30" s="776"/>
      <c r="O30" s="855" t="s">
        <v>1131</v>
      </c>
      <c r="P30" s="776"/>
      <c r="Q30" s="628">
        <f t="shared" si="10"/>
        <v>10</v>
      </c>
      <c r="R30" s="776"/>
      <c r="S30" s="855">
        <v>5</v>
      </c>
      <c r="T30" s="853"/>
      <c r="U30" s="856">
        <f t="shared" si="11"/>
        <v>46859.888629500012</v>
      </c>
      <c r="V30" s="776"/>
      <c r="W30" s="855">
        <v>9371.9777259000002</v>
      </c>
      <c r="X30" s="776"/>
      <c r="Y30" s="776"/>
      <c r="Z30" s="911">
        <f t="shared" si="12"/>
        <v>9371.9777259000002</v>
      </c>
      <c r="AA30" s="770">
        <v>410.1</v>
      </c>
      <c r="AD30" s="1035"/>
    </row>
    <row r="31" spans="1:30">
      <c r="A31" s="573">
        <f>A11+1</f>
        <v>3</v>
      </c>
      <c r="B31" s="724"/>
      <c r="C31" s="18" t="str">
        <f>"Total "&amp;C11&amp;" (Sum of "&amp;A11&amp;".[] sublines)"</f>
        <v>Total FERC Account No. 190 EDIT/DDIT (Sum of 2.[] sublines)</v>
      </c>
      <c r="D31" s="724"/>
      <c r="E31" s="738">
        <f>SUM(E12:E30)</f>
        <v>12853645.338223802</v>
      </c>
      <c r="F31" s="776"/>
      <c r="G31" s="908">
        <f>SUM(G12:G30)</f>
        <v>0</v>
      </c>
      <c r="H31" s="776"/>
      <c r="I31" s="738">
        <f>SUM(I12:I30)</f>
        <v>12853645.338223802</v>
      </c>
      <c r="J31" s="776"/>
      <c r="K31" s="628"/>
      <c r="L31" s="776"/>
      <c r="M31" s="628"/>
      <c r="N31" s="776"/>
      <c r="O31" s="628"/>
      <c r="P31" s="776"/>
      <c r="Q31" s="628"/>
      <c r="R31" s="776"/>
      <c r="S31" s="909"/>
      <c r="T31" s="908">
        <f>SUM(T12:T30)</f>
        <v>0</v>
      </c>
      <c r="U31" s="908">
        <f>SUM(U12:U30)</f>
        <v>11311065.508011501</v>
      </c>
      <c r="V31" s="908">
        <f>SUM(V12:V30)</f>
        <v>0</v>
      </c>
      <c r="W31" s="908">
        <f>SUM(W12:W30)</f>
        <v>1542579.8302123002</v>
      </c>
      <c r="X31" s="776"/>
      <c r="Y31" s="776"/>
      <c r="Z31" s="853">
        <f>SUM(Z12:Z30)</f>
        <v>1542579.8302123002</v>
      </c>
      <c r="AD31" s="1035"/>
    </row>
    <row r="32" spans="1:30">
      <c r="A32" s="573"/>
      <c r="B32" s="724"/>
      <c r="C32" s="18"/>
      <c r="D32" s="724"/>
      <c r="E32" s="776"/>
      <c r="F32" s="776"/>
      <c r="G32" s="776"/>
      <c r="H32" s="776"/>
      <c r="I32" s="769"/>
      <c r="J32" s="776"/>
      <c r="K32" s="628"/>
      <c r="L32" s="776"/>
      <c r="M32" s="628"/>
      <c r="N32" s="776"/>
      <c r="O32" s="628"/>
      <c r="P32" s="776"/>
      <c r="Q32" s="628"/>
      <c r="R32" s="776"/>
      <c r="S32" s="628"/>
      <c r="T32" s="776"/>
      <c r="U32" s="769"/>
      <c r="V32" s="776"/>
      <c r="W32" s="769"/>
      <c r="X32" s="776"/>
      <c r="Y32" s="776"/>
      <c r="Z32" s="776"/>
      <c r="AD32" s="1035"/>
    </row>
    <row r="33" spans="1:30">
      <c r="A33" s="573">
        <f>A31+1</f>
        <v>4</v>
      </c>
      <c r="C33" s="18" t="s">
        <v>896</v>
      </c>
      <c r="E33" s="726"/>
      <c r="F33" s="726"/>
      <c r="G33" s="726"/>
      <c r="H33" s="726"/>
      <c r="I33" s="628"/>
      <c r="J33" s="726"/>
      <c r="K33" s="726"/>
      <c r="L33" s="726"/>
      <c r="M33" s="726"/>
      <c r="N33" s="726"/>
      <c r="O33" s="628"/>
      <c r="P33" s="726"/>
      <c r="Q33" s="628"/>
      <c r="R33" s="726"/>
      <c r="S33" s="628"/>
      <c r="T33" s="726"/>
      <c r="U33" s="628"/>
      <c r="V33" s="726"/>
      <c r="W33" s="726"/>
      <c r="X33" s="726"/>
      <c r="Y33" s="726"/>
      <c r="Z33" s="726"/>
      <c r="AD33" s="1035"/>
    </row>
    <row r="34" spans="1:30">
      <c r="A34" s="739">
        <f>A33+0.01</f>
        <v>4.01</v>
      </c>
      <c r="B34" s="724"/>
      <c r="C34" s="725" t="s">
        <v>1111</v>
      </c>
      <c r="D34" s="724"/>
      <c r="E34" s="729">
        <v>56418.783785999993</v>
      </c>
      <c r="F34" s="776"/>
      <c r="G34" s="729"/>
      <c r="H34" s="776"/>
      <c r="I34" s="853">
        <f t="shared" ref="I34" si="13">E34+G34</f>
        <v>56418.783785999993</v>
      </c>
      <c r="J34" s="776"/>
      <c r="K34" s="729" t="s">
        <v>1130</v>
      </c>
      <c r="L34" s="776"/>
      <c r="M34" s="729" t="s">
        <v>1087</v>
      </c>
      <c r="N34" s="776"/>
      <c r="O34" s="855" t="s">
        <v>1131</v>
      </c>
      <c r="P34" s="776"/>
      <c r="Q34" s="628">
        <f>IF(ISBLANK(C34)=TRUE,0,IF(AND(K34="Protected",M34="Property")=TRUE,"ARAM",IF(AND(K34="Non-Protected",M34="Non-Property")=TRUE,10,35)))</f>
        <v>10</v>
      </c>
      <c r="R34" s="776"/>
      <c r="S34" s="855">
        <v>5</v>
      </c>
      <c r="T34" s="853"/>
      <c r="U34" s="856">
        <f>I34-W34</f>
        <v>47015.653154999993</v>
      </c>
      <c r="V34" s="776"/>
      <c r="W34" s="855">
        <v>9403.1306310000018</v>
      </c>
      <c r="X34" s="776"/>
      <c r="Y34" s="776"/>
      <c r="Z34" s="853">
        <f>W34</f>
        <v>9403.1306310000018</v>
      </c>
      <c r="AA34" s="770">
        <v>410.1</v>
      </c>
      <c r="AD34" s="1035"/>
    </row>
    <row r="35" spans="1:30">
      <c r="A35" s="739">
        <f>A34+0.01</f>
        <v>4.0199999999999996</v>
      </c>
      <c r="B35" s="724"/>
      <c r="C35" s="725" t="s">
        <v>1112</v>
      </c>
      <c r="D35" s="724"/>
      <c r="E35" s="729">
        <v>-56661.19466039999</v>
      </c>
      <c r="F35" s="776"/>
      <c r="G35" s="729"/>
      <c r="H35" s="776"/>
      <c r="I35" s="853">
        <f>E35+G35</f>
        <v>-56661.19466039999</v>
      </c>
      <c r="J35" s="776"/>
      <c r="K35" s="729" t="s">
        <v>1130</v>
      </c>
      <c r="L35" s="776"/>
      <c r="M35" s="729" t="s">
        <v>1087</v>
      </c>
      <c r="N35" s="776"/>
      <c r="O35" s="855" t="s">
        <v>1131</v>
      </c>
      <c r="P35" s="776"/>
      <c r="Q35" s="628">
        <f>IF(ISBLANK(C35)=TRUE,0,IF(AND(K35="Protected",M35="Property")=TRUE,"ARAM",IF(AND(K35="Non-Protected",M35="Non-Property")=TRUE,10,35)))</f>
        <v>10</v>
      </c>
      <c r="R35" s="776"/>
      <c r="S35" s="855">
        <v>5</v>
      </c>
      <c r="T35" s="853"/>
      <c r="U35" s="856">
        <f>I35-W35</f>
        <v>-47217.66221699999</v>
      </c>
      <c r="V35" s="776"/>
      <c r="W35" s="855">
        <v>-9443.5324434000013</v>
      </c>
      <c r="X35" s="776"/>
      <c r="Y35" s="776"/>
      <c r="Z35" s="911">
        <f>W35</f>
        <v>-9443.5324434000013</v>
      </c>
      <c r="AA35" s="897" t="s">
        <v>1132</v>
      </c>
      <c r="AD35" s="1035"/>
    </row>
    <row r="36" spans="1:30">
      <c r="A36" s="573">
        <f>A33+1</f>
        <v>5</v>
      </c>
      <c r="B36" s="724"/>
      <c r="C36" s="18" t="str">
        <f>"Total "&amp;C33&amp;" (Sum of "&amp;A33&amp;".[] sublines)"</f>
        <v>Total FERC Account No. 282 EDIT/DDIT (Sum of 4.[] sublines)</v>
      </c>
      <c r="D36" s="724"/>
      <c r="E36" s="738">
        <f>SUM(E34:E35)</f>
        <v>-242.41087439999683</v>
      </c>
      <c r="F36" s="776"/>
      <c r="G36" s="908">
        <f>SUM(G34:G35)</f>
        <v>0</v>
      </c>
      <c r="H36" s="776"/>
      <c r="I36" s="738">
        <f>SUM(I34:I35)</f>
        <v>-242.41087439999683</v>
      </c>
      <c r="J36" s="776"/>
      <c r="K36" s="628"/>
      <c r="L36" s="776"/>
      <c r="M36" s="628"/>
      <c r="N36" s="776"/>
      <c r="O36" s="628"/>
      <c r="P36" s="776"/>
      <c r="Q36" s="628"/>
      <c r="R36" s="776"/>
      <c r="S36" s="628"/>
      <c r="T36" s="908">
        <f>SUM(T34:T35)</f>
        <v>0</v>
      </c>
      <c r="U36" s="908">
        <f>SUM(U34:U35)</f>
        <v>-202.00906199999736</v>
      </c>
      <c r="V36" s="908">
        <f>SUM(V34:V35)</f>
        <v>0</v>
      </c>
      <c r="W36" s="908">
        <f>SUM(W34:W35)</f>
        <v>-40.401812399999471</v>
      </c>
      <c r="X36" s="776"/>
      <c r="Y36" s="776"/>
      <c r="Z36" s="853">
        <f>SUM(Z34:Z35)</f>
        <v>-40.401812399999471</v>
      </c>
      <c r="AD36" s="1035"/>
    </row>
    <row r="37" spans="1:30">
      <c r="A37" s="573"/>
      <c r="B37" s="724"/>
      <c r="C37" s="18"/>
      <c r="D37" s="724"/>
      <c r="E37" s="776"/>
      <c r="F37" s="776"/>
      <c r="G37" s="776"/>
      <c r="H37" s="776"/>
      <c r="I37" s="769"/>
      <c r="J37" s="776"/>
      <c r="K37" s="628"/>
      <c r="L37" s="776"/>
      <c r="M37" s="628"/>
      <c r="N37" s="776"/>
      <c r="O37" s="628"/>
      <c r="P37" s="776"/>
      <c r="Q37" s="628"/>
      <c r="R37" s="776"/>
      <c r="S37" s="628"/>
      <c r="T37" s="776"/>
      <c r="U37" s="769"/>
      <c r="V37" s="776"/>
      <c r="W37" s="769"/>
      <c r="X37" s="776"/>
      <c r="Y37" s="776"/>
      <c r="Z37" s="776"/>
      <c r="AD37" s="1035"/>
    </row>
    <row r="38" spans="1:30">
      <c r="A38" s="573">
        <f>A36+1</f>
        <v>6</v>
      </c>
      <c r="C38" s="18" t="s">
        <v>897</v>
      </c>
      <c r="E38" s="726"/>
      <c r="F38" s="726"/>
      <c r="G38" s="726"/>
      <c r="H38" s="726"/>
      <c r="I38" s="628"/>
      <c r="J38" s="726"/>
      <c r="K38" s="628"/>
      <c r="L38" s="726"/>
      <c r="M38" s="628"/>
      <c r="N38" s="726"/>
      <c r="O38" s="628"/>
      <c r="P38" s="726"/>
      <c r="Q38" s="628"/>
      <c r="R38" s="726"/>
      <c r="S38" s="628"/>
      <c r="T38" s="726"/>
      <c r="U38" s="628"/>
      <c r="V38" s="726"/>
      <c r="W38" s="726"/>
      <c r="X38" s="726"/>
      <c r="Y38" s="726"/>
      <c r="Z38" s="726"/>
      <c r="AD38" s="1035"/>
    </row>
    <row r="39" spans="1:30">
      <c r="A39" s="739">
        <f>A38+0.01</f>
        <v>6.01</v>
      </c>
      <c r="B39" s="724"/>
      <c r="C39" s="725" t="s">
        <v>1091</v>
      </c>
      <c r="D39" s="724"/>
      <c r="E39" s="729">
        <v>3742.5024000000012</v>
      </c>
      <c r="F39" s="776"/>
      <c r="G39" s="729"/>
      <c r="H39" s="776"/>
      <c r="I39" s="853">
        <f t="shared" ref="I39:I47" si="14">E39+G39</f>
        <v>3742.5024000000012</v>
      </c>
      <c r="J39" s="776"/>
      <c r="K39" s="729" t="s">
        <v>1130</v>
      </c>
      <c r="L39" s="776"/>
      <c r="M39" s="729" t="s">
        <v>1087</v>
      </c>
      <c r="N39" s="776"/>
      <c r="O39" s="855" t="s">
        <v>1131</v>
      </c>
      <c r="P39" s="776"/>
      <c r="Q39" s="628">
        <f>IF(ISBLANK(C39)=TRUE,0,IF(AND(K39="Protected",M39="Property")=TRUE,"ARAM",IF(AND(K39="Non-Protected",M39="Non-Property")=TRUE,10,35)))</f>
        <v>10</v>
      </c>
      <c r="R39" s="776"/>
      <c r="S39" s="855">
        <v>5</v>
      </c>
      <c r="T39" s="853"/>
      <c r="U39" s="856">
        <f>I39-W39</f>
        <v>3118.7520000000013</v>
      </c>
      <c r="V39" s="776"/>
      <c r="W39" s="855">
        <v>623.75040000000013</v>
      </c>
      <c r="X39" s="776"/>
      <c r="Y39" s="776"/>
      <c r="Z39" s="853">
        <f>W39</f>
        <v>623.75040000000013</v>
      </c>
      <c r="AA39" s="770">
        <v>410.1</v>
      </c>
      <c r="AD39" s="1035"/>
    </row>
    <row r="40" spans="1:30">
      <c r="A40" s="739">
        <f>A39+0.01</f>
        <v>6.02</v>
      </c>
      <c r="B40" s="724"/>
      <c r="C40" s="725" t="s">
        <v>1113</v>
      </c>
      <c r="D40" s="724"/>
      <c r="E40" s="729">
        <v>-9406.4719871999987</v>
      </c>
      <c r="F40" s="776"/>
      <c r="G40" s="729"/>
      <c r="H40" s="776"/>
      <c r="I40" s="853">
        <f t="shared" si="14"/>
        <v>-9406.4719871999987</v>
      </c>
      <c r="J40" s="776"/>
      <c r="K40" s="729" t="s">
        <v>1130</v>
      </c>
      <c r="L40" s="776"/>
      <c r="M40" s="729" t="s">
        <v>1087</v>
      </c>
      <c r="N40" s="776"/>
      <c r="O40" s="855" t="s">
        <v>1131</v>
      </c>
      <c r="P40" s="776"/>
      <c r="Q40" s="628">
        <f>IF(ISBLANK(C40)=TRUE,0,IF(AND(K40="Protected",M40="Property")=TRUE,"ARAM",IF(AND(K40="Non-Protected",M40="Non-Property")=TRUE,10,35)))</f>
        <v>10</v>
      </c>
      <c r="R40" s="776"/>
      <c r="S40" s="855">
        <v>5</v>
      </c>
      <c r="T40" s="853"/>
      <c r="U40" s="856">
        <f>I40-W40</f>
        <v>-7838.7266559999989</v>
      </c>
      <c r="V40" s="776"/>
      <c r="W40" s="855">
        <v>-1567.7453311999998</v>
      </c>
      <c r="X40" s="776"/>
      <c r="Y40" s="776"/>
      <c r="Z40" s="910">
        <f>W40</f>
        <v>-1567.7453311999998</v>
      </c>
      <c r="AA40" s="574" t="s">
        <v>1132</v>
      </c>
      <c r="AD40" s="1035"/>
    </row>
    <row r="41" spans="1:30">
      <c r="A41" s="739">
        <f t="shared" ref="A41:A47" si="15">A40+0.01</f>
        <v>6.0299999999999994</v>
      </c>
      <c r="B41" s="724"/>
      <c r="C41" s="725" t="s">
        <v>1114</v>
      </c>
      <c r="D41" s="724"/>
      <c r="E41" s="729">
        <v>-427.19493120000004</v>
      </c>
      <c r="F41" s="776"/>
      <c r="G41" s="729"/>
      <c r="H41" s="776"/>
      <c r="I41" s="853">
        <f t="shared" si="14"/>
        <v>-427.19493120000004</v>
      </c>
      <c r="J41" s="776"/>
      <c r="K41" s="729" t="s">
        <v>1130</v>
      </c>
      <c r="L41" s="776"/>
      <c r="M41" s="729" t="s">
        <v>1087</v>
      </c>
      <c r="N41" s="776"/>
      <c r="O41" s="855" t="s">
        <v>1131</v>
      </c>
      <c r="P41" s="776"/>
      <c r="Q41" s="628">
        <f t="shared" ref="Q41:Q47" si="16">IF(ISBLANK(C41)=TRUE,0,IF(AND(K41="Protected",M41="Property")=TRUE,"ARAM",IF(AND(K41="Non-Protected",M41="Non-Property")=TRUE,10,35)))</f>
        <v>10</v>
      </c>
      <c r="R41" s="776"/>
      <c r="S41" s="855">
        <v>5</v>
      </c>
      <c r="T41" s="853"/>
      <c r="U41" s="856">
        <f t="shared" ref="U41:U47" si="17">I41-W41</f>
        <v>-355.99577600000003</v>
      </c>
      <c r="V41" s="776"/>
      <c r="W41" s="855">
        <v>-71.199155199999993</v>
      </c>
      <c r="X41" s="776"/>
      <c r="Y41" s="776"/>
      <c r="Z41" s="910">
        <f t="shared" ref="Z41:Z47" si="18">W41</f>
        <v>-71.199155199999993</v>
      </c>
      <c r="AA41" s="574" t="s">
        <v>1132</v>
      </c>
      <c r="AD41" s="1035"/>
    </row>
    <row r="42" spans="1:30">
      <c r="A42" s="739">
        <f t="shared" si="15"/>
        <v>6.0399999999999991</v>
      </c>
      <c r="B42" s="724"/>
      <c r="C42" s="725" t="s">
        <v>1115</v>
      </c>
      <c r="D42" s="724"/>
      <c r="E42" s="729">
        <v>-284646.13908479991</v>
      </c>
      <c r="F42" s="776"/>
      <c r="G42" s="729"/>
      <c r="H42" s="776"/>
      <c r="I42" s="853">
        <f t="shared" si="14"/>
        <v>-284646.13908479991</v>
      </c>
      <c r="J42" s="776"/>
      <c r="K42" s="729" t="s">
        <v>1130</v>
      </c>
      <c r="L42" s="776"/>
      <c r="M42" s="729" t="s">
        <v>1087</v>
      </c>
      <c r="N42" s="776"/>
      <c r="O42" s="855" t="s">
        <v>1131</v>
      </c>
      <c r="P42" s="776"/>
      <c r="Q42" s="628">
        <f t="shared" si="16"/>
        <v>10</v>
      </c>
      <c r="R42" s="776"/>
      <c r="S42" s="855">
        <v>5</v>
      </c>
      <c r="T42" s="853"/>
      <c r="U42" s="856">
        <f t="shared" si="17"/>
        <v>-237205.11590399992</v>
      </c>
      <c r="V42" s="776"/>
      <c r="W42" s="855">
        <v>-47441.023180800003</v>
      </c>
      <c r="X42" s="776"/>
      <c r="Y42" s="776"/>
      <c r="Z42" s="910">
        <f t="shared" si="18"/>
        <v>-47441.023180800003</v>
      </c>
      <c r="AA42" s="574" t="s">
        <v>1132</v>
      </c>
      <c r="AD42" s="1035"/>
    </row>
    <row r="43" spans="1:30">
      <c r="A43" s="739">
        <f t="shared" si="15"/>
        <v>6.0499999999999989</v>
      </c>
      <c r="B43" s="724"/>
      <c r="C43" s="725" t="s">
        <v>1117</v>
      </c>
      <c r="D43" s="724"/>
      <c r="E43" s="729">
        <v>-654374.19527100027</v>
      </c>
      <c r="F43" s="776"/>
      <c r="G43" s="729"/>
      <c r="H43" s="776"/>
      <c r="I43" s="853">
        <f t="shared" si="14"/>
        <v>-654374.19527100027</v>
      </c>
      <c r="J43" s="776"/>
      <c r="K43" s="729" t="s">
        <v>1130</v>
      </c>
      <c r="L43" s="776"/>
      <c r="M43" s="729" t="s">
        <v>1087</v>
      </c>
      <c r="N43" s="776"/>
      <c r="O43" s="855" t="s">
        <v>1131</v>
      </c>
      <c r="P43" s="776"/>
      <c r="Q43" s="628">
        <f t="shared" si="16"/>
        <v>10</v>
      </c>
      <c r="R43" s="776"/>
      <c r="S43" s="855">
        <v>5</v>
      </c>
      <c r="T43" s="853"/>
      <c r="U43" s="856">
        <f t="shared" si="17"/>
        <v>-545311.82939250022</v>
      </c>
      <c r="V43" s="776"/>
      <c r="W43" s="855">
        <v>-109062.36587850004</v>
      </c>
      <c r="X43" s="776"/>
      <c r="Y43" s="776"/>
      <c r="Z43" s="910">
        <f>W43</f>
        <v>-109062.36587850004</v>
      </c>
      <c r="AA43" s="574" t="s">
        <v>1132</v>
      </c>
      <c r="AD43" s="1035"/>
    </row>
    <row r="44" spans="1:30">
      <c r="A44" s="739">
        <f t="shared" si="15"/>
        <v>6.0599999999999987</v>
      </c>
      <c r="B44" s="724"/>
      <c r="C44" s="725" t="s">
        <v>1118</v>
      </c>
      <c r="D44" s="724"/>
      <c r="E44" s="729">
        <v>-422207.95176960016</v>
      </c>
      <c r="F44" s="776"/>
      <c r="G44" s="729"/>
      <c r="H44" s="776"/>
      <c r="I44" s="853">
        <f t="shared" si="14"/>
        <v>-422207.95176960016</v>
      </c>
      <c r="J44" s="776"/>
      <c r="K44" s="729" t="s">
        <v>1130</v>
      </c>
      <c r="L44" s="776"/>
      <c r="M44" s="729" t="s">
        <v>1087</v>
      </c>
      <c r="N44" s="776"/>
      <c r="O44" s="855" t="s">
        <v>1131</v>
      </c>
      <c r="P44" s="776"/>
      <c r="Q44" s="628">
        <f t="shared" si="16"/>
        <v>10</v>
      </c>
      <c r="R44" s="776"/>
      <c r="S44" s="855">
        <v>5</v>
      </c>
      <c r="T44" s="853"/>
      <c r="U44" s="856">
        <f t="shared" si="17"/>
        <v>-351839.95980800013</v>
      </c>
      <c r="V44" s="776"/>
      <c r="W44" s="855">
        <v>-70367.991961600026</v>
      </c>
      <c r="X44" s="776"/>
      <c r="Y44" s="776"/>
      <c r="Z44" s="910">
        <f t="shared" si="18"/>
        <v>-70367.991961600026</v>
      </c>
      <c r="AA44" s="574" t="s">
        <v>1132</v>
      </c>
      <c r="AD44" s="1035"/>
    </row>
    <row r="45" spans="1:30">
      <c r="A45" s="739">
        <f t="shared" si="15"/>
        <v>6.0699999999999985</v>
      </c>
      <c r="B45" s="724"/>
      <c r="C45" s="725" t="s">
        <v>1133</v>
      </c>
      <c r="D45" s="724"/>
      <c r="E45" s="729">
        <v>-3719099.0068992004</v>
      </c>
      <c r="F45" s="776"/>
      <c r="G45" s="729"/>
      <c r="H45" s="776"/>
      <c r="I45" s="853">
        <f t="shared" si="14"/>
        <v>-3719099.0068992004</v>
      </c>
      <c r="J45" s="776"/>
      <c r="K45" s="729" t="s">
        <v>1130</v>
      </c>
      <c r="L45" s="776"/>
      <c r="M45" s="729" t="s">
        <v>1087</v>
      </c>
      <c r="N45" s="776"/>
      <c r="O45" s="855" t="s">
        <v>1131</v>
      </c>
      <c r="P45" s="776"/>
      <c r="Q45" s="628">
        <f>IF(ISBLANK(C45)=TRUE,0,IF(AND(K45="Protected",M45="Property")=TRUE,"ARAM",IF(AND(K45="Non-Protected",M45="Non-Property")=TRUE,10,35)))</f>
        <v>10</v>
      </c>
      <c r="R45" s="776"/>
      <c r="S45" s="855">
        <v>5</v>
      </c>
      <c r="T45" s="853"/>
      <c r="U45" s="856">
        <f t="shared" si="17"/>
        <v>-3099249.1724160006</v>
      </c>
      <c r="V45" s="776"/>
      <c r="W45" s="855">
        <v>-619849.83448319999</v>
      </c>
      <c r="X45" s="776"/>
      <c r="Y45" s="776"/>
      <c r="Z45" s="910">
        <f t="shared" si="18"/>
        <v>-619849.83448319999</v>
      </c>
      <c r="AA45" s="574" t="s">
        <v>1132</v>
      </c>
      <c r="AD45" s="1035"/>
    </row>
    <row r="46" spans="1:30">
      <c r="A46" s="739">
        <f t="shared" si="15"/>
        <v>6.0799999999999983</v>
      </c>
      <c r="B46" s="724"/>
      <c r="C46" s="725" t="s">
        <v>1134</v>
      </c>
      <c r="D46" s="724"/>
      <c r="E46" s="729">
        <v>-122932.436736</v>
      </c>
      <c r="F46" s="776"/>
      <c r="G46" s="729"/>
      <c r="H46" s="776"/>
      <c r="I46" s="853">
        <f t="shared" si="14"/>
        <v>-122932.436736</v>
      </c>
      <c r="J46" s="776"/>
      <c r="K46" s="729" t="s">
        <v>1130</v>
      </c>
      <c r="L46" s="776"/>
      <c r="M46" s="729" t="s">
        <v>1087</v>
      </c>
      <c r="N46" s="776"/>
      <c r="O46" s="855" t="s">
        <v>1131</v>
      </c>
      <c r="P46" s="776"/>
      <c r="Q46" s="628">
        <f t="shared" si="16"/>
        <v>10</v>
      </c>
      <c r="R46" s="776"/>
      <c r="S46" s="855">
        <v>5</v>
      </c>
      <c r="T46" s="853"/>
      <c r="U46" s="856">
        <f t="shared" si="17"/>
        <v>-102443.69727999999</v>
      </c>
      <c r="V46" s="776"/>
      <c r="W46" s="855">
        <v>-20488.739456000003</v>
      </c>
      <c r="X46" s="776"/>
      <c r="Y46" s="776"/>
      <c r="Z46" s="910">
        <f t="shared" si="18"/>
        <v>-20488.739456000003</v>
      </c>
      <c r="AA46" s="574" t="s">
        <v>1132</v>
      </c>
      <c r="AD46" s="1035"/>
    </row>
    <row r="47" spans="1:30">
      <c r="A47" s="739">
        <f t="shared" si="15"/>
        <v>6.0899999999999981</v>
      </c>
      <c r="B47" s="724"/>
      <c r="C47" s="725" t="s">
        <v>1135</v>
      </c>
      <c r="D47" s="724"/>
      <c r="E47" s="729">
        <v>-17532.504000000004</v>
      </c>
      <c r="F47" s="776"/>
      <c r="G47" s="729"/>
      <c r="H47" s="776"/>
      <c r="I47" s="853">
        <f t="shared" si="14"/>
        <v>-17532.504000000004</v>
      </c>
      <c r="J47" s="776"/>
      <c r="K47" s="729" t="s">
        <v>1130</v>
      </c>
      <c r="L47" s="776"/>
      <c r="M47" s="729" t="s">
        <v>1087</v>
      </c>
      <c r="N47" s="776"/>
      <c r="O47" s="855" t="s">
        <v>1131</v>
      </c>
      <c r="P47" s="776"/>
      <c r="Q47" s="628">
        <f t="shared" si="16"/>
        <v>10</v>
      </c>
      <c r="R47" s="776"/>
      <c r="S47" s="855">
        <v>5</v>
      </c>
      <c r="T47" s="853"/>
      <c r="U47" s="856">
        <f t="shared" si="17"/>
        <v>-14610.420000000006</v>
      </c>
      <c r="V47" s="776"/>
      <c r="W47" s="855">
        <v>-2922.0839999999998</v>
      </c>
      <c r="X47" s="776"/>
      <c r="Y47" s="776"/>
      <c r="Z47" s="910">
        <f t="shared" si="18"/>
        <v>-2922.0839999999998</v>
      </c>
      <c r="AA47" s="574" t="s">
        <v>1132</v>
      </c>
      <c r="AD47" s="1035"/>
    </row>
    <row r="48" spans="1:30">
      <c r="A48" s="573">
        <f>A38+1</f>
        <v>7</v>
      </c>
      <c r="B48" s="724"/>
      <c r="C48" s="18" t="str">
        <f>"Total "&amp;C38&amp;" (Sum of "&amp;A38&amp;".[] sublines)"</f>
        <v>Total FERC Account No. 283 EDIT/DDIT (Sum of 6.[] sublines)</v>
      </c>
      <c r="D48" s="724"/>
      <c r="E48" s="738">
        <f>SUM(E39:E47)</f>
        <v>-5226883.3982790001</v>
      </c>
      <c r="F48" s="776"/>
      <c r="G48" s="738">
        <f>SUM(G39:G47)</f>
        <v>0</v>
      </c>
      <c r="H48" s="776"/>
      <c r="I48" s="738">
        <f>SUM(I39:I47)</f>
        <v>-5226883.3982790001</v>
      </c>
      <c r="J48" s="776"/>
      <c r="K48" s="628"/>
      <c r="L48" s="776"/>
      <c r="M48" s="628"/>
      <c r="N48" s="776"/>
      <c r="O48" s="628"/>
      <c r="P48" s="776"/>
      <c r="Q48" s="628"/>
      <c r="R48" s="776"/>
      <c r="S48" s="628"/>
      <c r="T48" s="908">
        <f>SUM(T39:T40)</f>
        <v>0</v>
      </c>
      <c r="U48" s="908">
        <f>SUM(U39:U47)</f>
        <v>-4355736.165232501</v>
      </c>
      <c r="V48" s="908"/>
      <c r="W48" s="908">
        <f>SUM(W39:W47)</f>
        <v>-871147.23304650013</v>
      </c>
      <c r="X48" s="776"/>
      <c r="Y48" s="776"/>
      <c r="Z48" s="853">
        <f>SUM(Z39:Z47)</f>
        <v>-871147.23304650013</v>
      </c>
      <c r="AD48" s="1035"/>
    </row>
    <row r="49" spans="1:29">
      <c r="A49" s="573"/>
      <c r="B49" s="724"/>
      <c r="C49" s="18"/>
      <c r="D49" s="724"/>
      <c r="E49" s="776"/>
      <c r="F49" s="776"/>
      <c r="G49" s="776"/>
      <c r="H49" s="776"/>
      <c r="I49" s="769"/>
      <c r="J49" s="776"/>
      <c r="K49" s="628"/>
      <c r="L49" s="776"/>
      <c r="M49" s="628"/>
      <c r="N49" s="776"/>
      <c r="O49" s="628"/>
      <c r="P49" s="776"/>
      <c r="Q49" s="628"/>
      <c r="R49" s="776"/>
      <c r="S49" s="628"/>
      <c r="T49" s="776"/>
      <c r="U49" s="769"/>
      <c r="V49" s="776"/>
      <c r="W49" s="769"/>
      <c r="X49" s="776"/>
      <c r="Y49" s="776"/>
      <c r="Z49" s="776"/>
    </row>
    <row r="50" spans="1:29">
      <c r="A50" s="575">
        <f>A48+1</f>
        <v>8</v>
      </c>
      <c r="B50" s="724"/>
      <c r="C50" s="18" t="str">
        <f>"Subtotal DDIT/EDIT Non-Property before Gross-Up (Sum of Lines "&amp;A31&amp;", "&amp;A36&amp;", and "&amp;A48&amp;")"</f>
        <v>Subtotal DDIT/EDIT Non-Property before Gross-Up (Sum of Lines 3, 5, and 7)</v>
      </c>
      <c r="D50" s="724"/>
      <c r="E50" s="771">
        <f>E31+E36+E48</f>
        <v>7626519.5290704016</v>
      </c>
      <c r="F50" s="777"/>
      <c r="G50" s="771">
        <f>G31+G36+G48</f>
        <v>0</v>
      </c>
      <c r="H50" s="777"/>
      <c r="I50" s="771">
        <f>I31+I36+I48</f>
        <v>7626519.5290704016</v>
      </c>
      <c r="J50" s="777"/>
      <c r="K50" s="769"/>
      <c r="L50" s="777"/>
      <c r="M50" s="769"/>
      <c r="N50" s="777"/>
      <c r="O50" s="769"/>
      <c r="P50" s="777"/>
      <c r="Q50" s="769"/>
      <c r="R50" s="777"/>
      <c r="S50" s="769"/>
      <c r="T50" s="777"/>
      <c r="U50" s="771">
        <f>U31+U36+U48</f>
        <v>6955127.3337170007</v>
      </c>
      <c r="V50" s="777"/>
      <c r="W50" s="771">
        <f>W31+W36+W48</f>
        <v>671392.19535340008</v>
      </c>
      <c r="X50" s="777"/>
      <c r="Y50" s="777"/>
      <c r="Z50" s="771">
        <f>Z31+Z36+Z48</f>
        <v>671392.19535340008</v>
      </c>
    </row>
    <row r="51" spans="1:29" ht="16.2">
      <c r="A51" s="573"/>
      <c r="B51" s="724"/>
      <c r="C51" s="772"/>
      <c r="D51" s="724"/>
      <c r="E51" s="776"/>
      <c r="F51" s="776"/>
      <c r="G51" s="776"/>
      <c r="H51" s="776"/>
      <c r="I51" s="769"/>
      <c r="J51" s="776"/>
      <c r="K51" s="628"/>
      <c r="L51" s="776"/>
      <c r="M51" s="628"/>
      <c r="N51" s="776"/>
      <c r="O51" s="628"/>
      <c r="P51" s="776"/>
      <c r="Q51" s="628"/>
      <c r="R51" s="776"/>
      <c r="S51" s="628"/>
      <c r="T51" s="776"/>
      <c r="U51" s="769"/>
      <c r="V51" s="776"/>
      <c r="W51" s="769"/>
      <c r="X51" s="776"/>
      <c r="Y51" s="776"/>
      <c r="Z51" s="776"/>
    </row>
    <row r="52" spans="1:29">
      <c r="A52" s="575">
        <f>A50+1</f>
        <v>9</v>
      </c>
      <c r="B52" s="724"/>
      <c r="C52" s="18" t="s">
        <v>900</v>
      </c>
      <c r="D52" s="724"/>
      <c r="E52" s="777"/>
      <c r="F52" s="776"/>
      <c r="G52" s="776"/>
      <c r="H52" s="776"/>
      <c r="I52" s="728"/>
      <c r="J52" s="776"/>
      <c r="K52" s="726"/>
      <c r="L52" s="776"/>
      <c r="M52" s="726"/>
      <c r="N52" s="776"/>
      <c r="O52" s="726"/>
      <c r="P52" s="776"/>
      <c r="Q52" s="726"/>
      <c r="R52" s="776"/>
      <c r="S52" s="726"/>
      <c r="T52" s="778"/>
      <c r="U52" s="728"/>
      <c r="V52" s="778"/>
      <c r="W52" s="728"/>
      <c r="X52" s="912"/>
      <c r="Y52" s="912"/>
      <c r="Z52" s="913">
        <f>Z50*TGUF</f>
        <v>262523.7809345398</v>
      </c>
    </row>
    <row r="53" spans="1:29">
      <c r="A53" s="914">
        <f>A52+1</f>
        <v>10</v>
      </c>
      <c r="B53" s="915"/>
      <c r="C53" s="916" t="s">
        <v>903</v>
      </c>
      <c r="D53" s="915"/>
      <c r="E53" s="924"/>
      <c r="F53" s="776"/>
      <c r="G53" s="776"/>
      <c r="H53" s="776"/>
      <c r="I53" s="769"/>
      <c r="J53" s="776"/>
      <c r="K53" s="628"/>
      <c r="L53" s="776"/>
      <c r="M53" s="628"/>
      <c r="N53" s="776"/>
      <c r="O53" s="628"/>
      <c r="P53" s="776"/>
      <c r="Q53" s="628"/>
      <c r="R53" s="776"/>
      <c r="S53" s="628"/>
      <c r="T53" s="776"/>
      <c r="U53" s="769"/>
      <c r="V53" s="776"/>
      <c r="W53" s="769"/>
      <c r="X53" s="776"/>
      <c r="Y53" s="776"/>
      <c r="Z53" s="771">
        <f>Z50+Z52</f>
        <v>933915.97628793982</v>
      </c>
    </row>
    <row r="54" spans="1:29">
      <c r="A54" s="573"/>
      <c r="B54" s="724"/>
      <c r="C54" s="18"/>
      <c r="D54" s="724"/>
      <c r="E54" s="776"/>
      <c r="F54" s="776"/>
      <c r="G54" s="776"/>
      <c r="H54" s="776"/>
      <c r="I54" s="769"/>
      <c r="J54" s="776"/>
      <c r="K54" s="628"/>
      <c r="L54" s="776"/>
      <c r="M54" s="628"/>
      <c r="N54" s="776"/>
      <c r="O54" s="628"/>
      <c r="P54" s="776"/>
      <c r="Q54" s="628"/>
      <c r="R54" s="776"/>
      <c r="S54" s="628"/>
      <c r="T54" s="776"/>
      <c r="U54" s="769"/>
      <c r="V54" s="776"/>
      <c r="W54" s="769"/>
      <c r="X54" s="776"/>
      <c r="Y54" s="776"/>
      <c r="Z54" s="769"/>
    </row>
    <row r="55" spans="1:29">
      <c r="A55" s="573"/>
      <c r="B55" s="724"/>
      <c r="C55" s="18"/>
      <c r="D55" s="724"/>
      <c r="E55" s="776"/>
      <c r="F55" s="776"/>
      <c r="G55" s="776"/>
      <c r="H55" s="776"/>
      <c r="I55" s="769"/>
      <c r="J55" s="776"/>
      <c r="K55" s="628"/>
      <c r="L55" s="776"/>
      <c r="M55" s="628"/>
      <c r="N55" s="776"/>
      <c r="O55" s="628"/>
      <c r="P55" s="776"/>
      <c r="Q55" s="628"/>
      <c r="R55" s="776"/>
      <c r="S55" s="628"/>
      <c r="T55" s="776"/>
      <c r="U55" s="769"/>
      <c r="V55" s="776"/>
      <c r="W55" s="769"/>
      <c r="X55" s="776"/>
      <c r="Y55" s="776"/>
      <c r="Z55" s="769"/>
    </row>
    <row r="56" spans="1:29">
      <c r="A56" s="562">
        <f>A53+1</f>
        <v>11</v>
      </c>
      <c r="C56" s="18" t="s">
        <v>894</v>
      </c>
      <c r="K56" s="628"/>
      <c r="M56" s="628"/>
      <c r="O56" s="735"/>
      <c r="Q56" s="1"/>
      <c r="U56" s="628"/>
      <c r="W56" s="1"/>
      <c r="AB56" s="724"/>
    </row>
    <row r="57" spans="1:29">
      <c r="A57" s="573"/>
      <c r="C57" s="18"/>
      <c r="I57" s="628"/>
      <c r="K57" s="628"/>
      <c r="M57" s="628"/>
      <c r="O57" s="735"/>
      <c r="Q57" s="1"/>
      <c r="U57" s="628"/>
      <c r="W57" s="1"/>
      <c r="AB57" s="724"/>
      <c r="AC57" s="1035"/>
    </row>
    <row r="58" spans="1:29">
      <c r="A58" s="573">
        <f>A56+1</f>
        <v>12</v>
      </c>
      <c r="C58" s="18" t="s">
        <v>895</v>
      </c>
      <c r="I58" s="628"/>
      <c r="K58" s="628"/>
      <c r="M58" s="628"/>
      <c r="O58" s="735"/>
      <c r="Q58" s="1"/>
      <c r="U58" s="628"/>
      <c r="W58" s="1"/>
      <c r="AB58" s="724"/>
      <c r="AC58" s="1035"/>
    </row>
    <row r="59" spans="1:29">
      <c r="A59" s="740">
        <f>A58+0.01</f>
        <v>12.01</v>
      </c>
      <c r="B59" s="724"/>
      <c r="C59" s="725" t="s">
        <v>909</v>
      </c>
      <c r="D59" s="724"/>
      <c r="E59" s="729">
        <v>-2485346.697796002</v>
      </c>
      <c r="F59" s="776"/>
      <c r="G59" s="729">
        <v>-3326036.7217169879</v>
      </c>
      <c r="H59" s="776"/>
      <c r="I59" s="853">
        <f>E59+G59</f>
        <v>-5811383.4195129899</v>
      </c>
      <c r="J59" s="776"/>
      <c r="K59" s="729" t="s">
        <v>1086</v>
      </c>
      <c r="L59" s="776"/>
      <c r="M59" s="729" t="s">
        <v>1088</v>
      </c>
      <c r="N59" s="776"/>
      <c r="O59" s="854"/>
      <c r="P59" s="776"/>
      <c r="Q59" s="628" t="str">
        <f>IF(ISBLANK(#REF!)=TRUE,0,IF(AND(K59="Protected",M59="Property")=TRUE,"ARAM",IF(AND(K59="Non-Protected",M59="Non-Property")=TRUE,10,35)))</f>
        <v>ARAM</v>
      </c>
      <c r="R59" s="776"/>
      <c r="S59" s="854" t="str">
        <f>Q59</f>
        <v>ARAM</v>
      </c>
      <c r="T59" s="853"/>
      <c r="U59" s="854">
        <v>-5551307.1482289899</v>
      </c>
      <c r="V59" s="853"/>
      <c r="W59" s="854"/>
      <c r="X59" s="776"/>
      <c r="Y59" s="854">
        <v>260076.27128399999</v>
      </c>
      <c r="Z59" s="911">
        <f>Y59</f>
        <v>260076.27128399999</v>
      </c>
      <c r="AA59" s="897" t="s">
        <v>892</v>
      </c>
      <c r="AB59" s="724"/>
      <c r="AC59" s="1035"/>
    </row>
    <row r="60" spans="1:29">
      <c r="A60" s="573">
        <f>A58+1</f>
        <v>13</v>
      </c>
      <c r="B60" s="724"/>
      <c r="C60" s="18" t="s">
        <v>906</v>
      </c>
      <c r="D60" s="724"/>
      <c r="E60" s="738">
        <f>E59</f>
        <v>-2485346.697796002</v>
      </c>
      <c r="F60" s="776"/>
      <c r="G60" s="908">
        <f>G59</f>
        <v>-3326036.7217169879</v>
      </c>
      <c r="H60" s="776"/>
      <c r="I60" s="738"/>
      <c r="J60" s="776"/>
      <c r="K60" s="628"/>
      <c r="L60" s="776"/>
      <c r="M60" s="628"/>
      <c r="N60" s="776"/>
      <c r="O60" s="628"/>
      <c r="P60" s="776"/>
      <c r="Q60" s="628"/>
      <c r="R60" s="776"/>
      <c r="S60" s="628"/>
      <c r="T60" s="908">
        <f>SUM(T59:T59)</f>
        <v>0</v>
      </c>
      <c r="U60" s="908">
        <f>U59</f>
        <v>-5551307.1482289899</v>
      </c>
      <c r="V60" s="908"/>
      <c r="W60" s="908">
        <f>W59</f>
        <v>0</v>
      </c>
      <c r="X60" s="776"/>
      <c r="Y60" s="776"/>
      <c r="Z60" s="853">
        <f>Z59</f>
        <v>260076.27128399999</v>
      </c>
      <c r="AB60" s="724"/>
      <c r="AC60" s="1035"/>
    </row>
    <row r="61" spans="1:29">
      <c r="A61" s="573"/>
      <c r="B61" s="724"/>
      <c r="C61" s="18"/>
      <c r="D61" s="724"/>
      <c r="E61" s="776"/>
      <c r="F61" s="776"/>
      <c r="G61" s="776"/>
      <c r="H61" s="776"/>
      <c r="I61" s="769"/>
      <c r="J61" s="776"/>
      <c r="K61" s="628"/>
      <c r="L61" s="776"/>
      <c r="M61" s="628"/>
      <c r="N61" s="776"/>
      <c r="O61" s="628"/>
      <c r="P61" s="776"/>
      <c r="Q61" s="628"/>
      <c r="R61" s="776"/>
      <c r="S61" s="628"/>
      <c r="T61" s="776"/>
      <c r="U61" s="769"/>
      <c r="V61" s="776"/>
      <c r="W61" s="769"/>
      <c r="X61" s="776"/>
      <c r="Y61" s="776"/>
      <c r="Z61" s="776"/>
      <c r="AB61" s="724"/>
      <c r="AC61" s="1035"/>
    </row>
    <row r="62" spans="1:29">
      <c r="A62" s="573">
        <f>A60+1</f>
        <v>14</v>
      </c>
      <c r="C62" s="18" t="s">
        <v>896</v>
      </c>
      <c r="E62" s="726"/>
      <c r="F62" s="726"/>
      <c r="G62" s="726"/>
      <c r="H62" s="726"/>
      <c r="I62" s="628"/>
      <c r="J62" s="726"/>
      <c r="K62" s="628"/>
      <c r="L62" s="726"/>
      <c r="M62" s="628"/>
      <c r="N62" s="726"/>
      <c r="O62" s="628"/>
      <c r="P62" s="726"/>
      <c r="Q62" s="628"/>
      <c r="R62" s="726"/>
      <c r="S62" s="628"/>
      <c r="T62" s="726"/>
      <c r="U62" s="628"/>
      <c r="V62" s="726"/>
      <c r="W62" s="726"/>
      <c r="X62" s="726"/>
      <c r="Y62" s="726"/>
      <c r="Z62" s="726"/>
      <c r="AB62" s="724"/>
      <c r="AC62" s="1035"/>
    </row>
    <row r="63" spans="1:29">
      <c r="A63" s="740">
        <f>A62+0.01</f>
        <v>14.01</v>
      </c>
      <c r="B63" s="724"/>
      <c r="C63" s="725" t="s">
        <v>909</v>
      </c>
      <c r="D63" s="724"/>
      <c r="E63" s="729">
        <v>116466164.807191</v>
      </c>
      <c r="F63" s="776"/>
      <c r="G63" s="729">
        <v>3334302.7130360007</v>
      </c>
      <c r="H63" s="776"/>
      <c r="I63" s="853">
        <f>E63+G63</f>
        <v>119800467.520227</v>
      </c>
      <c r="J63" s="776"/>
      <c r="K63" s="729" t="s">
        <v>1086</v>
      </c>
      <c r="L63" s="776"/>
      <c r="M63" s="729" t="s">
        <v>1088</v>
      </c>
      <c r="N63" s="776"/>
      <c r="O63" s="854"/>
      <c r="P63" s="776"/>
      <c r="Q63" s="628" t="str">
        <f>IF(ISBLANK(C63)=TRUE,0,IF(AND(K63="Protected",M63="Property")=TRUE,"ARAM",IF(AND(K63="Non-Protected",M63="Non-Property")=TRUE,10,35)))</f>
        <v>ARAM</v>
      </c>
      <c r="R63" s="776"/>
      <c r="S63" s="854" t="str">
        <f>Q63</f>
        <v>ARAM</v>
      </c>
      <c r="T63" s="853"/>
      <c r="U63" s="854">
        <v>117831003.476248</v>
      </c>
      <c r="V63" s="776"/>
      <c r="W63" s="854">
        <v>0</v>
      </c>
      <c r="X63" s="776"/>
      <c r="Y63" s="854">
        <v>-1969464.0439790001</v>
      </c>
      <c r="Z63" s="911">
        <f>Y63</f>
        <v>-1969464.0439790001</v>
      </c>
      <c r="AA63" s="897" t="s">
        <v>892</v>
      </c>
      <c r="AB63" s="724"/>
      <c r="AC63" s="1035"/>
    </row>
    <row r="64" spans="1:29">
      <c r="A64" s="573">
        <f>A62+1</f>
        <v>15</v>
      </c>
      <c r="B64" s="724"/>
      <c r="C64" s="18" t="s">
        <v>907</v>
      </c>
      <c r="D64" s="724"/>
      <c r="E64" s="738">
        <f>E63</f>
        <v>116466164.807191</v>
      </c>
      <c r="F64" s="776"/>
      <c r="G64" s="908">
        <f>G63</f>
        <v>3334302.7130360007</v>
      </c>
      <c r="H64" s="776"/>
      <c r="I64" s="738"/>
      <c r="J64" s="776"/>
      <c r="K64" s="628"/>
      <c r="L64" s="776"/>
      <c r="M64" s="628"/>
      <c r="N64" s="776"/>
      <c r="O64" s="628"/>
      <c r="P64" s="776"/>
      <c r="Q64" s="628"/>
      <c r="R64" s="776"/>
      <c r="S64" s="628"/>
      <c r="T64" s="908">
        <f>SUM(T63:T63)</f>
        <v>0</v>
      </c>
      <c r="U64" s="908">
        <f>U63</f>
        <v>117831003.476248</v>
      </c>
      <c r="V64" s="908"/>
      <c r="W64" s="908">
        <f>W63</f>
        <v>0</v>
      </c>
      <c r="X64" s="776"/>
      <c r="Y64" s="776"/>
      <c r="Z64" s="853">
        <f>Z63</f>
        <v>-1969464.0439790001</v>
      </c>
      <c r="AB64" s="724"/>
      <c r="AC64" s="1035"/>
    </row>
    <row r="65" spans="1:29">
      <c r="A65" s="573"/>
      <c r="B65" s="724"/>
      <c r="C65" s="18"/>
      <c r="D65" s="724"/>
      <c r="E65" s="776"/>
      <c r="F65" s="776"/>
      <c r="G65" s="776"/>
      <c r="H65" s="776"/>
      <c r="I65" s="769"/>
      <c r="J65" s="776"/>
      <c r="K65" s="628"/>
      <c r="L65" s="776"/>
      <c r="M65" s="628"/>
      <c r="N65" s="776"/>
      <c r="O65" s="628"/>
      <c r="P65" s="776"/>
      <c r="Q65" s="628"/>
      <c r="R65" s="776"/>
      <c r="S65" s="628"/>
      <c r="T65" s="776"/>
      <c r="U65" s="769"/>
      <c r="V65" s="776"/>
      <c r="W65" s="769"/>
      <c r="X65" s="776"/>
      <c r="Y65" s="776"/>
      <c r="Z65" s="776"/>
      <c r="AB65" s="724"/>
      <c r="AC65" s="1035"/>
    </row>
    <row r="66" spans="1:29">
      <c r="A66" s="573">
        <f>A64+1</f>
        <v>16</v>
      </c>
      <c r="C66" s="18" t="s">
        <v>897</v>
      </c>
      <c r="E66" s="726"/>
      <c r="F66" s="726"/>
      <c r="G66" s="726"/>
      <c r="H66" s="726"/>
      <c r="I66" s="628"/>
      <c r="J66" s="726"/>
      <c r="K66" s="628"/>
      <c r="L66" s="726"/>
      <c r="M66" s="628"/>
      <c r="N66" s="726"/>
      <c r="O66" s="628"/>
      <c r="P66" s="726"/>
      <c r="Q66" s="628"/>
      <c r="R66" s="726"/>
      <c r="S66" s="628"/>
      <c r="T66" s="726"/>
      <c r="U66" s="628"/>
      <c r="V66" s="726"/>
      <c r="W66" s="726"/>
      <c r="X66" s="726"/>
      <c r="Y66" s="726"/>
      <c r="Z66" s="726"/>
      <c r="AB66" s="724"/>
      <c r="AC66" s="1035"/>
    </row>
    <row r="67" spans="1:29">
      <c r="A67" s="740">
        <f>A66+0.01</f>
        <v>16.010000000000002</v>
      </c>
      <c r="B67" s="724"/>
      <c r="C67" s="725" t="s">
        <v>909</v>
      </c>
      <c r="D67" s="724"/>
      <c r="E67" s="729">
        <v>0</v>
      </c>
      <c r="F67" s="776"/>
      <c r="G67" s="729">
        <v>0</v>
      </c>
      <c r="H67" s="776"/>
      <c r="I67" s="853">
        <f>E67+G67</f>
        <v>0</v>
      </c>
      <c r="J67" s="776"/>
      <c r="K67" s="729"/>
      <c r="L67" s="776"/>
      <c r="M67" s="729"/>
      <c r="N67" s="776"/>
      <c r="O67" s="854"/>
      <c r="P67" s="776"/>
      <c r="Q67" s="628">
        <f>IF(ISBLANK(C67)=TRUE,0,IF(AND(K67="Protected",M67="Property")=TRUE,"ARAM",IF(AND(K67="Non-Protected",M67="Non-Property")=TRUE,10,35)))</f>
        <v>35</v>
      </c>
      <c r="R67" s="776"/>
      <c r="S67" s="854"/>
      <c r="T67" s="853"/>
      <c r="U67" s="854">
        <v>0</v>
      </c>
      <c r="V67" s="776"/>
      <c r="W67" s="856">
        <v>0</v>
      </c>
      <c r="X67" s="776"/>
      <c r="Y67" s="854">
        <v>0</v>
      </c>
      <c r="Z67" s="911">
        <f>Y67</f>
        <v>0</v>
      </c>
      <c r="AA67" s="897" t="s">
        <v>892</v>
      </c>
      <c r="AB67" s="724"/>
      <c r="AC67" s="1035"/>
    </row>
    <row r="68" spans="1:29">
      <c r="A68" s="573">
        <f>A66+1</f>
        <v>17</v>
      </c>
      <c r="B68" s="724"/>
      <c r="C68" s="18" t="s">
        <v>908</v>
      </c>
      <c r="D68" s="724"/>
      <c r="E68" s="738">
        <f>E67</f>
        <v>0</v>
      </c>
      <c r="F68" s="776"/>
      <c r="G68" s="738">
        <f>G67</f>
        <v>0</v>
      </c>
      <c r="H68" s="776"/>
      <c r="I68" s="738"/>
      <c r="J68" s="776"/>
      <c r="K68" s="628"/>
      <c r="L68" s="776"/>
      <c r="M68" s="628"/>
      <c r="N68" s="776"/>
      <c r="O68" s="628"/>
      <c r="P68" s="776"/>
      <c r="Q68" s="628"/>
      <c r="R68" s="776"/>
      <c r="S68" s="628"/>
      <c r="T68" s="908">
        <f>SUM(T67:T67)</f>
        <v>0</v>
      </c>
      <c r="U68" s="908">
        <f>U67</f>
        <v>0</v>
      </c>
      <c r="V68" s="908"/>
      <c r="W68" s="908">
        <f>W67</f>
        <v>0</v>
      </c>
      <c r="X68" s="776"/>
      <c r="Y68" s="776"/>
      <c r="Z68" s="853">
        <f>Z67</f>
        <v>0</v>
      </c>
      <c r="AB68" s="724"/>
      <c r="AC68" s="1035"/>
    </row>
    <row r="69" spans="1:29">
      <c r="A69" s="573"/>
      <c r="B69" s="724"/>
      <c r="C69" s="18"/>
      <c r="D69" s="724"/>
      <c r="E69" s="776"/>
      <c r="F69" s="776"/>
      <c r="G69" s="776"/>
      <c r="H69" s="776"/>
      <c r="I69" s="769"/>
      <c r="J69" s="776"/>
      <c r="K69" s="628"/>
      <c r="L69" s="776"/>
      <c r="M69" s="628"/>
      <c r="N69" s="776"/>
      <c r="O69" s="628"/>
      <c r="P69" s="776"/>
      <c r="Q69" s="628"/>
      <c r="R69" s="776"/>
      <c r="S69" s="628"/>
      <c r="T69" s="776"/>
      <c r="U69" s="769"/>
      <c r="V69" s="776"/>
      <c r="W69" s="769"/>
      <c r="X69" s="776"/>
      <c r="Y69" s="776"/>
      <c r="Z69" s="776"/>
      <c r="AB69" s="724"/>
      <c r="AC69" s="1035"/>
    </row>
    <row r="70" spans="1:29">
      <c r="A70" s="575">
        <f>A68+1</f>
        <v>18</v>
      </c>
      <c r="B70" s="724"/>
      <c r="C70" s="18" t="str">
        <f>"Subtotal DDIT/EDIT Property before Gross-Up (Sum of Lines "&amp;A60&amp;", "&amp;A64&amp;", and "&amp;A68&amp;")"</f>
        <v>Subtotal DDIT/EDIT Property before Gross-Up (Sum of Lines 13, 15, and 17)</v>
      </c>
      <c r="D70" s="724"/>
      <c r="E70" s="771">
        <f>E60+E64+E68</f>
        <v>113980818.109395</v>
      </c>
      <c r="F70" s="777"/>
      <c r="G70" s="771">
        <f>G60+G64+G68</f>
        <v>8265.9913190128282</v>
      </c>
      <c r="H70" s="777"/>
      <c r="I70" s="771">
        <f>I60+I64+I68</f>
        <v>0</v>
      </c>
      <c r="J70" s="777"/>
      <c r="K70" s="769"/>
      <c r="L70" s="777"/>
      <c r="M70" s="769"/>
      <c r="N70" s="777"/>
      <c r="O70" s="769"/>
      <c r="P70" s="777"/>
      <c r="Q70" s="769"/>
      <c r="R70" s="777"/>
      <c r="S70" s="769"/>
      <c r="T70" s="777"/>
      <c r="U70" s="771">
        <f>U60+U64+U68</f>
        <v>112279696.32801901</v>
      </c>
      <c r="V70" s="777"/>
      <c r="W70" s="771">
        <f>W60+W64+W68</f>
        <v>0</v>
      </c>
      <c r="X70" s="777"/>
      <c r="Y70" s="777"/>
      <c r="Z70" s="771">
        <f>Z60+Z64+Z68</f>
        <v>-1709387.7726950001</v>
      </c>
      <c r="AB70" s="724"/>
    </row>
    <row r="71" spans="1:29" ht="16.2">
      <c r="A71" s="573"/>
      <c r="B71" s="724"/>
      <c r="C71" s="772"/>
      <c r="D71" s="724"/>
      <c r="E71" s="776"/>
      <c r="F71" s="776"/>
      <c r="G71" s="776"/>
      <c r="H71" s="776"/>
      <c r="I71" s="769"/>
      <c r="J71" s="776"/>
      <c r="K71" s="628"/>
      <c r="L71" s="776"/>
      <c r="M71" s="628"/>
      <c r="N71" s="776"/>
      <c r="O71" s="628"/>
      <c r="P71" s="776"/>
      <c r="Q71" s="628"/>
      <c r="R71" s="776"/>
      <c r="S71" s="628"/>
      <c r="T71" s="776"/>
      <c r="U71" s="769"/>
      <c r="V71" s="776"/>
      <c r="W71" s="769"/>
      <c r="X71" s="776"/>
      <c r="Y71" s="776"/>
      <c r="Z71" s="776"/>
      <c r="AB71" s="724"/>
    </row>
    <row r="72" spans="1:29">
      <c r="A72" s="575">
        <f>A70+1</f>
        <v>19</v>
      </c>
      <c r="B72" s="724"/>
      <c r="C72" s="18" t="s">
        <v>901</v>
      </c>
      <c r="D72" s="724"/>
      <c r="E72" s="777"/>
      <c r="F72" s="776"/>
      <c r="G72" s="776"/>
      <c r="H72" s="776"/>
      <c r="I72" s="728">
        <f>I70*TGUF</f>
        <v>0</v>
      </c>
      <c r="J72" s="776"/>
      <c r="K72" s="726"/>
      <c r="L72" s="776"/>
      <c r="M72" s="726"/>
      <c r="N72" s="776"/>
      <c r="O72" s="726"/>
      <c r="P72" s="776"/>
      <c r="Q72" s="726"/>
      <c r="R72" s="776"/>
      <c r="S72" s="726"/>
      <c r="T72" s="778"/>
      <c r="U72" s="728"/>
      <c r="V72" s="960"/>
      <c r="W72" s="728"/>
      <c r="X72" s="912"/>
      <c r="Y72" s="912"/>
      <c r="Z72" s="913">
        <f>Z70*TGUF</f>
        <v>-668394.63472605962</v>
      </c>
      <c r="AB72" s="724"/>
    </row>
    <row r="73" spans="1:29">
      <c r="A73" s="575">
        <f>A72+1</f>
        <v>20</v>
      </c>
      <c r="B73" s="915"/>
      <c r="C73" s="916" t="s">
        <v>904</v>
      </c>
      <c r="D73" s="915"/>
      <c r="E73" s="913"/>
      <c r="F73" s="724"/>
      <c r="G73" s="728"/>
      <c r="H73" s="724"/>
      <c r="I73" s="728"/>
      <c r="J73" s="724"/>
      <c r="K73" s="726"/>
      <c r="L73" s="724"/>
      <c r="M73" s="726"/>
      <c r="N73" s="724"/>
      <c r="O73" s="726"/>
      <c r="P73" s="724"/>
      <c r="Q73" s="882"/>
      <c r="R73" s="724"/>
      <c r="S73" s="726"/>
      <c r="T73" s="724"/>
      <c r="U73" s="728"/>
      <c r="V73" s="724"/>
      <c r="W73" s="728"/>
      <c r="X73" s="724"/>
      <c r="Y73" s="724"/>
      <c r="Z73" s="728">
        <f>Z70+Z72</f>
        <v>-2377782.4074210599</v>
      </c>
      <c r="AA73" s="728"/>
      <c r="AB73" s="724"/>
    </row>
    <row r="74" spans="1:29">
      <c r="A74" s="883"/>
      <c r="B74" s="724"/>
      <c r="C74" s="18"/>
      <c r="D74" s="724"/>
      <c r="E74" s="728"/>
      <c r="F74" s="724"/>
      <c r="G74" s="728"/>
      <c r="H74" s="724"/>
      <c r="I74" s="728"/>
      <c r="J74" s="724"/>
      <c r="K74" s="726"/>
      <c r="L74" s="724"/>
      <c r="M74" s="726"/>
      <c r="N74" s="724"/>
      <c r="O74" s="726"/>
      <c r="P74" s="724"/>
      <c r="Q74" s="882"/>
      <c r="R74" s="724"/>
      <c r="S74" s="726"/>
      <c r="T74" s="724"/>
      <c r="U74" s="728"/>
      <c r="V74" s="724"/>
      <c r="W74" s="728"/>
      <c r="X74" s="724"/>
      <c r="Y74" s="724"/>
      <c r="Z74" s="728"/>
      <c r="AA74" s="728"/>
      <c r="AB74" s="724"/>
    </row>
    <row r="75" spans="1:29">
      <c r="A75" s="856">
        <f>A73+1</f>
        <v>21</v>
      </c>
      <c r="B75" s="724"/>
      <c r="C75" s="18" t="s">
        <v>898</v>
      </c>
      <c r="D75" s="724"/>
      <c r="E75" s="728"/>
      <c r="F75" s="724"/>
      <c r="G75" s="728"/>
      <c r="H75" s="724"/>
      <c r="I75" s="728"/>
      <c r="J75" s="724"/>
      <c r="K75" s="726"/>
      <c r="L75" s="724"/>
      <c r="M75" s="726"/>
      <c r="N75" s="724"/>
      <c r="O75" s="726"/>
      <c r="P75" s="724"/>
      <c r="Q75" s="882"/>
      <c r="R75" s="724"/>
      <c r="S75" s="726"/>
      <c r="T75" s="724"/>
      <c r="U75" s="728"/>
      <c r="V75" s="724"/>
      <c r="W75" s="728"/>
      <c r="X75" s="724"/>
      <c r="Y75" s="724"/>
      <c r="Z75" s="728">
        <f>Z50+Z70</f>
        <v>-1037995.5773416</v>
      </c>
      <c r="AA75" s="728"/>
      <c r="AB75" s="724"/>
    </row>
    <row r="76" spans="1:29">
      <c r="A76" s="856">
        <f>A75+1</f>
        <v>22</v>
      </c>
      <c r="B76" s="724"/>
      <c r="C76" s="18" t="s">
        <v>905</v>
      </c>
      <c r="D76" s="724"/>
      <c r="E76" s="728"/>
      <c r="F76" s="724"/>
      <c r="G76" s="728"/>
      <c r="H76" s="724"/>
      <c r="I76" s="728"/>
      <c r="J76" s="724"/>
      <c r="K76" s="726"/>
      <c r="L76" s="724"/>
      <c r="M76" s="726"/>
      <c r="N76" s="724"/>
      <c r="O76" s="726"/>
      <c r="P76" s="724"/>
      <c r="Q76" s="882"/>
      <c r="R76" s="724"/>
      <c r="S76" s="726"/>
      <c r="T76" s="724"/>
      <c r="U76" s="728"/>
      <c r="V76" s="724"/>
      <c r="W76" s="728"/>
      <c r="X76" s="724"/>
      <c r="Y76" s="724"/>
      <c r="Z76" s="728">
        <f>Z53+Z73</f>
        <v>-1443866.4311331201</v>
      </c>
      <c r="AA76" s="728"/>
      <c r="AB76" s="724"/>
    </row>
    <row r="77" spans="1:29">
      <c r="A77" s="883"/>
      <c r="B77" s="724"/>
      <c r="C77" s="18"/>
      <c r="D77" s="724"/>
      <c r="E77" s="728"/>
      <c r="F77" s="724"/>
      <c r="G77" s="728"/>
      <c r="H77" s="724"/>
      <c r="I77" s="728"/>
      <c r="J77" s="724"/>
      <c r="K77" s="726"/>
      <c r="L77" s="724"/>
      <c r="M77" s="726"/>
      <c r="N77" s="724"/>
      <c r="O77" s="726"/>
      <c r="P77" s="724"/>
      <c r="Q77" s="882"/>
      <c r="R77" s="724"/>
      <c r="S77" s="726"/>
      <c r="T77" s="724"/>
      <c r="U77" s="728"/>
      <c r="V77" s="724"/>
      <c r="W77" s="728"/>
      <c r="X77" s="724"/>
      <c r="Y77" s="724"/>
      <c r="Z77" s="728"/>
      <c r="AA77" s="728"/>
      <c r="AB77" s="724"/>
    </row>
    <row r="78" spans="1:29">
      <c r="A78" s="883"/>
      <c r="B78" s="724"/>
      <c r="C78" s="18"/>
      <c r="D78" s="724"/>
      <c r="E78" s="728"/>
      <c r="F78" s="724"/>
      <c r="G78" s="728"/>
      <c r="H78" s="724"/>
      <c r="I78" s="728"/>
      <c r="J78" s="724"/>
      <c r="K78" s="726"/>
      <c r="L78" s="724"/>
      <c r="M78" s="726"/>
      <c r="N78" s="724"/>
      <c r="O78" s="726"/>
      <c r="P78" s="724"/>
      <c r="Q78" s="882"/>
      <c r="R78" s="724"/>
      <c r="S78" s="726"/>
      <c r="T78" s="724"/>
      <c r="U78" s="728"/>
      <c r="V78" s="724"/>
      <c r="W78" s="728"/>
      <c r="X78" s="724"/>
      <c r="Y78" s="724"/>
      <c r="Z78" s="728"/>
      <c r="AA78" s="728"/>
      <c r="AB78" s="724"/>
    </row>
    <row r="79" spans="1:29">
      <c r="A79" s="898"/>
      <c r="B79" s="724"/>
      <c r="C79" s="724"/>
      <c r="D79" s="724"/>
      <c r="E79" s="724"/>
      <c r="F79" s="724"/>
      <c r="G79" s="724"/>
      <c r="H79" s="724"/>
      <c r="I79" s="18"/>
      <c r="J79" s="724"/>
      <c r="K79" s="628"/>
      <c r="L79" s="724"/>
      <c r="M79" s="628"/>
      <c r="N79" s="724"/>
      <c r="O79" s="628"/>
      <c r="P79" s="724"/>
      <c r="Q79" s="735"/>
      <c r="R79" s="724"/>
      <c r="S79" s="726"/>
      <c r="T79" s="724"/>
      <c r="U79" s="628"/>
      <c r="V79" s="724"/>
      <c r="W79" s="628"/>
      <c r="X79" s="724"/>
      <c r="Y79" s="724"/>
      <c r="Z79" s="724"/>
      <c r="AA79" s="728"/>
      <c r="AB79" s="724"/>
    </row>
    <row r="80" spans="1:29">
      <c r="B80" s="301"/>
      <c r="C80" s="899" t="s">
        <v>183</v>
      </c>
      <c r="D80" s="301"/>
      <c r="E80" s="301"/>
      <c r="F80" s="301"/>
      <c r="G80" s="301"/>
      <c r="H80" s="301"/>
      <c r="J80" s="301"/>
      <c r="K80" s="628" t="s">
        <v>183</v>
      </c>
      <c r="L80" s="301"/>
      <c r="M80" s="628"/>
      <c r="N80" s="301"/>
      <c r="P80" s="301"/>
      <c r="Q80" s="573"/>
      <c r="R80" s="301"/>
      <c r="S80" s="573"/>
      <c r="T80" s="301"/>
      <c r="U80" s="17"/>
      <c r="V80" s="301"/>
      <c r="W80" s="728"/>
      <c r="X80" s="301"/>
      <c r="Y80" s="301"/>
      <c r="Z80" s="301"/>
    </row>
    <row r="81" spans="1:29">
      <c r="A81" s="740"/>
      <c r="B81" s="16"/>
      <c r="C81" s="1028" t="s">
        <v>882</v>
      </c>
      <c r="D81" s="1028"/>
      <c r="E81" s="1028"/>
      <c r="F81" s="1028"/>
      <c r="G81" s="1028"/>
      <c r="H81" s="1028"/>
      <c r="I81" s="1028"/>
      <c r="J81" s="773"/>
      <c r="K81" s="1029" t="s">
        <v>760</v>
      </c>
      <c r="L81" s="1029"/>
      <c r="M81" s="1029"/>
      <c r="N81" s="1029"/>
      <c r="O81" s="1029"/>
      <c r="P81" s="1029"/>
      <c r="Q81" s="1029"/>
      <c r="R81" s="1029"/>
      <c r="S81" s="1029"/>
      <c r="T81" s="1029"/>
      <c r="U81" s="1029"/>
      <c r="V81" s="16"/>
      <c r="W81" s="1"/>
    </row>
    <row r="82" spans="1:29">
      <c r="A82" s="740"/>
      <c r="B82" s="16"/>
      <c r="C82" s="1" t="s">
        <v>752</v>
      </c>
      <c r="D82" s="773"/>
      <c r="E82" s="773"/>
      <c r="F82" s="773"/>
      <c r="G82" s="773"/>
      <c r="H82" s="773"/>
      <c r="I82" s="773"/>
      <c r="J82" s="773"/>
      <c r="K82" s="1029"/>
      <c r="L82" s="1029"/>
      <c r="M82" s="1029"/>
      <c r="N82" s="1029"/>
      <c r="O82" s="1029"/>
      <c r="P82" s="1029"/>
      <c r="Q82" s="1029"/>
      <c r="R82" s="1029"/>
      <c r="S82" s="1029"/>
      <c r="T82" s="1029"/>
      <c r="U82" s="1029"/>
      <c r="V82" s="16"/>
      <c r="W82" s="1"/>
    </row>
    <row r="83" spans="1:29">
      <c r="A83" s="740"/>
      <c r="B83" s="16"/>
      <c r="C83" s="999" t="s">
        <v>1064</v>
      </c>
      <c r="D83" s="999"/>
      <c r="E83" s="999"/>
      <c r="F83" s="999"/>
      <c r="G83" s="999"/>
      <c r="H83" s="303"/>
      <c r="I83" s="773"/>
      <c r="J83" s="773"/>
      <c r="K83" s="597"/>
      <c r="L83" s="597"/>
      <c r="N83" s="597"/>
      <c r="O83" s="597"/>
      <c r="P83" s="597"/>
      <c r="Q83" s="16" t="s">
        <v>753</v>
      </c>
      <c r="R83" s="597"/>
      <c r="S83" s="16" t="s">
        <v>521</v>
      </c>
      <c r="T83" s="597"/>
      <c r="U83" s="597"/>
      <c r="V83" s="16"/>
      <c r="W83" s="1"/>
    </row>
    <row r="84" spans="1:29">
      <c r="A84" s="740"/>
      <c r="B84" s="16"/>
      <c r="K84" s="1"/>
      <c r="O84" s="16"/>
      <c r="Q84" s="16" t="s">
        <v>754</v>
      </c>
      <c r="S84" s="3">
        <v>10</v>
      </c>
      <c r="T84" s="16"/>
      <c r="U84" s="628"/>
      <c r="V84" s="16"/>
      <c r="W84" s="1"/>
    </row>
    <row r="85" spans="1:29">
      <c r="A85" s="740"/>
      <c r="B85" s="16"/>
      <c r="K85" s="1"/>
      <c r="O85" s="1"/>
      <c r="Q85" s="16" t="s">
        <v>755</v>
      </c>
      <c r="S85" s="3">
        <v>35</v>
      </c>
      <c r="T85" s="16"/>
      <c r="U85" s="16"/>
      <c r="V85" s="16"/>
      <c r="W85" s="1"/>
    </row>
    <row r="86" spans="1:29">
      <c r="K86" s="773"/>
      <c r="L86" s="773"/>
      <c r="M86" s="773"/>
      <c r="N86" s="773"/>
      <c r="O86" s="773"/>
      <c r="P86" s="773"/>
      <c r="Q86" s="773"/>
      <c r="R86" s="773"/>
      <c r="S86" s="773"/>
      <c r="T86" s="773"/>
      <c r="U86" s="773"/>
      <c r="W86" s="1"/>
    </row>
    <row r="87" spans="1:29">
      <c r="A87" s="740"/>
      <c r="B87" s="16"/>
      <c r="K87" s="773"/>
      <c r="L87" s="773"/>
      <c r="M87" s="773"/>
      <c r="N87" s="773"/>
      <c r="O87" s="773"/>
      <c r="P87" s="773"/>
      <c r="Q87" s="773"/>
      <c r="R87" s="773"/>
      <c r="S87" s="773"/>
      <c r="T87" s="773"/>
      <c r="U87" s="773"/>
      <c r="V87" s="16"/>
      <c r="W87" s="1"/>
    </row>
    <row r="88" spans="1:29">
      <c r="I88" s="573"/>
      <c r="K88" s="597"/>
      <c r="L88" s="597"/>
      <c r="M88" s="597"/>
      <c r="N88" s="597"/>
      <c r="O88" s="597"/>
      <c r="P88" s="597"/>
      <c r="Q88" s="597"/>
      <c r="R88" s="597"/>
      <c r="S88" s="597"/>
      <c r="T88" s="597"/>
      <c r="U88" s="597"/>
      <c r="W88" s="1"/>
    </row>
    <row r="89" spans="1:29">
      <c r="I89" s="731"/>
      <c r="K89" s="597"/>
      <c r="L89" s="597"/>
      <c r="M89" s="597"/>
      <c r="N89" s="597"/>
      <c r="O89" s="597"/>
      <c r="P89" s="597"/>
      <c r="Q89" s="597"/>
      <c r="R89" s="597"/>
      <c r="S89" s="597"/>
      <c r="T89" s="597"/>
      <c r="U89" s="597"/>
      <c r="V89" s="16"/>
      <c r="W89" s="1"/>
      <c r="X89" s="16"/>
      <c r="Y89" s="16"/>
      <c r="Z89" s="16"/>
      <c r="AA89" s="581"/>
      <c r="AB89" s="581"/>
      <c r="AC89" s="581"/>
    </row>
    <row r="90" spans="1:29">
      <c r="C90" s="527"/>
      <c r="I90" s="697"/>
      <c r="K90" s="731"/>
      <c r="M90" s="731"/>
      <c r="O90" s="737"/>
      <c r="Q90" s="697"/>
      <c r="T90" s="16"/>
      <c r="U90" s="726"/>
      <c r="W90" s="1"/>
      <c r="AA90" s="697"/>
    </row>
    <row r="91" spans="1:29">
      <c r="C91" s="527"/>
      <c r="I91" s="697"/>
      <c r="K91" s="731"/>
      <c r="M91" s="731"/>
      <c r="O91" s="731"/>
      <c r="Q91" s="737"/>
      <c r="U91" s="562"/>
      <c r="W91" s="697"/>
      <c r="AA91" s="697"/>
    </row>
    <row r="92" spans="1:29">
      <c r="C92" s="527"/>
      <c r="I92" s="697"/>
      <c r="K92" s="731"/>
      <c r="M92" s="846"/>
      <c r="N92" s="846"/>
      <c r="O92" s="846"/>
      <c r="P92" s="846"/>
      <c r="Q92" s="846"/>
      <c r="R92" s="846"/>
      <c r="S92" s="846"/>
      <c r="U92" s="731"/>
      <c r="W92" s="731"/>
      <c r="AA92" s="697"/>
    </row>
    <row r="93" spans="1:29">
      <c r="C93" s="527"/>
      <c r="K93" s="731"/>
      <c r="M93" s="846"/>
      <c r="N93" s="846"/>
      <c r="O93" s="846"/>
      <c r="P93" s="846"/>
      <c r="Q93" s="846"/>
      <c r="R93" s="846"/>
      <c r="S93" s="846"/>
      <c r="U93" s="731"/>
      <c r="W93" s="731"/>
    </row>
    <row r="94" spans="1:29">
      <c r="C94" s="527"/>
      <c r="K94" s="562"/>
      <c r="M94" s="846"/>
      <c r="N94" s="846"/>
      <c r="O94" s="846"/>
      <c r="P94" s="846"/>
      <c r="Q94" s="846"/>
      <c r="R94" s="846"/>
      <c r="S94" s="846"/>
      <c r="U94" s="731"/>
      <c r="W94" s="731"/>
    </row>
    <row r="95" spans="1:29">
      <c r="C95" s="527"/>
      <c r="K95" s="562"/>
      <c r="M95" s="846"/>
      <c r="N95" s="846"/>
      <c r="O95" s="846"/>
      <c r="P95" s="846"/>
      <c r="Q95" s="846"/>
      <c r="R95" s="846"/>
      <c r="S95" s="846"/>
      <c r="U95" s="731"/>
    </row>
    <row r="96" spans="1:29">
      <c r="C96" s="527"/>
      <c r="M96" s="846"/>
      <c r="N96" s="846"/>
      <c r="O96" s="846"/>
      <c r="P96" s="846"/>
      <c r="Q96" s="846"/>
      <c r="R96" s="846"/>
      <c r="S96" s="846"/>
    </row>
    <row r="97" spans="13:19">
      <c r="M97" s="846"/>
      <c r="N97" s="846"/>
      <c r="O97" s="846"/>
      <c r="P97" s="846"/>
      <c r="Q97" s="846"/>
      <c r="R97" s="846"/>
      <c r="S97" s="846"/>
    </row>
    <row r="98" spans="13:19">
      <c r="M98" s="846"/>
      <c r="N98" s="846"/>
      <c r="O98" s="846"/>
      <c r="P98" s="846"/>
      <c r="Q98" s="846"/>
      <c r="R98" s="846"/>
      <c r="S98" s="846"/>
    </row>
    <row r="99" spans="13:19">
      <c r="M99" s="846"/>
      <c r="N99" s="846"/>
      <c r="O99" s="846"/>
      <c r="P99" s="846"/>
      <c r="Q99" s="846"/>
      <c r="R99" s="846"/>
      <c r="S99" s="846"/>
    </row>
    <row r="100" spans="13:19">
      <c r="M100" s="846"/>
      <c r="N100" s="846"/>
      <c r="O100" s="846"/>
      <c r="P100" s="846"/>
      <c r="Q100" s="846"/>
      <c r="R100" s="846"/>
      <c r="S100" s="846"/>
    </row>
    <row r="101" spans="13:19">
      <c r="M101" s="846"/>
      <c r="N101" s="846"/>
      <c r="O101" s="846"/>
      <c r="P101" s="846"/>
      <c r="Q101" s="846"/>
      <c r="R101" s="846"/>
      <c r="S101" s="846"/>
    </row>
    <row r="102" spans="13:19" ht="15.75" customHeight="1"/>
    <row r="104" spans="13:19" ht="30" customHeight="1"/>
    <row r="108" spans="13:19" ht="15.75" customHeight="1"/>
    <row r="110" spans="13:19" ht="15.75" customHeight="1"/>
    <row r="111" spans="13:19" ht="15" customHeight="1"/>
    <row r="112" spans="13:19" ht="15" customHeight="1"/>
  </sheetData>
  <mergeCells count="5">
    <mergeCell ref="E7:I7"/>
    <mergeCell ref="K7:M7"/>
    <mergeCell ref="C81:I81"/>
    <mergeCell ref="K81:U82"/>
    <mergeCell ref="C83:G83"/>
  </mergeCells>
  <phoneticPr fontId="114" type="noConversion"/>
  <conditionalFormatting sqref="Y12:Y13 U34:U35 U12:U30 U39:U47">
    <cfRule type="expression" dxfId="1" priority="18">
      <formula>$Q12="ARAM"=TRUE</formula>
    </cfRule>
  </conditionalFormatting>
  <conditionalFormatting sqref="W67">
    <cfRule type="expression" dxfId="0" priority="2">
      <formula>$Q67="ARAM"=TRUE</formula>
    </cfRule>
  </conditionalFormatting>
  <dataValidations count="2">
    <dataValidation type="list" allowBlank="1" showInputMessage="1" showErrorMessage="1" sqref="K67 K63 K59 K39:K47 K34:K35 K12:K30" xr:uid="{00000000-0002-0000-1600-000000000000}">
      <formula1>"Protected, Non-protected"</formula1>
    </dataValidation>
    <dataValidation type="list" allowBlank="1" showInputMessage="1" showErrorMessage="1" sqref="M67 M63 M59 M39:M47 M34:M35 M12:M30" xr:uid="{00000000-0002-0000-1600-000001000000}">
      <formula1>"Property, Non-Property"</formula1>
    </dataValidation>
  </dataValidations>
  <pageMargins left="0.25" right="0.25" top="0.75" bottom="0.75" header="0.3" footer="0.3"/>
  <pageSetup scale="34" orientation="landscape"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0">
    <pageSetUpPr fitToPage="1"/>
  </sheetPr>
  <dimension ref="A1:I24"/>
  <sheetViews>
    <sheetView workbookViewId="0">
      <selection activeCell="F22" sqref="F22"/>
    </sheetView>
  </sheetViews>
  <sheetFormatPr defaultColWidth="8.7265625" defaultRowHeight="15"/>
  <cols>
    <col min="1" max="1" width="4.7265625" customWidth="1"/>
    <col min="2" max="2" width="26.7265625" customWidth="1"/>
    <col min="3" max="3" width="26.08984375" customWidth="1"/>
    <col min="5" max="5" width="12.81640625" bestFit="1" customWidth="1"/>
    <col min="6" max="6" width="16.7265625" bestFit="1" customWidth="1"/>
    <col min="8" max="8" width="16.26953125" bestFit="1" customWidth="1"/>
    <col min="9" max="9" width="13.7265625" customWidth="1"/>
  </cols>
  <sheetData>
    <row r="1" spans="1:9" ht="15.6">
      <c r="D1" s="1030"/>
      <c r="E1" s="1030"/>
      <c r="F1" s="1030"/>
      <c r="G1" s="1030"/>
      <c r="I1" s="860" t="s">
        <v>849</v>
      </c>
    </row>
    <row r="2" spans="1:9" ht="15.6">
      <c r="I2" s="860" t="s">
        <v>144</v>
      </c>
    </row>
    <row r="3" spans="1:9" ht="15.6">
      <c r="I3" s="3" t="str">
        <f>'Att. 15a - TCJA DDIT and EDIT'!Y3</f>
        <v>For the 12 months ended 12/31/2022</v>
      </c>
    </row>
    <row r="4" spans="1:9">
      <c r="D4" t="s">
        <v>850</v>
      </c>
    </row>
    <row r="5" spans="1:9" ht="15.6">
      <c r="A5" s="40"/>
      <c r="B5" s="861" t="s">
        <v>392</v>
      </c>
      <c r="C5" s="861" t="s">
        <v>393</v>
      </c>
      <c r="D5" s="861" t="s">
        <v>394</v>
      </c>
      <c r="E5" s="861" t="s">
        <v>395</v>
      </c>
      <c r="F5" s="862" t="s">
        <v>396</v>
      </c>
      <c r="G5" s="862" t="s">
        <v>397</v>
      </c>
      <c r="H5" s="862" t="s">
        <v>398</v>
      </c>
    </row>
    <row r="6" spans="1:9" ht="66">
      <c r="A6" s="863">
        <v>1</v>
      </c>
      <c r="B6" s="864" t="s">
        <v>851</v>
      </c>
      <c r="C6" s="865" t="s">
        <v>232</v>
      </c>
      <c r="D6" s="866" t="s">
        <v>852</v>
      </c>
      <c r="E6" s="867" t="s">
        <v>853</v>
      </c>
      <c r="F6" s="868" t="s">
        <v>854</v>
      </c>
      <c r="G6" s="868" t="s">
        <v>855</v>
      </c>
      <c r="H6" s="869" t="s">
        <v>856</v>
      </c>
    </row>
    <row r="7" spans="1:9">
      <c r="A7" s="863">
        <f t="shared" ref="A7:A20" si="0">A6+1</f>
        <v>2</v>
      </c>
      <c r="B7" s="870" t="s">
        <v>1156</v>
      </c>
      <c r="C7" s="865" t="s">
        <v>857</v>
      </c>
      <c r="D7" s="871">
        <v>0</v>
      </c>
      <c r="E7" s="872"/>
      <c r="F7" s="873"/>
      <c r="G7" s="873"/>
      <c r="H7" s="873">
        <v>0</v>
      </c>
    </row>
    <row r="8" spans="1:9">
      <c r="A8" s="863">
        <f t="shared" si="0"/>
        <v>3</v>
      </c>
      <c r="B8" s="874" t="s">
        <v>858</v>
      </c>
      <c r="C8" s="865" t="s">
        <v>859</v>
      </c>
      <c r="D8" s="875">
        <f>D7-1</f>
        <v>-1</v>
      </c>
      <c r="E8" s="876">
        <f>H7</f>
        <v>0</v>
      </c>
      <c r="F8" s="877">
        <f>E8/D8</f>
        <v>0</v>
      </c>
      <c r="G8" s="877">
        <v>0</v>
      </c>
      <c r="H8" s="877">
        <f t="shared" ref="H8:H19" si="1">E8-F8+G8</f>
        <v>0</v>
      </c>
    </row>
    <row r="9" spans="1:9">
      <c r="A9" s="863">
        <f t="shared" si="0"/>
        <v>4</v>
      </c>
      <c r="B9" s="874" t="s">
        <v>159</v>
      </c>
      <c r="C9" s="865" t="s">
        <v>859</v>
      </c>
      <c r="D9" s="875">
        <f t="shared" ref="D9:D19" si="2">D8-1</f>
        <v>-2</v>
      </c>
      <c r="E9" s="876">
        <f t="shared" ref="E9:E19" si="3">H8</f>
        <v>0</v>
      </c>
      <c r="F9" s="877">
        <f t="shared" ref="F9:F19" si="4">E9/D9</f>
        <v>0</v>
      </c>
      <c r="G9" s="877">
        <v>0</v>
      </c>
      <c r="H9" s="877">
        <f t="shared" si="1"/>
        <v>0</v>
      </c>
    </row>
    <row r="10" spans="1:9">
      <c r="A10" s="863">
        <f t="shared" si="0"/>
        <v>5</v>
      </c>
      <c r="B10" s="874" t="s">
        <v>160</v>
      </c>
      <c r="C10" s="865" t="s">
        <v>859</v>
      </c>
      <c r="D10" s="875">
        <f t="shared" si="2"/>
        <v>-3</v>
      </c>
      <c r="E10" s="876">
        <f t="shared" si="3"/>
        <v>0</v>
      </c>
      <c r="F10" s="877">
        <f t="shared" si="4"/>
        <v>0</v>
      </c>
      <c r="G10" s="877">
        <v>0</v>
      </c>
      <c r="H10" s="877">
        <f t="shared" si="1"/>
        <v>0</v>
      </c>
    </row>
    <row r="11" spans="1:9">
      <c r="A11" s="863">
        <f t="shared" si="0"/>
        <v>6</v>
      </c>
      <c r="B11" s="874" t="s">
        <v>161</v>
      </c>
      <c r="C11" s="865" t="s">
        <v>859</v>
      </c>
      <c r="D11" s="875">
        <f t="shared" si="2"/>
        <v>-4</v>
      </c>
      <c r="E11" s="876">
        <f t="shared" si="3"/>
        <v>0</v>
      </c>
      <c r="F11" s="877">
        <f t="shared" si="4"/>
        <v>0</v>
      </c>
      <c r="G11" s="877">
        <v>0</v>
      </c>
      <c r="H11" s="877">
        <f t="shared" si="1"/>
        <v>0</v>
      </c>
    </row>
    <row r="12" spans="1:9">
      <c r="A12" s="863">
        <f t="shared" si="0"/>
        <v>7</v>
      </c>
      <c r="B12" s="874" t="s">
        <v>162</v>
      </c>
      <c r="C12" s="865" t="s">
        <v>859</v>
      </c>
      <c r="D12" s="875">
        <f t="shared" si="2"/>
        <v>-5</v>
      </c>
      <c r="E12" s="876">
        <f t="shared" si="3"/>
        <v>0</v>
      </c>
      <c r="F12" s="877">
        <f t="shared" si="4"/>
        <v>0</v>
      </c>
      <c r="G12" s="877">
        <v>0</v>
      </c>
      <c r="H12" s="877">
        <f t="shared" si="1"/>
        <v>0</v>
      </c>
    </row>
    <row r="13" spans="1:9">
      <c r="A13" s="863">
        <f t="shared" si="0"/>
        <v>8</v>
      </c>
      <c r="B13" s="874" t="s">
        <v>860</v>
      </c>
      <c r="C13" s="865" t="s">
        <v>859</v>
      </c>
      <c r="D13" s="875">
        <f t="shared" si="2"/>
        <v>-6</v>
      </c>
      <c r="E13" s="876">
        <f t="shared" si="3"/>
        <v>0</v>
      </c>
      <c r="F13" s="877">
        <f t="shared" si="4"/>
        <v>0</v>
      </c>
      <c r="G13" s="877">
        <v>0</v>
      </c>
      <c r="H13" s="877">
        <f t="shared" si="1"/>
        <v>0</v>
      </c>
    </row>
    <row r="14" spans="1:9">
      <c r="A14" s="863">
        <f t="shared" si="0"/>
        <v>9</v>
      </c>
      <c r="B14" s="874" t="s">
        <v>163</v>
      </c>
      <c r="C14" s="865" t="s">
        <v>859</v>
      </c>
      <c r="D14" s="875">
        <f t="shared" si="2"/>
        <v>-7</v>
      </c>
      <c r="E14" s="876">
        <f t="shared" si="3"/>
        <v>0</v>
      </c>
      <c r="F14" s="877">
        <f t="shared" si="4"/>
        <v>0</v>
      </c>
      <c r="G14" s="877">
        <v>0</v>
      </c>
      <c r="H14" s="877">
        <f t="shared" si="1"/>
        <v>0</v>
      </c>
    </row>
    <row r="15" spans="1:9">
      <c r="A15" s="863">
        <f t="shared" si="0"/>
        <v>10</v>
      </c>
      <c r="B15" s="874" t="s">
        <v>164</v>
      </c>
      <c r="C15" s="865" t="s">
        <v>859</v>
      </c>
      <c r="D15" s="875">
        <f t="shared" si="2"/>
        <v>-8</v>
      </c>
      <c r="E15" s="876">
        <f t="shared" si="3"/>
        <v>0</v>
      </c>
      <c r="F15" s="877">
        <f t="shared" si="4"/>
        <v>0</v>
      </c>
      <c r="G15" s="877">
        <v>0</v>
      </c>
      <c r="H15" s="877">
        <f t="shared" si="1"/>
        <v>0</v>
      </c>
    </row>
    <row r="16" spans="1:9">
      <c r="A16" s="863">
        <f t="shared" si="0"/>
        <v>11</v>
      </c>
      <c r="B16" s="874" t="s">
        <v>165</v>
      </c>
      <c r="C16" s="865" t="s">
        <v>859</v>
      </c>
      <c r="D16" s="875">
        <f t="shared" si="2"/>
        <v>-9</v>
      </c>
      <c r="E16" s="876">
        <f t="shared" si="3"/>
        <v>0</v>
      </c>
      <c r="F16" s="877">
        <f t="shared" si="4"/>
        <v>0</v>
      </c>
      <c r="G16" s="877">
        <v>0</v>
      </c>
      <c r="H16" s="877">
        <f t="shared" si="1"/>
        <v>0</v>
      </c>
    </row>
    <row r="17" spans="1:9">
      <c r="A17" s="863">
        <f t="shared" si="0"/>
        <v>12</v>
      </c>
      <c r="B17" s="874" t="s">
        <v>861</v>
      </c>
      <c r="C17" s="865" t="s">
        <v>859</v>
      </c>
      <c r="D17" s="875">
        <f t="shared" si="2"/>
        <v>-10</v>
      </c>
      <c r="E17" s="876">
        <f t="shared" si="3"/>
        <v>0</v>
      </c>
      <c r="F17" s="877">
        <f t="shared" si="4"/>
        <v>0</v>
      </c>
      <c r="G17" s="877">
        <v>0</v>
      </c>
      <c r="H17" s="877">
        <f t="shared" si="1"/>
        <v>0</v>
      </c>
    </row>
    <row r="18" spans="1:9">
      <c r="A18" s="863">
        <f t="shared" si="0"/>
        <v>13</v>
      </c>
      <c r="B18" s="874" t="s">
        <v>166</v>
      </c>
      <c r="C18" s="865" t="s">
        <v>859</v>
      </c>
      <c r="D18" s="875">
        <f t="shared" si="2"/>
        <v>-11</v>
      </c>
      <c r="E18" s="876">
        <f t="shared" si="3"/>
        <v>0</v>
      </c>
      <c r="F18" s="877">
        <f t="shared" si="4"/>
        <v>0</v>
      </c>
      <c r="G18" s="877">
        <v>0</v>
      </c>
      <c r="H18" s="877">
        <f t="shared" si="1"/>
        <v>0</v>
      </c>
    </row>
    <row r="19" spans="1:9" ht="34.5" customHeight="1">
      <c r="A19" s="863">
        <f t="shared" si="0"/>
        <v>14</v>
      </c>
      <c r="B19" s="870" t="s">
        <v>1160</v>
      </c>
      <c r="C19" s="878" t="s">
        <v>862</v>
      </c>
      <c r="D19" s="875">
        <f t="shared" si="2"/>
        <v>-12</v>
      </c>
      <c r="E19" s="876">
        <f t="shared" si="3"/>
        <v>0</v>
      </c>
      <c r="F19" s="879">
        <f t="shared" si="4"/>
        <v>0</v>
      </c>
      <c r="G19" s="877">
        <v>0</v>
      </c>
      <c r="H19" s="879">
        <f t="shared" si="1"/>
        <v>0</v>
      </c>
    </row>
    <row r="20" spans="1:9" ht="15.6" thickBot="1">
      <c r="A20" s="863">
        <f t="shared" si="0"/>
        <v>15</v>
      </c>
      <c r="B20" s="880" t="s">
        <v>863</v>
      </c>
      <c r="C20" s="865" t="str">
        <f>"(sum lines "&amp;A7&amp;"-"&amp;A19&amp;") /13"</f>
        <v>(sum lines 2-14) /13</v>
      </c>
      <c r="D20" s="917"/>
      <c r="E20" s="917"/>
      <c r="F20" s="918">
        <f>SUM(F7:F19)</f>
        <v>0</v>
      </c>
      <c r="G20" s="877"/>
      <c r="H20" s="918">
        <f>SUM(H7:H19)/13</f>
        <v>0</v>
      </c>
    </row>
    <row r="21" spans="1:9" ht="15.6" thickTop="1">
      <c r="A21" s="863"/>
      <c r="B21" s="880"/>
      <c r="C21" s="865"/>
      <c r="D21" s="917"/>
      <c r="E21" s="917"/>
      <c r="F21" s="919" t="s">
        <v>870</v>
      </c>
      <c r="G21" s="877"/>
      <c r="H21" s="920" t="s">
        <v>872</v>
      </c>
    </row>
    <row r="23" spans="1:9">
      <c r="A23" s="145" t="s">
        <v>114</v>
      </c>
    </row>
    <row r="24" spans="1:9" ht="15.6">
      <c r="A24" s="881"/>
      <c r="B24" s="1031" t="s">
        <v>864</v>
      </c>
      <c r="C24" s="1031"/>
      <c r="D24" s="1031"/>
      <c r="E24" s="1031"/>
      <c r="F24" s="1031"/>
      <c r="G24" s="1031"/>
      <c r="H24" s="1031"/>
      <c r="I24" s="1031"/>
    </row>
  </sheetData>
  <mergeCells count="2">
    <mergeCell ref="D1:G1"/>
    <mergeCell ref="B24:I24"/>
  </mergeCells>
  <pageMargins left="0.7" right="0.7" top="0.75" bottom="0.75" header="0.3" footer="0.3"/>
  <pageSetup scale="76"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pageSetUpPr fitToPage="1"/>
  </sheetPr>
  <dimension ref="A1:AU37"/>
  <sheetViews>
    <sheetView zoomScale="80" zoomScaleNormal="80" zoomScalePageLayoutView="60" workbookViewId="0">
      <selection activeCell="F22" sqref="F22"/>
    </sheetView>
  </sheetViews>
  <sheetFormatPr defaultColWidth="5" defaultRowHeight="15.6"/>
  <cols>
    <col min="1" max="1" width="5.26953125" style="605" bestFit="1" customWidth="1"/>
    <col min="2" max="2" width="2.08984375" style="604" bestFit="1" customWidth="1"/>
    <col min="3" max="3" width="13.7265625" style="604" customWidth="1"/>
    <col min="4" max="4" width="2.08984375" style="604" bestFit="1" customWidth="1"/>
    <col min="5" max="5" width="35" style="606" customWidth="1"/>
    <col min="6" max="6" width="2.08984375" style="604" bestFit="1" customWidth="1"/>
    <col min="7" max="7" width="12.7265625" style="625" bestFit="1" customWidth="1"/>
    <col min="8" max="8" width="2.08984375" style="604" bestFit="1" customWidth="1"/>
    <col min="9" max="9" width="10.7265625" style="625" bestFit="1" customWidth="1"/>
    <col min="10" max="10" width="2.08984375" style="604" bestFit="1" customWidth="1"/>
    <col min="11" max="11" width="10.7265625" style="625" bestFit="1" customWidth="1"/>
    <col min="12" max="12" width="2.08984375" style="604" bestFit="1" customWidth="1"/>
    <col min="13" max="13" width="10.7265625" style="625" bestFit="1" customWidth="1"/>
    <col min="14" max="14" width="2.08984375" style="604" bestFit="1" customWidth="1"/>
    <col min="15" max="15" width="10.7265625" style="606" customWidth="1"/>
    <col min="16" max="16" width="2.08984375" style="604" bestFit="1" customWidth="1"/>
    <col min="17" max="17" width="10.7265625" style="606" customWidth="1"/>
    <col min="18" max="18" width="2.08984375" style="604" bestFit="1" customWidth="1"/>
    <col min="19" max="19" width="10.7265625" style="606" customWidth="1"/>
    <col min="20" max="20" width="2.08984375" style="604" bestFit="1" customWidth="1"/>
    <col min="21" max="21" width="10.7265625" style="606" customWidth="1"/>
    <col min="22" max="22" width="2.08984375" style="604" bestFit="1" customWidth="1"/>
    <col min="23" max="23" width="10.7265625" style="606" customWidth="1"/>
    <col min="24" max="24" width="2.08984375" style="604" bestFit="1" customWidth="1"/>
    <col min="25" max="25" width="10.7265625" style="606" customWidth="1"/>
    <col min="26" max="26" width="2.08984375" style="604" bestFit="1" customWidth="1"/>
    <col min="27" max="27" width="10.7265625" style="606" customWidth="1"/>
    <col min="28" max="28" width="2.08984375" style="604" bestFit="1" customWidth="1"/>
    <col min="29" max="29" width="10.7265625" style="606" customWidth="1"/>
    <col min="30" max="30" width="2.08984375" style="604" bestFit="1" customWidth="1"/>
    <col min="31" max="31" width="10.7265625" style="606" customWidth="1"/>
    <col min="32" max="32" width="2.08984375" style="604" bestFit="1" customWidth="1"/>
    <col min="33" max="33" width="10.7265625" style="606" customWidth="1"/>
    <col min="34" max="34" width="2.08984375" style="604" bestFit="1" customWidth="1"/>
    <col min="35" max="35" width="10.7265625" style="606" customWidth="1"/>
    <col min="36" max="36" width="2.08984375" style="604" bestFit="1" customWidth="1"/>
    <col min="37" max="37" width="10.7265625" style="606" customWidth="1"/>
    <col min="38" max="38" width="2.08984375" style="604" bestFit="1" customWidth="1"/>
    <col min="39" max="39" width="10.7265625" style="605" customWidth="1"/>
    <col min="40" max="40" width="2.08984375" style="604" bestFit="1" customWidth="1"/>
    <col min="41" max="41" width="10.7265625" style="605" customWidth="1"/>
    <col min="42" max="42" width="2.08984375" style="604" bestFit="1" customWidth="1"/>
    <col min="43" max="44" width="8.26953125" style="605" customWidth="1"/>
    <col min="45" max="45" width="2.08984375" style="604" bestFit="1" customWidth="1"/>
    <col min="46" max="46" width="10.7265625" style="604" customWidth="1"/>
    <col min="47" max="47" width="0.54296875" style="604" customWidth="1"/>
    <col min="48" max="261" width="5" style="604"/>
    <col min="262" max="262" width="4.7265625" style="604" customWidth="1"/>
    <col min="263" max="263" width="2" style="604" customWidth="1"/>
    <col min="264" max="264" width="40.7265625" style="604" customWidth="1"/>
    <col min="265" max="265" width="3.54296875" style="604" customWidth="1"/>
    <col min="266" max="266" width="11.08984375" style="604" customWidth="1"/>
    <col min="267" max="267" width="2.7265625" style="604" customWidth="1"/>
    <col min="268" max="268" width="11.26953125" style="604" customWidth="1"/>
    <col min="269" max="269" width="2.7265625" style="604" customWidth="1"/>
    <col min="270" max="270" width="11.26953125" style="604" customWidth="1"/>
    <col min="271" max="271" width="2.7265625" style="604" customWidth="1"/>
    <col min="272" max="272" width="19.08984375" style="604" bestFit="1" customWidth="1"/>
    <col min="273" max="273" width="1.81640625" style="604" customWidth="1"/>
    <col min="274" max="274" width="6.7265625" style="604" customWidth="1"/>
    <col min="275" max="275" width="14.7265625" style="604" customWidth="1"/>
    <col min="276" max="276" width="9" style="604" bestFit="1" customWidth="1"/>
    <col min="277" max="517" width="5" style="604"/>
    <col min="518" max="518" width="4.7265625" style="604" customWidth="1"/>
    <col min="519" max="519" width="2" style="604" customWidth="1"/>
    <col min="520" max="520" width="40.7265625" style="604" customWidth="1"/>
    <col min="521" max="521" width="3.54296875" style="604" customWidth="1"/>
    <col min="522" max="522" width="11.08984375" style="604" customWidth="1"/>
    <col min="523" max="523" width="2.7265625" style="604" customWidth="1"/>
    <col min="524" max="524" width="11.26953125" style="604" customWidth="1"/>
    <col min="525" max="525" width="2.7265625" style="604" customWidth="1"/>
    <col min="526" max="526" width="11.26953125" style="604" customWidth="1"/>
    <col min="527" max="527" width="2.7265625" style="604" customWidth="1"/>
    <col min="528" max="528" width="19.08984375" style="604" bestFit="1" customWidth="1"/>
    <col min="529" max="529" width="1.81640625" style="604" customWidth="1"/>
    <col min="530" max="530" width="6.7265625" style="604" customWidth="1"/>
    <col min="531" max="531" width="14.7265625" style="604" customWidth="1"/>
    <col min="532" max="532" width="9" style="604" bestFit="1" customWidth="1"/>
    <col min="533" max="773" width="5" style="604"/>
    <col min="774" max="774" width="4.7265625" style="604" customWidth="1"/>
    <col min="775" max="775" width="2" style="604" customWidth="1"/>
    <col min="776" max="776" width="40.7265625" style="604" customWidth="1"/>
    <col min="777" max="777" width="3.54296875" style="604" customWidth="1"/>
    <col min="778" max="778" width="11.08984375" style="604" customWidth="1"/>
    <col min="779" max="779" width="2.7265625" style="604" customWidth="1"/>
    <col min="780" max="780" width="11.26953125" style="604" customWidth="1"/>
    <col min="781" max="781" width="2.7265625" style="604" customWidth="1"/>
    <col min="782" max="782" width="11.26953125" style="604" customWidth="1"/>
    <col min="783" max="783" width="2.7265625" style="604" customWidth="1"/>
    <col min="784" max="784" width="19.08984375" style="604" bestFit="1" customWidth="1"/>
    <col min="785" max="785" width="1.81640625" style="604" customWidth="1"/>
    <col min="786" max="786" width="6.7265625" style="604" customWidth="1"/>
    <col min="787" max="787" width="14.7265625" style="604" customWidth="1"/>
    <col min="788" max="788" width="9" style="604" bestFit="1" customWidth="1"/>
    <col min="789" max="1029" width="5" style="604"/>
    <col min="1030" max="1030" width="4.7265625" style="604" customWidth="1"/>
    <col min="1031" max="1031" width="2" style="604" customWidth="1"/>
    <col min="1032" max="1032" width="40.7265625" style="604" customWidth="1"/>
    <col min="1033" max="1033" width="3.54296875" style="604" customWidth="1"/>
    <col min="1034" max="1034" width="11.08984375" style="604" customWidth="1"/>
    <col min="1035" max="1035" width="2.7265625" style="604" customWidth="1"/>
    <col min="1036" max="1036" width="11.26953125" style="604" customWidth="1"/>
    <col min="1037" max="1037" width="2.7265625" style="604" customWidth="1"/>
    <col min="1038" max="1038" width="11.26953125" style="604" customWidth="1"/>
    <col min="1039" max="1039" width="2.7265625" style="604" customWidth="1"/>
    <col min="1040" max="1040" width="19.08984375" style="604" bestFit="1" customWidth="1"/>
    <col min="1041" max="1041" width="1.81640625" style="604" customWidth="1"/>
    <col min="1042" max="1042" width="6.7265625" style="604" customWidth="1"/>
    <col min="1043" max="1043" width="14.7265625" style="604" customWidth="1"/>
    <col min="1044" max="1044" width="9" style="604" bestFit="1" customWidth="1"/>
    <col min="1045" max="1285" width="5" style="604"/>
    <col min="1286" max="1286" width="4.7265625" style="604" customWidth="1"/>
    <col min="1287" max="1287" width="2" style="604" customWidth="1"/>
    <col min="1288" max="1288" width="40.7265625" style="604" customWidth="1"/>
    <col min="1289" max="1289" width="3.54296875" style="604" customWidth="1"/>
    <col min="1290" max="1290" width="11.08984375" style="604" customWidth="1"/>
    <col min="1291" max="1291" width="2.7265625" style="604" customWidth="1"/>
    <col min="1292" max="1292" width="11.26953125" style="604" customWidth="1"/>
    <col min="1293" max="1293" width="2.7265625" style="604" customWidth="1"/>
    <col min="1294" max="1294" width="11.26953125" style="604" customWidth="1"/>
    <col min="1295" max="1295" width="2.7265625" style="604" customWidth="1"/>
    <col min="1296" max="1296" width="19.08984375" style="604" bestFit="1" customWidth="1"/>
    <col min="1297" max="1297" width="1.81640625" style="604" customWidth="1"/>
    <col min="1298" max="1298" width="6.7265625" style="604" customWidth="1"/>
    <col min="1299" max="1299" width="14.7265625" style="604" customWidth="1"/>
    <col min="1300" max="1300" width="9" style="604" bestFit="1" customWidth="1"/>
    <col min="1301" max="1541" width="5" style="604"/>
    <col min="1542" max="1542" width="4.7265625" style="604" customWidth="1"/>
    <col min="1543" max="1543" width="2" style="604" customWidth="1"/>
    <col min="1544" max="1544" width="40.7265625" style="604" customWidth="1"/>
    <col min="1545" max="1545" width="3.54296875" style="604" customWidth="1"/>
    <col min="1546" max="1546" width="11.08984375" style="604" customWidth="1"/>
    <col min="1547" max="1547" width="2.7265625" style="604" customWidth="1"/>
    <col min="1548" max="1548" width="11.26953125" style="604" customWidth="1"/>
    <col min="1549" max="1549" width="2.7265625" style="604" customWidth="1"/>
    <col min="1550" max="1550" width="11.26953125" style="604" customWidth="1"/>
    <col min="1551" max="1551" width="2.7265625" style="604" customWidth="1"/>
    <col min="1552" max="1552" width="19.08984375" style="604" bestFit="1" customWidth="1"/>
    <col min="1553" max="1553" width="1.81640625" style="604" customWidth="1"/>
    <col min="1554" max="1554" width="6.7265625" style="604" customWidth="1"/>
    <col min="1555" max="1555" width="14.7265625" style="604" customWidth="1"/>
    <col min="1556" max="1556" width="9" style="604" bestFit="1" customWidth="1"/>
    <col min="1557" max="1797" width="5" style="604"/>
    <col min="1798" max="1798" width="4.7265625" style="604" customWidth="1"/>
    <col min="1799" max="1799" width="2" style="604" customWidth="1"/>
    <col min="1800" max="1800" width="40.7265625" style="604" customWidth="1"/>
    <col min="1801" max="1801" width="3.54296875" style="604" customWidth="1"/>
    <col min="1802" max="1802" width="11.08984375" style="604" customWidth="1"/>
    <col min="1803" max="1803" width="2.7265625" style="604" customWidth="1"/>
    <col min="1804" max="1804" width="11.26953125" style="604" customWidth="1"/>
    <col min="1805" max="1805" width="2.7265625" style="604" customWidth="1"/>
    <col min="1806" max="1806" width="11.26953125" style="604" customWidth="1"/>
    <col min="1807" max="1807" width="2.7265625" style="604" customWidth="1"/>
    <col min="1808" max="1808" width="19.08984375" style="604" bestFit="1" customWidth="1"/>
    <col min="1809" max="1809" width="1.81640625" style="604" customWidth="1"/>
    <col min="1810" max="1810" width="6.7265625" style="604" customWidth="1"/>
    <col min="1811" max="1811" width="14.7265625" style="604" customWidth="1"/>
    <col min="1812" max="1812" width="9" style="604" bestFit="1" customWidth="1"/>
    <col min="1813" max="2053" width="5" style="604"/>
    <col min="2054" max="2054" width="4.7265625" style="604" customWidth="1"/>
    <col min="2055" max="2055" width="2" style="604" customWidth="1"/>
    <col min="2056" max="2056" width="40.7265625" style="604" customWidth="1"/>
    <col min="2057" max="2057" width="3.54296875" style="604" customWidth="1"/>
    <col min="2058" max="2058" width="11.08984375" style="604" customWidth="1"/>
    <col min="2059" max="2059" width="2.7265625" style="604" customWidth="1"/>
    <col min="2060" max="2060" width="11.26953125" style="604" customWidth="1"/>
    <col min="2061" max="2061" width="2.7265625" style="604" customWidth="1"/>
    <col min="2062" max="2062" width="11.26953125" style="604" customWidth="1"/>
    <col min="2063" max="2063" width="2.7265625" style="604" customWidth="1"/>
    <col min="2064" max="2064" width="19.08984375" style="604" bestFit="1" customWidth="1"/>
    <col min="2065" max="2065" width="1.81640625" style="604" customWidth="1"/>
    <col min="2066" max="2066" width="6.7265625" style="604" customWidth="1"/>
    <col min="2067" max="2067" width="14.7265625" style="604" customWidth="1"/>
    <col min="2068" max="2068" width="9" style="604" bestFit="1" customWidth="1"/>
    <col min="2069" max="2309" width="5" style="604"/>
    <col min="2310" max="2310" width="4.7265625" style="604" customWidth="1"/>
    <col min="2311" max="2311" width="2" style="604" customWidth="1"/>
    <col min="2312" max="2312" width="40.7265625" style="604" customWidth="1"/>
    <col min="2313" max="2313" width="3.54296875" style="604" customWidth="1"/>
    <col min="2314" max="2314" width="11.08984375" style="604" customWidth="1"/>
    <col min="2315" max="2315" width="2.7265625" style="604" customWidth="1"/>
    <col min="2316" max="2316" width="11.26953125" style="604" customWidth="1"/>
    <col min="2317" max="2317" width="2.7265625" style="604" customWidth="1"/>
    <col min="2318" max="2318" width="11.26953125" style="604" customWidth="1"/>
    <col min="2319" max="2319" width="2.7265625" style="604" customWidth="1"/>
    <col min="2320" max="2320" width="19.08984375" style="604" bestFit="1" customWidth="1"/>
    <col min="2321" max="2321" width="1.81640625" style="604" customWidth="1"/>
    <col min="2322" max="2322" width="6.7265625" style="604" customWidth="1"/>
    <col min="2323" max="2323" width="14.7265625" style="604" customWidth="1"/>
    <col min="2324" max="2324" width="9" style="604" bestFit="1" customWidth="1"/>
    <col min="2325" max="2565" width="5" style="604"/>
    <col min="2566" max="2566" width="4.7265625" style="604" customWidth="1"/>
    <col min="2567" max="2567" width="2" style="604" customWidth="1"/>
    <col min="2568" max="2568" width="40.7265625" style="604" customWidth="1"/>
    <col min="2569" max="2569" width="3.54296875" style="604" customWidth="1"/>
    <col min="2570" max="2570" width="11.08984375" style="604" customWidth="1"/>
    <col min="2571" max="2571" width="2.7265625" style="604" customWidth="1"/>
    <col min="2572" max="2572" width="11.26953125" style="604" customWidth="1"/>
    <col min="2573" max="2573" width="2.7265625" style="604" customWidth="1"/>
    <col min="2574" max="2574" width="11.26953125" style="604" customWidth="1"/>
    <col min="2575" max="2575" width="2.7265625" style="604" customWidth="1"/>
    <col min="2576" max="2576" width="19.08984375" style="604" bestFit="1" customWidth="1"/>
    <col min="2577" max="2577" width="1.81640625" style="604" customWidth="1"/>
    <col min="2578" max="2578" width="6.7265625" style="604" customWidth="1"/>
    <col min="2579" max="2579" width="14.7265625" style="604" customWidth="1"/>
    <col min="2580" max="2580" width="9" style="604" bestFit="1" customWidth="1"/>
    <col min="2581" max="2821" width="5" style="604"/>
    <col min="2822" max="2822" width="4.7265625" style="604" customWidth="1"/>
    <col min="2823" max="2823" width="2" style="604" customWidth="1"/>
    <col min="2824" max="2824" width="40.7265625" style="604" customWidth="1"/>
    <col min="2825" max="2825" width="3.54296875" style="604" customWidth="1"/>
    <col min="2826" max="2826" width="11.08984375" style="604" customWidth="1"/>
    <col min="2827" max="2827" width="2.7265625" style="604" customWidth="1"/>
    <col min="2828" max="2828" width="11.26953125" style="604" customWidth="1"/>
    <col min="2829" max="2829" width="2.7265625" style="604" customWidth="1"/>
    <col min="2830" max="2830" width="11.26953125" style="604" customWidth="1"/>
    <col min="2831" max="2831" width="2.7265625" style="604" customWidth="1"/>
    <col min="2832" max="2832" width="19.08984375" style="604" bestFit="1" customWidth="1"/>
    <col min="2833" max="2833" width="1.81640625" style="604" customWidth="1"/>
    <col min="2834" max="2834" width="6.7265625" style="604" customWidth="1"/>
    <col min="2835" max="2835" width="14.7265625" style="604" customWidth="1"/>
    <col min="2836" max="2836" width="9" style="604" bestFit="1" customWidth="1"/>
    <col min="2837" max="3077" width="5" style="604"/>
    <col min="3078" max="3078" width="4.7265625" style="604" customWidth="1"/>
    <col min="3079" max="3079" width="2" style="604" customWidth="1"/>
    <col min="3080" max="3080" width="40.7265625" style="604" customWidth="1"/>
    <col min="3081" max="3081" width="3.54296875" style="604" customWidth="1"/>
    <col min="3082" max="3082" width="11.08984375" style="604" customWidth="1"/>
    <col min="3083" max="3083" width="2.7265625" style="604" customWidth="1"/>
    <col min="3084" max="3084" width="11.26953125" style="604" customWidth="1"/>
    <col min="3085" max="3085" width="2.7265625" style="604" customWidth="1"/>
    <col min="3086" max="3086" width="11.26953125" style="604" customWidth="1"/>
    <col min="3087" max="3087" width="2.7265625" style="604" customWidth="1"/>
    <col min="3088" max="3088" width="19.08984375" style="604" bestFit="1" customWidth="1"/>
    <col min="3089" max="3089" width="1.81640625" style="604" customWidth="1"/>
    <col min="3090" max="3090" width="6.7265625" style="604" customWidth="1"/>
    <col min="3091" max="3091" width="14.7265625" style="604" customWidth="1"/>
    <col min="3092" max="3092" width="9" style="604" bestFit="1" customWidth="1"/>
    <col min="3093" max="3333" width="5" style="604"/>
    <col min="3334" max="3334" width="4.7265625" style="604" customWidth="1"/>
    <col min="3335" max="3335" width="2" style="604" customWidth="1"/>
    <col min="3336" max="3336" width="40.7265625" style="604" customWidth="1"/>
    <col min="3337" max="3337" width="3.54296875" style="604" customWidth="1"/>
    <col min="3338" max="3338" width="11.08984375" style="604" customWidth="1"/>
    <col min="3339" max="3339" width="2.7265625" style="604" customWidth="1"/>
    <col min="3340" max="3340" width="11.26953125" style="604" customWidth="1"/>
    <col min="3341" max="3341" width="2.7265625" style="604" customWidth="1"/>
    <col min="3342" max="3342" width="11.26953125" style="604" customWidth="1"/>
    <col min="3343" max="3343" width="2.7265625" style="604" customWidth="1"/>
    <col min="3344" max="3344" width="19.08984375" style="604" bestFit="1" customWidth="1"/>
    <col min="3345" max="3345" width="1.81640625" style="604" customWidth="1"/>
    <col min="3346" max="3346" width="6.7265625" style="604" customWidth="1"/>
    <col min="3347" max="3347" width="14.7265625" style="604" customWidth="1"/>
    <col min="3348" max="3348" width="9" style="604" bestFit="1" customWidth="1"/>
    <col min="3349" max="3589" width="5" style="604"/>
    <col min="3590" max="3590" width="4.7265625" style="604" customWidth="1"/>
    <col min="3591" max="3591" width="2" style="604" customWidth="1"/>
    <col min="3592" max="3592" width="40.7265625" style="604" customWidth="1"/>
    <col min="3593" max="3593" width="3.54296875" style="604" customWidth="1"/>
    <col min="3594" max="3594" width="11.08984375" style="604" customWidth="1"/>
    <col min="3595" max="3595" width="2.7265625" style="604" customWidth="1"/>
    <col min="3596" max="3596" width="11.26953125" style="604" customWidth="1"/>
    <col min="3597" max="3597" width="2.7265625" style="604" customWidth="1"/>
    <col min="3598" max="3598" width="11.26953125" style="604" customWidth="1"/>
    <col min="3599" max="3599" width="2.7265625" style="604" customWidth="1"/>
    <col min="3600" max="3600" width="19.08984375" style="604" bestFit="1" customWidth="1"/>
    <col min="3601" max="3601" width="1.81640625" style="604" customWidth="1"/>
    <col min="3602" max="3602" width="6.7265625" style="604" customWidth="1"/>
    <col min="3603" max="3603" width="14.7265625" style="604" customWidth="1"/>
    <col min="3604" max="3604" width="9" style="604" bestFit="1" customWidth="1"/>
    <col min="3605" max="3845" width="5" style="604"/>
    <col min="3846" max="3846" width="4.7265625" style="604" customWidth="1"/>
    <col min="3847" max="3847" width="2" style="604" customWidth="1"/>
    <col min="3848" max="3848" width="40.7265625" style="604" customWidth="1"/>
    <col min="3849" max="3849" width="3.54296875" style="604" customWidth="1"/>
    <col min="3850" max="3850" width="11.08984375" style="604" customWidth="1"/>
    <col min="3851" max="3851" width="2.7265625" style="604" customWidth="1"/>
    <col min="3852" max="3852" width="11.26953125" style="604" customWidth="1"/>
    <col min="3853" max="3853" width="2.7265625" style="604" customWidth="1"/>
    <col min="3854" max="3854" width="11.26953125" style="604" customWidth="1"/>
    <col min="3855" max="3855" width="2.7265625" style="604" customWidth="1"/>
    <col min="3856" max="3856" width="19.08984375" style="604" bestFit="1" customWidth="1"/>
    <col min="3857" max="3857" width="1.81640625" style="604" customWidth="1"/>
    <col min="3858" max="3858" width="6.7265625" style="604" customWidth="1"/>
    <col min="3859" max="3859" width="14.7265625" style="604" customWidth="1"/>
    <col min="3860" max="3860" width="9" style="604" bestFit="1" customWidth="1"/>
    <col min="3861" max="4101" width="5" style="604"/>
    <col min="4102" max="4102" width="4.7265625" style="604" customWidth="1"/>
    <col min="4103" max="4103" width="2" style="604" customWidth="1"/>
    <col min="4104" max="4104" width="40.7265625" style="604" customWidth="1"/>
    <col min="4105" max="4105" width="3.54296875" style="604" customWidth="1"/>
    <col min="4106" max="4106" width="11.08984375" style="604" customWidth="1"/>
    <col min="4107" max="4107" width="2.7265625" style="604" customWidth="1"/>
    <col min="4108" max="4108" width="11.26953125" style="604" customWidth="1"/>
    <col min="4109" max="4109" width="2.7265625" style="604" customWidth="1"/>
    <col min="4110" max="4110" width="11.26953125" style="604" customWidth="1"/>
    <col min="4111" max="4111" width="2.7265625" style="604" customWidth="1"/>
    <col min="4112" max="4112" width="19.08984375" style="604" bestFit="1" customWidth="1"/>
    <col min="4113" max="4113" width="1.81640625" style="604" customWidth="1"/>
    <col min="4114" max="4114" width="6.7265625" style="604" customWidth="1"/>
    <col min="4115" max="4115" width="14.7265625" style="604" customWidth="1"/>
    <col min="4116" max="4116" width="9" style="604" bestFit="1" customWidth="1"/>
    <col min="4117" max="4357" width="5" style="604"/>
    <col min="4358" max="4358" width="4.7265625" style="604" customWidth="1"/>
    <col min="4359" max="4359" width="2" style="604" customWidth="1"/>
    <col min="4360" max="4360" width="40.7265625" style="604" customWidth="1"/>
    <col min="4361" max="4361" width="3.54296875" style="604" customWidth="1"/>
    <col min="4362" max="4362" width="11.08984375" style="604" customWidth="1"/>
    <col min="4363" max="4363" width="2.7265625" style="604" customWidth="1"/>
    <col min="4364" max="4364" width="11.26953125" style="604" customWidth="1"/>
    <col min="4365" max="4365" width="2.7265625" style="604" customWidth="1"/>
    <col min="4366" max="4366" width="11.26953125" style="604" customWidth="1"/>
    <col min="4367" max="4367" width="2.7265625" style="604" customWidth="1"/>
    <col min="4368" max="4368" width="19.08984375" style="604" bestFit="1" customWidth="1"/>
    <col min="4369" max="4369" width="1.81640625" style="604" customWidth="1"/>
    <col min="4370" max="4370" width="6.7265625" style="604" customWidth="1"/>
    <col min="4371" max="4371" width="14.7265625" style="604" customWidth="1"/>
    <col min="4372" max="4372" width="9" style="604" bestFit="1" customWidth="1"/>
    <col min="4373" max="4613" width="5" style="604"/>
    <col min="4614" max="4614" width="4.7265625" style="604" customWidth="1"/>
    <col min="4615" max="4615" width="2" style="604" customWidth="1"/>
    <col min="4616" max="4616" width="40.7265625" style="604" customWidth="1"/>
    <col min="4617" max="4617" width="3.54296875" style="604" customWidth="1"/>
    <col min="4618" max="4618" width="11.08984375" style="604" customWidth="1"/>
    <col min="4619" max="4619" width="2.7265625" style="604" customWidth="1"/>
    <col min="4620" max="4620" width="11.26953125" style="604" customWidth="1"/>
    <col min="4621" max="4621" width="2.7265625" style="604" customWidth="1"/>
    <col min="4622" max="4622" width="11.26953125" style="604" customWidth="1"/>
    <col min="4623" max="4623" width="2.7265625" style="604" customWidth="1"/>
    <col min="4624" max="4624" width="19.08984375" style="604" bestFit="1" customWidth="1"/>
    <col min="4625" max="4625" width="1.81640625" style="604" customWidth="1"/>
    <col min="4626" max="4626" width="6.7265625" style="604" customWidth="1"/>
    <col min="4627" max="4627" width="14.7265625" style="604" customWidth="1"/>
    <col min="4628" max="4628" width="9" style="604" bestFit="1" customWidth="1"/>
    <col min="4629" max="4869" width="5" style="604"/>
    <col min="4870" max="4870" width="4.7265625" style="604" customWidth="1"/>
    <col min="4871" max="4871" width="2" style="604" customWidth="1"/>
    <col min="4872" max="4872" width="40.7265625" style="604" customWidth="1"/>
    <col min="4873" max="4873" width="3.54296875" style="604" customWidth="1"/>
    <col min="4874" max="4874" width="11.08984375" style="604" customWidth="1"/>
    <col min="4875" max="4875" width="2.7265625" style="604" customWidth="1"/>
    <col min="4876" max="4876" width="11.26953125" style="604" customWidth="1"/>
    <col min="4877" max="4877" width="2.7265625" style="604" customWidth="1"/>
    <col min="4878" max="4878" width="11.26953125" style="604" customWidth="1"/>
    <col min="4879" max="4879" width="2.7265625" style="604" customWidth="1"/>
    <col min="4880" max="4880" width="19.08984375" style="604" bestFit="1" customWidth="1"/>
    <col min="4881" max="4881" width="1.81640625" style="604" customWidth="1"/>
    <col min="4882" max="4882" width="6.7265625" style="604" customWidth="1"/>
    <col min="4883" max="4883" width="14.7265625" style="604" customWidth="1"/>
    <col min="4884" max="4884" width="9" style="604" bestFit="1" customWidth="1"/>
    <col min="4885" max="5125" width="5" style="604"/>
    <col min="5126" max="5126" width="4.7265625" style="604" customWidth="1"/>
    <col min="5127" max="5127" width="2" style="604" customWidth="1"/>
    <col min="5128" max="5128" width="40.7265625" style="604" customWidth="1"/>
    <col min="5129" max="5129" width="3.54296875" style="604" customWidth="1"/>
    <col min="5130" max="5130" width="11.08984375" style="604" customWidth="1"/>
    <col min="5131" max="5131" width="2.7265625" style="604" customWidth="1"/>
    <col min="5132" max="5132" width="11.26953125" style="604" customWidth="1"/>
    <col min="5133" max="5133" width="2.7265625" style="604" customWidth="1"/>
    <col min="5134" max="5134" width="11.26953125" style="604" customWidth="1"/>
    <col min="5135" max="5135" width="2.7265625" style="604" customWidth="1"/>
    <col min="5136" max="5136" width="19.08984375" style="604" bestFit="1" customWidth="1"/>
    <col min="5137" max="5137" width="1.81640625" style="604" customWidth="1"/>
    <col min="5138" max="5138" width="6.7265625" style="604" customWidth="1"/>
    <col min="5139" max="5139" width="14.7265625" style="604" customWidth="1"/>
    <col min="5140" max="5140" width="9" style="604" bestFit="1" customWidth="1"/>
    <col min="5141" max="5381" width="5" style="604"/>
    <col min="5382" max="5382" width="4.7265625" style="604" customWidth="1"/>
    <col min="5383" max="5383" width="2" style="604" customWidth="1"/>
    <col min="5384" max="5384" width="40.7265625" style="604" customWidth="1"/>
    <col min="5385" max="5385" width="3.54296875" style="604" customWidth="1"/>
    <col min="5386" max="5386" width="11.08984375" style="604" customWidth="1"/>
    <col min="5387" max="5387" width="2.7265625" style="604" customWidth="1"/>
    <col min="5388" max="5388" width="11.26953125" style="604" customWidth="1"/>
    <col min="5389" max="5389" width="2.7265625" style="604" customWidth="1"/>
    <col min="5390" max="5390" width="11.26953125" style="604" customWidth="1"/>
    <col min="5391" max="5391" width="2.7265625" style="604" customWidth="1"/>
    <col min="5392" max="5392" width="19.08984375" style="604" bestFit="1" customWidth="1"/>
    <col min="5393" max="5393" width="1.81640625" style="604" customWidth="1"/>
    <col min="5394" max="5394" width="6.7265625" style="604" customWidth="1"/>
    <col min="5395" max="5395" width="14.7265625" style="604" customWidth="1"/>
    <col min="5396" max="5396" width="9" style="604" bestFit="1" customWidth="1"/>
    <col min="5397" max="5637" width="5" style="604"/>
    <col min="5638" max="5638" width="4.7265625" style="604" customWidth="1"/>
    <col min="5639" max="5639" width="2" style="604" customWidth="1"/>
    <col min="5640" max="5640" width="40.7265625" style="604" customWidth="1"/>
    <col min="5641" max="5641" width="3.54296875" style="604" customWidth="1"/>
    <col min="5642" max="5642" width="11.08984375" style="604" customWidth="1"/>
    <col min="5643" max="5643" width="2.7265625" style="604" customWidth="1"/>
    <col min="5644" max="5644" width="11.26953125" style="604" customWidth="1"/>
    <col min="5645" max="5645" width="2.7265625" style="604" customWidth="1"/>
    <col min="5646" max="5646" width="11.26953125" style="604" customWidth="1"/>
    <col min="5647" max="5647" width="2.7265625" style="604" customWidth="1"/>
    <col min="5648" max="5648" width="19.08984375" style="604" bestFit="1" customWidth="1"/>
    <col min="5649" max="5649" width="1.81640625" style="604" customWidth="1"/>
    <col min="5650" max="5650" width="6.7265625" style="604" customWidth="1"/>
    <col min="5651" max="5651" width="14.7265625" style="604" customWidth="1"/>
    <col min="5652" max="5652" width="9" style="604" bestFit="1" customWidth="1"/>
    <col min="5653" max="5893" width="5" style="604"/>
    <col min="5894" max="5894" width="4.7265625" style="604" customWidth="1"/>
    <col min="5895" max="5895" width="2" style="604" customWidth="1"/>
    <col min="5896" max="5896" width="40.7265625" style="604" customWidth="1"/>
    <col min="5897" max="5897" width="3.54296875" style="604" customWidth="1"/>
    <col min="5898" max="5898" width="11.08984375" style="604" customWidth="1"/>
    <col min="5899" max="5899" width="2.7265625" style="604" customWidth="1"/>
    <col min="5900" max="5900" width="11.26953125" style="604" customWidth="1"/>
    <col min="5901" max="5901" width="2.7265625" style="604" customWidth="1"/>
    <col min="5902" max="5902" width="11.26953125" style="604" customWidth="1"/>
    <col min="5903" max="5903" width="2.7265625" style="604" customWidth="1"/>
    <col min="5904" max="5904" width="19.08984375" style="604" bestFit="1" customWidth="1"/>
    <col min="5905" max="5905" width="1.81640625" style="604" customWidth="1"/>
    <col min="5906" max="5906" width="6.7265625" style="604" customWidth="1"/>
    <col min="5907" max="5907" width="14.7265625" style="604" customWidth="1"/>
    <col min="5908" max="5908" width="9" style="604" bestFit="1" customWidth="1"/>
    <col min="5909" max="6149" width="5" style="604"/>
    <col min="6150" max="6150" width="4.7265625" style="604" customWidth="1"/>
    <col min="6151" max="6151" width="2" style="604" customWidth="1"/>
    <col min="6152" max="6152" width="40.7265625" style="604" customWidth="1"/>
    <col min="6153" max="6153" width="3.54296875" style="604" customWidth="1"/>
    <col min="6154" max="6154" width="11.08984375" style="604" customWidth="1"/>
    <col min="6155" max="6155" width="2.7265625" style="604" customWidth="1"/>
    <col min="6156" max="6156" width="11.26953125" style="604" customWidth="1"/>
    <col min="6157" max="6157" width="2.7265625" style="604" customWidth="1"/>
    <col min="6158" max="6158" width="11.26953125" style="604" customWidth="1"/>
    <col min="6159" max="6159" width="2.7265625" style="604" customWidth="1"/>
    <col min="6160" max="6160" width="19.08984375" style="604" bestFit="1" customWidth="1"/>
    <col min="6161" max="6161" width="1.81640625" style="604" customWidth="1"/>
    <col min="6162" max="6162" width="6.7265625" style="604" customWidth="1"/>
    <col min="6163" max="6163" width="14.7265625" style="604" customWidth="1"/>
    <col min="6164" max="6164" width="9" style="604" bestFit="1" customWidth="1"/>
    <col min="6165" max="6405" width="5" style="604"/>
    <col min="6406" max="6406" width="4.7265625" style="604" customWidth="1"/>
    <col min="6407" max="6407" width="2" style="604" customWidth="1"/>
    <col min="6408" max="6408" width="40.7265625" style="604" customWidth="1"/>
    <col min="6409" max="6409" width="3.54296875" style="604" customWidth="1"/>
    <col min="6410" max="6410" width="11.08984375" style="604" customWidth="1"/>
    <col min="6411" max="6411" width="2.7265625" style="604" customWidth="1"/>
    <col min="6412" max="6412" width="11.26953125" style="604" customWidth="1"/>
    <col min="6413" max="6413" width="2.7265625" style="604" customWidth="1"/>
    <col min="6414" max="6414" width="11.26953125" style="604" customWidth="1"/>
    <col min="6415" max="6415" width="2.7265625" style="604" customWidth="1"/>
    <col min="6416" max="6416" width="19.08984375" style="604" bestFit="1" customWidth="1"/>
    <col min="6417" max="6417" width="1.81640625" style="604" customWidth="1"/>
    <col min="6418" max="6418" width="6.7265625" style="604" customWidth="1"/>
    <col min="6419" max="6419" width="14.7265625" style="604" customWidth="1"/>
    <col min="6420" max="6420" width="9" style="604" bestFit="1" customWidth="1"/>
    <col min="6421" max="6661" width="5" style="604"/>
    <col min="6662" max="6662" width="4.7265625" style="604" customWidth="1"/>
    <col min="6663" max="6663" width="2" style="604" customWidth="1"/>
    <col min="6664" max="6664" width="40.7265625" style="604" customWidth="1"/>
    <col min="6665" max="6665" width="3.54296875" style="604" customWidth="1"/>
    <col min="6666" max="6666" width="11.08984375" style="604" customWidth="1"/>
    <col min="6667" max="6667" width="2.7265625" style="604" customWidth="1"/>
    <col min="6668" max="6668" width="11.26953125" style="604" customWidth="1"/>
    <col min="6669" max="6669" width="2.7265625" style="604" customWidth="1"/>
    <col min="6670" max="6670" width="11.26953125" style="604" customWidth="1"/>
    <col min="6671" max="6671" width="2.7265625" style="604" customWidth="1"/>
    <col min="6672" max="6672" width="19.08984375" style="604" bestFit="1" customWidth="1"/>
    <col min="6673" max="6673" width="1.81640625" style="604" customWidth="1"/>
    <col min="6674" max="6674" width="6.7265625" style="604" customWidth="1"/>
    <col min="6675" max="6675" width="14.7265625" style="604" customWidth="1"/>
    <col min="6676" max="6676" width="9" style="604" bestFit="1" customWidth="1"/>
    <col min="6677" max="6917" width="5" style="604"/>
    <col min="6918" max="6918" width="4.7265625" style="604" customWidth="1"/>
    <col min="6919" max="6919" width="2" style="604" customWidth="1"/>
    <col min="6920" max="6920" width="40.7265625" style="604" customWidth="1"/>
    <col min="6921" max="6921" width="3.54296875" style="604" customWidth="1"/>
    <col min="6922" max="6922" width="11.08984375" style="604" customWidth="1"/>
    <col min="6923" max="6923" width="2.7265625" style="604" customWidth="1"/>
    <col min="6924" max="6924" width="11.26953125" style="604" customWidth="1"/>
    <col min="6925" max="6925" width="2.7265625" style="604" customWidth="1"/>
    <col min="6926" max="6926" width="11.26953125" style="604" customWidth="1"/>
    <col min="6927" max="6927" width="2.7265625" style="604" customWidth="1"/>
    <col min="6928" max="6928" width="19.08984375" style="604" bestFit="1" customWidth="1"/>
    <col min="6929" max="6929" width="1.81640625" style="604" customWidth="1"/>
    <col min="6930" max="6930" width="6.7265625" style="604" customWidth="1"/>
    <col min="6931" max="6931" width="14.7265625" style="604" customWidth="1"/>
    <col min="6932" max="6932" width="9" style="604" bestFit="1" customWidth="1"/>
    <col min="6933" max="7173" width="5" style="604"/>
    <col min="7174" max="7174" width="4.7265625" style="604" customWidth="1"/>
    <col min="7175" max="7175" width="2" style="604" customWidth="1"/>
    <col min="7176" max="7176" width="40.7265625" style="604" customWidth="1"/>
    <col min="7177" max="7177" width="3.54296875" style="604" customWidth="1"/>
    <col min="7178" max="7178" width="11.08984375" style="604" customWidth="1"/>
    <col min="7179" max="7179" width="2.7265625" style="604" customWidth="1"/>
    <col min="7180" max="7180" width="11.26953125" style="604" customWidth="1"/>
    <col min="7181" max="7181" width="2.7265625" style="604" customWidth="1"/>
    <col min="7182" max="7182" width="11.26953125" style="604" customWidth="1"/>
    <col min="7183" max="7183" width="2.7265625" style="604" customWidth="1"/>
    <col min="7184" max="7184" width="19.08984375" style="604" bestFit="1" customWidth="1"/>
    <col min="7185" max="7185" width="1.81640625" style="604" customWidth="1"/>
    <col min="7186" max="7186" width="6.7265625" style="604" customWidth="1"/>
    <col min="7187" max="7187" width="14.7265625" style="604" customWidth="1"/>
    <col min="7188" max="7188" width="9" style="604" bestFit="1" customWidth="1"/>
    <col min="7189" max="7429" width="5" style="604"/>
    <col min="7430" max="7430" width="4.7265625" style="604" customWidth="1"/>
    <col min="7431" max="7431" width="2" style="604" customWidth="1"/>
    <col min="7432" max="7432" width="40.7265625" style="604" customWidth="1"/>
    <col min="7433" max="7433" width="3.54296875" style="604" customWidth="1"/>
    <col min="7434" max="7434" width="11.08984375" style="604" customWidth="1"/>
    <col min="7435" max="7435" width="2.7265625" style="604" customWidth="1"/>
    <col min="7436" max="7436" width="11.26953125" style="604" customWidth="1"/>
    <col min="7437" max="7437" width="2.7265625" style="604" customWidth="1"/>
    <col min="7438" max="7438" width="11.26953125" style="604" customWidth="1"/>
    <col min="7439" max="7439" width="2.7265625" style="604" customWidth="1"/>
    <col min="7440" max="7440" width="19.08984375" style="604" bestFit="1" customWidth="1"/>
    <col min="7441" max="7441" width="1.81640625" style="604" customWidth="1"/>
    <col min="7442" max="7442" width="6.7265625" style="604" customWidth="1"/>
    <col min="7443" max="7443" width="14.7265625" style="604" customWidth="1"/>
    <col min="7444" max="7444" width="9" style="604" bestFit="1" customWidth="1"/>
    <col min="7445" max="7685" width="5" style="604"/>
    <col min="7686" max="7686" width="4.7265625" style="604" customWidth="1"/>
    <col min="7687" max="7687" width="2" style="604" customWidth="1"/>
    <col min="7688" max="7688" width="40.7265625" style="604" customWidth="1"/>
    <col min="7689" max="7689" width="3.54296875" style="604" customWidth="1"/>
    <col min="7690" max="7690" width="11.08984375" style="604" customWidth="1"/>
    <col min="7691" max="7691" width="2.7265625" style="604" customWidth="1"/>
    <col min="7692" max="7692" width="11.26953125" style="604" customWidth="1"/>
    <col min="7693" max="7693" width="2.7265625" style="604" customWidth="1"/>
    <col min="7694" max="7694" width="11.26953125" style="604" customWidth="1"/>
    <col min="7695" max="7695" width="2.7265625" style="604" customWidth="1"/>
    <col min="7696" max="7696" width="19.08984375" style="604" bestFit="1" customWidth="1"/>
    <col min="7697" max="7697" width="1.81640625" style="604" customWidth="1"/>
    <col min="7698" max="7698" width="6.7265625" style="604" customWidth="1"/>
    <col min="7699" max="7699" width="14.7265625" style="604" customWidth="1"/>
    <col min="7700" max="7700" width="9" style="604" bestFit="1" customWidth="1"/>
    <col min="7701" max="7941" width="5" style="604"/>
    <col min="7942" max="7942" width="4.7265625" style="604" customWidth="1"/>
    <col min="7943" max="7943" width="2" style="604" customWidth="1"/>
    <col min="7944" max="7944" width="40.7265625" style="604" customWidth="1"/>
    <col min="7945" max="7945" width="3.54296875" style="604" customWidth="1"/>
    <col min="7946" max="7946" width="11.08984375" style="604" customWidth="1"/>
    <col min="7947" max="7947" width="2.7265625" style="604" customWidth="1"/>
    <col min="7948" max="7948" width="11.26953125" style="604" customWidth="1"/>
    <col min="7949" max="7949" width="2.7265625" style="604" customWidth="1"/>
    <col min="7950" max="7950" width="11.26953125" style="604" customWidth="1"/>
    <col min="7951" max="7951" width="2.7265625" style="604" customWidth="1"/>
    <col min="7952" max="7952" width="19.08984375" style="604" bestFit="1" customWidth="1"/>
    <col min="7953" max="7953" width="1.81640625" style="604" customWidth="1"/>
    <col min="7954" max="7954" width="6.7265625" style="604" customWidth="1"/>
    <col min="7955" max="7955" width="14.7265625" style="604" customWidth="1"/>
    <col min="7956" max="7956" width="9" style="604" bestFit="1" customWidth="1"/>
    <col min="7957" max="8197" width="5" style="604"/>
    <col min="8198" max="8198" width="4.7265625" style="604" customWidth="1"/>
    <col min="8199" max="8199" width="2" style="604" customWidth="1"/>
    <col min="8200" max="8200" width="40.7265625" style="604" customWidth="1"/>
    <col min="8201" max="8201" width="3.54296875" style="604" customWidth="1"/>
    <col min="8202" max="8202" width="11.08984375" style="604" customWidth="1"/>
    <col min="8203" max="8203" width="2.7265625" style="604" customWidth="1"/>
    <col min="8204" max="8204" width="11.26953125" style="604" customWidth="1"/>
    <col min="8205" max="8205" width="2.7265625" style="604" customWidth="1"/>
    <col min="8206" max="8206" width="11.26953125" style="604" customWidth="1"/>
    <col min="8207" max="8207" width="2.7265625" style="604" customWidth="1"/>
    <col min="8208" max="8208" width="19.08984375" style="604" bestFit="1" customWidth="1"/>
    <col min="8209" max="8209" width="1.81640625" style="604" customWidth="1"/>
    <col min="8210" max="8210" width="6.7265625" style="604" customWidth="1"/>
    <col min="8211" max="8211" width="14.7265625" style="604" customWidth="1"/>
    <col min="8212" max="8212" width="9" style="604" bestFit="1" customWidth="1"/>
    <col min="8213" max="8453" width="5" style="604"/>
    <col min="8454" max="8454" width="4.7265625" style="604" customWidth="1"/>
    <col min="8455" max="8455" width="2" style="604" customWidth="1"/>
    <col min="8456" max="8456" width="40.7265625" style="604" customWidth="1"/>
    <col min="8457" max="8457" width="3.54296875" style="604" customWidth="1"/>
    <col min="8458" max="8458" width="11.08984375" style="604" customWidth="1"/>
    <col min="8459" max="8459" width="2.7265625" style="604" customWidth="1"/>
    <col min="8460" max="8460" width="11.26953125" style="604" customWidth="1"/>
    <col min="8461" max="8461" width="2.7265625" style="604" customWidth="1"/>
    <col min="8462" max="8462" width="11.26953125" style="604" customWidth="1"/>
    <col min="8463" max="8463" width="2.7265625" style="604" customWidth="1"/>
    <col min="8464" max="8464" width="19.08984375" style="604" bestFit="1" customWidth="1"/>
    <col min="8465" max="8465" width="1.81640625" style="604" customWidth="1"/>
    <col min="8466" max="8466" width="6.7265625" style="604" customWidth="1"/>
    <col min="8467" max="8467" width="14.7265625" style="604" customWidth="1"/>
    <col min="8468" max="8468" width="9" style="604" bestFit="1" customWidth="1"/>
    <col min="8469" max="8709" width="5" style="604"/>
    <col min="8710" max="8710" width="4.7265625" style="604" customWidth="1"/>
    <col min="8711" max="8711" width="2" style="604" customWidth="1"/>
    <col min="8712" max="8712" width="40.7265625" style="604" customWidth="1"/>
    <col min="8713" max="8713" width="3.54296875" style="604" customWidth="1"/>
    <col min="8714" max="8714" width="11.08984375" style="604" customWidth="1"/>
    <col min="8715" max="8715" width="2.7265625" style="604" customWidth="1"/>
    <col min="8716" max="8716" width="11.26953125" style="604" customWidth="1"/>
    <col min="8717" max="8717" width="2.7265625" style="604" customWidth="1"/>
    <col min="8718" max="8718" width="11.26953125" style="604" customWidth="1"/>
    <col min="8719" max="8719" width="2.7265625" style="604" customWidth="1"/>
    <col min="8720" max="8720" width="19.08984375" style="604" bestFit="1" customWidth="1"/>
    <col min="8721" max="8721" width="1.81640625" style="604" customWidth="1"/>
    <col min="8722" max="8722" width="6.7265625" style="604" customWidth="1"/>
    <col min="8723" max="8723" width="14.7265625" style="604" customWidth="1"/>
    <col min="8724" max="8724" width="9" style="604" bestFit="1" customWidth="1"/>
    <col min="8725" max="8965" width="5" style="604"/>
    <col min="8966" max="8966" width="4.7265625" style="604" customWidth="1"/>
    <col min="8967" max="8967" width="2" style="604" customWidth="1"/>
    <col min="8968" max="8968" width="40.7265625" style="604" customWidth="1"/>
    <col min="8969" max="8969" width="3.54296875" style="604" customWidth="1"/>
    <col min="8970" max="8970" width="11.08984375" style="604" customWidth="1"/>
    <col min="8971" max="8971" width="2.7265625" style="604" customWidth="1"/>
    <col min="8972" max="8972" width="11.26953125" style="604" customWidth="1"/>
    <col min="8973" max="8973" width="2.7265625" style="604" customWidth="1"/>
    <col min="8974" max="8974" width="11.26953125" style="604" customWidth="1"/>
    <col min="8975" max="8975" width="2.7265625" style="604" customWidth="1"/>
    <col min="8976" max="8976" width="19.08984375" style="604" bestFit="1" customWidth="1"/>
    <col min="8977" max="8977" width="1.81640625" style="604" customWidth="1"/>
    <col min="8978" max="8978" width="6.7265625" style="604" customWidth="1"/>
    <col min="8979" max="8979" width="14.7265625" style="604" customWidth="1"/>
    <col min="8980" max="8980" width="9" style="604" bestFit="1" customWidth="1"/>
    <col min="8981" max="9221" width="5" style="604"/>
    <col min="9222" max="9222" width="4.7265625" style="604" customWidth="1"/>
    <col min="9223" max="9223" width="2" style="604" customWidth="1"/>
    <col min="9224" max="9224" width="40.7265625" style="604" customWidth="1"/>
    <col min="9225" max="9225" width="3.54296875" style="604" customWidth="1"/>
    <col min="9226" max="9226" width="11.08984375" style="604" customWidth="1"/>
    <col min="9227" max="9227" width="2.7265625" style="604" customWidth="1"/>
    <col min="9228" max="9228" width="11.26953125" style="604" customWidth="1"/>
    <col min="9229" max="9229" width="2.7265625" style="604" customWidth="1"/>
    <col min="9230" max="9230" width="11.26953125" style="604" customWidth="1"/>
    <col min="9231" max="9231" width="2.7265625" style="604" customWidth="1"/>
    <col min="9232" max="9232" width="19.08984375" style="604" bestFit="1" customWidth="1"/>
    <col min="9233" max="9233" width="1.81640625" style="604" customWidth="1"/>
    <col min="9234" max="9234" width="6.7265625" style="604" customWidth="1"/>
    <col min="9235" max="9235" width="14.7265625" style="604" customWidth="1"/>
    <col min="9236" max="9236" width="9" style="604" bestFit="1" customWidth="1"/>
    <col min="9237" max="9477" width="5" style="604"/>
    <col min="9478" max="9478" width="4.7265625" style="604" customWidth="1"/>
    <col min="9479" max="9479" width="2" style="604" customWidth="1"/>
    <col min="9480" max="9480" width="40.7265625" style="604" customWidth="1"/>
    <col min="9481" max="9481" width="3.54296875" style="604" customWidth="1"/>
    <col min="9482" max="9482" width="11.08984375" style="604" customWidth="1"/>
    <col min="9483" max="9483" width="2.7265625" style="604" customWidth="1"/>
    <col min="9484" max="9484" width="11.26953125" style="604" customWidth="1"/>
    <col min="9485" max="9485" width="2.7265625" style="604" customWidth="1"/>
    <col min="9486" max="9486" width="11.26953125" style="604" customWidth="1"/>
    <col min="9487" max="9487" width="2.7265625" style="604" customWidth="1"/>
    <col min="9488" max="9488" width="19.08984375" style="604" bestFit="1" customWidth="1"/>
    <col min="9489" max="9489" width="1.81640625" style="604" customWidth="1"/>
    <col min="9490" max="9490" width="6.7265625" style="604" customWidth="1"/>
    <col min="9491" max="9491" width="14.7265625" style="604" customWidth="1"/>
    <col min="9492" max="9492" width="9" style="604" bestFit="1" customWidth="1"/>
    <col min="9493" max="9733" width="5" style="604"/>
    <col min="9734" max="9734" width="4.7265625" style="604" customWidth="1"/>
    <col min="9735" max="9735" width="2" style="604" customWidth="1"/>
    <col min="9736" max="9736" width="40.7265625" style="604" customWidth="1"/>
    <col min="9737" max="9737" width="3.54296875" style="604" customWidth="1"/>
    <col min="9738" max="9738" width="11.08984375" style="604" customWidth="1"/>
    <col min="9739" max="9739" width="2.7265625" style="604" customWidth="1"/>
    <col min="9740" max="9740" width="11.26953125" style="604" customWidth="1"/>
    <col min="9741" max="9741" width="2.7265625" style="604" customWidth="1"/>
    <col min="9742" max="9742" width="11.26953125" style="604" customWidth="1"/>
    <col min="9743" max="9743" width="2.7265625" style="604" customWidth="1"/>
    <col min="9744" max="9744" width="19.08984375" style="604" bestFit="1" customWidth="1"/>
    <col min="9745" max="9745" width="1.81640625" style="604" customWidth="1"/>
    <col min="9746" max="9746" width="6.7265625" style="604" customWidth="1"/>
    <col min="9747" max="9747" width="14.7265625" style="604" customWidth="1"/>
    <col min="9748" max="9748" width="9" style="604" bestFit="1" customWidth="1"/>
    <col min="9749" max="9989" width="5" style="604"/>
    <col min="9990" max="9990" width="4.7265625" style="604" customWidth="1"/>
    <col min="9991" max="9991" width="2" style="604" customWidth="1"/>
    <col min="9992" max="9992" width="40.7265625" style="604" customWidth="1"/>
    <col min="9993" max="9993" width="3.54296875" style="604" customWidth="1"/>
    <col min="9994" max="9994" width="11.08984375" style="604" customWidth="1"/>
    <col min="9995" max="9995" width="2.7265625" style="604" customWidth="1"/>
    <col min="9996" max="9996" width="11.26953125" style="604" customWidth="1"/>
    <col min="9997" max="9997" width="2.7265625" style="604" customWidth="1"/>
    <col min="9998" max="9998" width="11.26953125" style="604" customWidth="1"/>
    <col min="9999" max="9999" width="2.7265625" style="604" customWidth="1"/>
    <col min="10000" max="10000" width="19.08984375" style="604" bestFit="1" customWidth="1"/>
    <col min="10001" max="10001" width="1.81640625" style="604" customWidth="1"/>
    <col min="10002" max="10002" width="6.7265625" style="604" customWidth="1"/>
    <col min="10003" max="10003" width="14.7265625" style="604" customWidth="1"/>
    <col min="10004" max="10004" width="9" style="604" bestFit="1" customWidth="1"/>
    <col min="10005" max="10245" width="5" style="604"/>
    <col min="10246" max="10246" width="4.7265625" style="604" customWidth="1"/>
    <col min="10247" max="10247" width="2" style="604" customWidth="1"/>
    <col min="10248" max="10248" width="40.7265625" style="604" customWidth="1"/>
    <col min="10249" max="10249" width="3.54296875" style="604" customWidth="1"/>
    <col min="10250" max="10250" width="11.08984375" style="604" customWidth="1"/>
    <col min="10251" max="10251" width="2.7265625" style="604" customWidth="1"/>
    <col min="10252" max="10252" width="11.26953125" style="604" customWidth="1"/>
    <col min="10253" max="10253" width="2.7265625" style="604" customWidth="1"/>
    <col min="10254" max="10254" width="11.26953125" style="604" customWidth="1"/>
    <col min="10255" max="10255" width="2.7265625" style="604" customWidth="1"/>
    <col min="10256" max="10256" width="19.08984375" style="604" bestFit="1" customWidth="1"/>
    <col min="10257" max="10257" width="1.81640625" style="604" customWidth="1"/>
    <col min="10258" max="10258" width="6.7265625" style="604" customWidth="1"/>
    <col min="10259" max="10259" width="14.7265625" style="604" customWidth="1"/>
    <col min="10260" max="10260" width="9" style="604" bestFit="1" customWidth="1"/>
    <col min="10261" max="10501" width="5" style="604"/>
    <col min="10502" max="10502" width="4.7265625" style="604" customWidth="1"/>
    <col min="10503" max="10503" width="2" style="604" customWidth="1"/>
    <col min="10504" max="10504" width="40.7265625" style="604" customWidth="1"/>
    <col min="10505" max="10505" width="3.54296875" style="604" customWidth="1"/>
    <col min="10506" max="10506" width="11.08984375" style="604" customWidth="1"/>
    <col min="10507" max="10507" width="2.7265625" style="604" customWidth="1"/>
    <col min="10508" max="10508" width="11.26953125" style="604" customWidth="1"/>
    <col min="10509" max="10509" width="2.7265625" style="604" customWidth="1"/>
    <col min="10510" max="10510" width="11.26953125" style="604" customWidth="1"/>
    <col min="10511" max="10511" width="2.7265625" style="604" customWidth="1"/>
    <col min="10512" max="10512" width="19.08984375" style="604" bestFit="1" customWidth="1"/>
    <col min="10513" max="10513" width="1.81640625" style="604" customWidth="1"/>
    <col min="10514" max="10514" width="6.7265625" style="604" customWidth="1"/>
    <col min="10515" max="10515" width="14.7265625" style="604" customWidth="1"/>
    <col min="10516" max="10516" width="9" style="604" bestFit="1" customWidth="1"/>
    <col min="10517" max="10757" width="5" style="604"/>
    <col min="10758" max="10758" width="4.7265625" style="604" customWidth="1"/>
    <col min="10759" max="10759" width="2" style="604" customWidth="1"/>
    <col min="10760" max="10760" width="40.7265625" style="604" customWidth="1"/>
    <col min="10761" max="10761" width="3.54296875" style="604" customWidth="1"/>
    <col min="10762" max="10762" width="11.08984375" style="604" customWidth="1"/>
    <col min="10763" max="10763" width="2.7265625" style="604" customWidth="1"/>
    <col min="10764" max="10764" width="11.26953125" style="604" customWidth="1"/>
    <col min="10765" max="10765" width="2.7265625" style="604" customWidth="1"/>
    <col min="10766" max="10766" width="11.26953125" style="604" customWidth="1"/>
    <col min="10767" max="10767" width="2.7265625" style="604" customWidth="1"/>
    <col min="10768" max="10768" width="19.08984375" style="604" bestFit="1" customWidth="1"/>
    <col min="10769" max="10769" width="1.81640625" style="604" customWidth="1"/>
    <col min="10770" max="10770" width="6.7265625" style="604" customWidth="1"/>
    <col min="10771" max="10771" width="14.7265625" style="604" customWidth="1"/>
    <col min="10772" max="10772" width="9" style="604" bestFit="1" customWidth="1"/>
    <col min="10773" max="11013" width="5" style="604"/>
    <col min="11014" max="11014" width="4.7265625" style="604" customWidth="1"/>
    <col min="11015" max="11015" width="2" style="604" customWidth="1"/>
    <col min="11016" max="11016" width="40.7265625" style="604" customWidth="1"/>
    <col min="11017" max="11017" width="3.54296875" style="604" customWidth="1"/>
    <col min="11018" max="11018" width="11.08984375" style="604" customWidth="1"/>
    <col min="11019" max="11019" width="2.7265625" style="604" customWidth="1"/>
    <col min="11020" max="11020" width="11.26953125" style="604" customWidth="1"/>
    <col min="11021" max="11021" width="2.7265625" style="604" customWidth="1"/>
    <col min="11022" max="11022" width="11.26953125" style="604" customWidth="1"/>
    <col min="11023" max="11023" width="2.7265625" style="604" customWidth="1"/>
    <col min="11024" max="11024" width="19.08984375" style="604" bestFit="1" customWidth="1"/>
    <col min="11025" max="11025" width="1.81640625" style="604" customWidth="1"/>
    <col min="11026" max="11026" width="6.7265625" style="604" customWidth="1"/>
    <col min="11027" max="11027" width="14.7265625" style="604" customWidth="1"/>
    <col min="11028" max="11028" width="9" style="604" bestFit="1" customWidth="1"/>
    <col min="11029" max="11269" width="5" style="604"/>
    <col min="11270" max="11270" width="4.7265625" style="604" customWidth="1"/>
    <col min="11271" max="11271" width="2" style="604" customWidth="1"/>
    <col min="11272" max="11272" width="40.7265625" style="604" customWidth="1"/>
    <col min="11273" max="11273" width="3.54296875" style="604" customWidth="1"/>
    <col min="11274" max="11274" width="11.08984375" style="604" customWidth="1"/>
    <col min="11275" max="11275" width="2.7265625" style="604" customWidth="1"/>
    <col min="11276" max="11276" width="11.26953125" style="604" customWidth="1"/>
    <col min="11277" max="11277" width="2.7265625" style="604" customWidth="1"/>
    <col min="11278" max="11278" width="11.26953125" style="604" customWidth="1"/>
    <col min="11279" max="11279" width="2.7265625" style="604" customWidth="1"/>
    <col min="11280" max="11280" width="19.08984375" style="604" bestFit="1" customWidth="1"/>
    <col min="11281" max="11281" width="1.81640625" style="604" customWidth="1"/>
    <col min="11282" max="11282" width="6.7265625" style="604" customWidth="1"/>
    <col min="11283" max="11283" width="14.7265625" style="604" customWidth="1"/>
    <col min="11284" max="11284" width="9" style="604" bestFit="1" customWidth="1"/>
    <col min="11285" max="11525" width="5" style="604"/>
    <col min="11526" max="11526" width="4.7265625" style="604" customWidth="1"/>
    <col min="11527" max="11527" width="2" style="604" customWidth="1"/>
    <col min="11528" max="11528" width="40.7265625" style="604" customWidth="1"/>
    <col min="11529" max="11529" width="3.54296875" style="604" customWidth="1"/>
    <col min="11530" max="11530" width="11.08984375" style="604" customWidth="1"/>
    <col min="11531" max="11531" width="2.7265625" style="604" customWidth="1"/>
    <col min="11532" max="11532" width="11.26953125" style="604" customWidth="1"/>
    <col min="11533" max="11533" width="2.7265625" style="604" customWidth="1"/>
    <col min="11534" max="11534" width="11.26953125" style="604" customWidth="1"/>
    <col min="11535" max="11535" width="2.7265625" style="604" customWidth="1"/>
    <col min="11536" max="11536" width="19.08984375" style="604" bestFit="1" customWidth="1"/>
    <col min="11537" max="11537" width="1.81640625" style="604" customWidth="1"/>
    <col min="11538" max="11538" width="6.7265625" style="604" customWidth="1"/>
    <col min="11539" max="11539" width="14.7265625" style="604" customWidth="1"/>
    <col min="11540" max="11540" width="9" style="604" bestFit="1" customWidth="1"/>
    <col min="11541" max="11781" width="5" style="604"/>
    <col min="11782" max="11782" width="4.7265625" style="604" customWidth="1"/>
    <col min="11783" max="11783" width="2" style="604" customWidth="1"/>
    <col min="11784" max="11784" width="40.7265625" style="604" customWidth="1"/>
    <col min="11785" max="11785" width="3.54296875" style="604" customWidth="1"/>
    <col min="11786" max="11786" width="11.08984375" style="604" customWidth="1"/>
    <col min="11787" max="11787" width="2.7265625" style="604" customWidth="1"/>
    <col min="11788" max="11788" width="11.26953125" style="604" customWidth="1"/>
    <col min="11789" max="11789" width="2.7265625" style="604" customWidth="1"/>
    <col min="11790" max="11790" width="11.26953125" style="604" customWidth="1"/>
    <col min="11791" max="11791" width="2.7265625" style="604" customWidth="1"/>
    <col min="11792" max="11792" width="19.08984375" style="604" bestFit="1" customWidth="1"/>
    <col min="11793" max="11793" width="1.81640625" style="604" customWidth="1"/>
    <col min="11794" max="11794" width="6.7265625" style="604" customWidth="1"/>
    <col min="11795" max="11795" width="14.7265625" style="604" customWidth="1"/>
    <col min="11796" max="11796" width="9" style="604" bestFit="1" customWidth="1"/>
    <col min="11797" max="12037" width="5" style="604"/>
    <col min="12038" max="12038" width="4.7265625" style="604" customWidth="1"/>
    <col min="12039" max="12039" width="2" style="604" customWidth="1"/>
    <col min="12040" max="12040" width="40.7265625" style="604" customWidth="1"/>
    <col min="12041" max="12041" width="3.54296875" style="604" customWidth="1"/>
    <col min="12042" max="12042" width="11.08984375" style="604" customWidth="1"/>
    <col min="12043" max="12043" width="2.7265625" style="604" customWidth="1"/>
    <col min="12044" max="12044" width="11.26953125" style="604" customWidth="1"/>
    <col min="12045" max="12045" width="2.7265625" style="604" customWidth="1"/>
    <col min="12046" max="12046" width="11.26953125" style="604" customWidth="1"/>
    <col min="12047" max="12047" width="2.7265625" style="604" customWidth="1"/>
    <col min="12048" max="12048" width="19.08984375" style="604" bestFit="1" customWidth="1"/>
    <col min="12049" max="12049" width="1.81640625" style="604" customWidth="1"/>
    <col min="12050" max="12050" width="6.7265625" style="604" customWidth="1"/>
    <col min="12051" max="12051" width="14.7265625" style="604" customWidth="1"/>
    <col min="12052" max="12052" width="9" style="604" bestFit="1" customWidth="1"/>
    <col min="12053" max="12293" width="5" style="604"/>
    <col min="12294" max="12294" width="4.7265625" style="604" customWidth="1"/>
    <col min="12295" max="12295" width="2" style="604" customWidth="1"/>
    <col min="12296" max="12296" width="40.7265625" style="604" customWidth="1"/>
    <col min="12297" max="12297" width="3.54296875" style="604" customWidth="1"/>
    <col min="12298" max="12298" width="11.08984375" style="604" customWidth="1"/>
    <col min="12299" max="12299" width="2.7265625" style="604" customWidth="1"/>
    <col min="12300" max="12300" width="11.26953125" style="604" customWidth="1"/>
    <col min="12301" max="12301" width="2.7265625" style="604" customWidth="1"/>
    <col min="12302" max="12302" width="11.26953125" style="604" customWidth="1"/>
    <col min="12303" max="12303" width="2.7265625" style="604" customWidth="1"/>
    <col min="12304" max="12304" width="19.08984375" style="604" bestFit="1" customWidth="1"/>
    <col min="12305" max="12305" width="1.81640625" style="604" customWidth="1"/>
    <col min="12306" max="12306" width="6.7265625" style="604" customWidth="1"/>
    <col min="12307" max="12307" width="14.7265625" style="604" customWidth="1"/>
    <col min="12308" max="12308" width="9" style="604" bestFit="1" customWidth="1"/>
    <col min="12309" max="12549" width="5" style="604"/>
    <col min="12550" max="12550" width="4.7265625" style="604" customWidth="1"/>
    <col min="12551" max="12551" width="2" style="604" customWidth="1"/>
    <col min="12552" max="12552" width="40.7265625" style="604" customWidth="1"/>
    <col min="12553" max="12553" width="3.54296875" style="604" customWidth="1"/>
    <col min="12554" max="12554" width="11.08984375" style="604" customWidth="1"/>
    <col min="12555" max="12555" width="2.7265625" style="604" customWidth="1"/>
    <col min="12556" max="12556" width="11.26953125" style="604" customWidth="1"/>
    <col min="12557" max="12557" width="2.7265625" style="604" customWidth="1"/>
    <col min="12558" max="12558" width="11.26953125" style="604" customWidth="1"/>
    <col min="12559" max="12559" width="2.7265625" style="604" customWidth="1"/>
    <col min="12560" max="12560" width="19.08984375" style="604" bestFit="1" customWidth="1"/>
    <col min="12561" max="12561" width="1.81640625" style="604" customWidth="1"/>
    <col min="12562" max="12562" width="6.7265625" style="604" customWidth="1"/>
    <col min="12563" max="12563" width="14.7265625" style="604" customWidth="1"/>
    <col min="12564" max="12564" width="9" style="604" bestFit="1" customWidth="1"/>
    <col min="12565" max="12805" width="5" style="604"/>
    <col min="12806" max="12806" width="4.7265625" style="604" customWidth="1"/>
    <col min="12807" max="12807" width="2" style="604" customWidth="1"/>
    <col min="12808" max="12808" width="40.7265625" style="604" customWidth="1"/>
    <col min="12809" max="12809" width="3.54296875" style="604" customWidth="1"/>
    <col min="12810" max="12810" width="11.08984375" style="604" customWidth="1"/>
    <col min="12811" max="12811" width="2.7265625" style="604" customWidth="1"/>
    <col min="12812" max="12812" width="11.26953125" style="604" customWidth="1"/>
    <col min="12813" max="12813" width="2.7265625" style="604" customWidth="1"/>
    <col min="12814" max="12814" width="11.26953125" style="604" customWidth="1"/>
    <col min="12815" max="12815" width="2.7265625" style="604" customWidth="1"/>
    <col min="12816" max="12816" width="19.08984375" style="604" bestFit="1" customWidth="1"/>
    <col min="12817" max="12817" width="1.81640625" style="604" customWidth="1"/>
    <col min="12818" max="12818" width="6.7265625" style="604" customWidth="1"/>
    <col min="12819" max="12819" width="14.7265625" style="604" customWidth="1"/>
    <col min="12820" max="12820" width="9" style="604" bestFit="1" customWidth="1"/>
    <col min="12821" max="13061" width="5" style="604"/>
    <col min="13062" max="13062" width="4.7265625" style="604" customWidth="1"/>
    <col min="13063" max="13063" width="2" style="604" customWidth="1"/>
    <col min="13064" max="13064" width="40.7265625" style="604" customWidth="1"/>
    <col min="13065" max="13065" width="3.54296875" style="604" customWidth="1"/>
    <col min="13066" max="13066" width="11.08984375" style="604" customWidth="1"/>
    <col min="13067" max="13067" width="2.7265625" style="604" customWidth="1"/>
    <col min="13068" max="13068" width="11.26953125" style="604" customWidth="1"/>
    <col min="13069" max="13069" width="2.7265625" style="604" customWidth="1"/>
    <col min="13070" max="13070" width="11.26953125" style="604" customWidth="1"/>
    <col min="13071" max="13071" width="2.7265625" style="604" customWidth="1"/>
    <col min="13072" max="13072" width="19.08984375" style="604" bestFit="1" customWidth="1"/>
    <col min="13073" max="13073" width="1.81640625" style="604" customWidth="1"/>
    <col min="13074" max="13074" width="6.7265625" style="604" customWidth="1"/>
    <col min="13075" max="13075" width="14.7265625" style="604" customWidth="1"/>
    <col min="13076" max="13076" width="9" style="604" bestFit="1" customWidth="1"/>
    <col min="13077" max="13317" width="5" style="604"/>
    <col min="13318" max="13318" width="4.7265625" style="604" customWidth="1"/>
    <col min="13319" max="13319" width="2" style="604" customWidth="1"/>
    <col min="13320" max="13320" width="40.7265625" style="604" customWidth="1"/>
    <col min="13321" max="13321" width="3.54296875" style="604" customWidth="1"/>
    <col min="13322" max="13322" width="11.08984375" style="604" customWidth="1"/>
    <col min="13323" max="13323" width="2.7265625" style="604" customWidth="1"/>
    <col min="13324" max="13324" width="11.26953125" style="604" customWidth="1"/>
    <col min="13325" max="13325" width="2.7265625" style="604" customWidth="1"/>
    <col min="13326" max="13326" width="11.26953125" style="604" customWidth="1"/>
    <col min="13327" max="13327" width="2.7265625" style="604" customWidth="1"/>
    <col min="13328" max="13328" width="19.08984375" style="604" bestFit="1" customWidth="1"/>
    <col min="13329" max="13329" width="1.81640625" style="604" customWidth="1"/>
    <col min="13330" max="13330" width="6.7265625" style="604" customWidth="1"/>
    <col min="13331" max="13331" width="14.7265625" style="604" customWidth="1"/>
    <col min="13332" max="13332" width="9" style="604" bestFit="1" customWidth="1"/>
    <col min="13333" max="13573" width="5" style="604"/>
    <col min="13574" max="13574" width="4.7265625" style="604" customWidth="1"/>
    <col min="13575" max="13575" width="2" style="604" customWidth="1"/>
    <col min="13576" max="13576" width="40.7265625" style="604" customWidth="1"/>
    <col min="13577" max="13577" width="3.54296875" style="604" customWidth="1"/>
    <col min="13578" max="13578" width="11.08984375" style="604" customWidth="1"/>
    <col min="13579" max="13579" width="2.7265625" style="604" customWidth="1"/>
    <col min="13580" max="13580" width="11.26953125" style="604" customWidth="1"/>
    <col min="13581" max="13581" width="2.7265625" style="604" customWidth="1"/>
    <col min="13582" max="13582" width="11.26953125" style="604" customWidth="1"/>
    <col min="13583" max="13583" width="2.7265625" style="604" customWidth="1"/>
    <col min="13584" max="13584" width="19.08984375" style="604" bestFit="1" customWidth="1"/>
    <col min="13585" max="13585" width="1.81640625" style="604" customWidth="1"/>
    <col min="13586" max="13586" width="6.7265625" style="604" customWidth="1"/>
    <col min="13587" max="13587" width="14.7265625" style="604" customWidth="1"/>
    <col min="13588" max="13588" width="9" style="604" bestFit="1" customWidth="1"/>
    <col min="13589" max="13829" width="5" style="604"/>
    <col min="13830" max="13830" width="4.7265625" style="604" customWidth="1"/>
    <col min="13831" max="13831" width="2" style="604" customWidth="1"/>
    <col min="13832" max="13832" width="40.7265625" style="604" customWidth="1"/>
    <col min="13833" max="13833" width="3.54296875" style="604" customWidth="1"/>
    <col min="13834" max="13834" width="11.08984375" style="604" customWidth="1"/>
    <col min="13835" max="13835" width="2.7265625" style="604" customWidth="1"/>
    <col min="13836" max="13836" width="11.26953125" style="604" customWidth="1"/>
    <col min="13837" max="13837" width="2.7265625" style="604" customWidth="1"/>
    <col min="13838" max="13838" width="11.26953125" style="604" customWidth="1"/>
    <col min="13839" max="13839" width="2.7265625" style="604" customWidth="1"/>
    <col min="13840" max="13840" width="19.08984375" style="604" bestFit="1" customWidth="1"/>
    <col min="13841" max="13841" width="1.81640625" style="604" customWidth="1"/>
    <col min="13842" max="13842" width="6.7265625" style="604" customWidth="1"/>
    <col min="13843" max="13843" width="14.7265625" style="604" customWidth="1"/>
    <col min="13844" max="13844" width="9" style="604" bestFit="1" customWidth="1"/>
    <col min="13845" max="14085" width="5" style="604"/>
    <col min="14086" max="14086" width="4.7265625" style="604" customWidth="1"/>
    <col min="14087" max="14087" width="2" style="604" customWidth="1"/>
    <col min="14088" max="14088" width="40.7265625" style="604" customWidth="1"/>
    <col min="14089" max="14089" width="3.54296875" style="604" customWidth="1"/>
    <col min="14090" max="14090" width="11.08984375" style="604" customWidth="1"/>
    <col min="14091" max="14091" width="2.7265625" style="604" customWidth="1"/>
    <col min="14092" max="14092" width="11.26953125" style="604" customWidth="1"/>
    <col min="14093" max="14093" width="2.7265625" style="604" customWidth="1"/>
    <col min="14094" max="14094" width="11.26953125" style="604" customWidth="1"/>
    <col min="14095" max="14095" width="2.7265625" style="604" customWidth="1"/>
    <col min="14096" max="14096" width="19.08984375" style="604" bestFit="1" customWidth="1"/>
    <col min="14097" max="14097" width="1.81640625" style="604" customWidth="1"/>
    <col min="14098" max="14098" width="6.7265625" style="604" customWidth="1"/>
    <col min="14099" max="14099" width="14.7265625" style="604" customWidth="1"/>
    <col min="14100" max="14100" width="9" style="604" bestFit="1" customWidth="1"/>
    <col min="14101" max="14341" width="5" style="604"/>
    <col min="14342" max="14342" width="4.7265625" style="604" customWidth="1"/>
    <col min="14343" max="14343" width="2" style="604" customWidth="1"/>
    <col min="14344" max="14344" width="40.7265625" style="604" customWidth="1"/>
    <col min="14345" max="14345" width="3.54296875" style="604" customWidth="1"/>
    <col min="14346" max="14346" width="11.08984375" style="604" customWidth="1"/>
    <col min="14347" max="14347" width="2.7265625" style="604" customWidth="1"/>
    <col min="14348" max="14348" width="11.26953125" style="604" customWidth="1"/>
    <col min="14349" max="14349" width="2.7265625" style="604" customWidth="1"/>
    <col min="14350" max="14350" width="11.26953125" style="604" customWidth="1"/>
    <col min="14351" max="14351" width="2.7265625" style="604" customWidth="1"/>
    <col min="14352" max="14352" width="19.08984375" style="604" bestFit="1" customWidth="1"/>
    <col min="14353" max="14353" width="1.81640625" style="604" customWidth="1"/>
    <col min="14354" max="14354" width="6.7265625" style="604" customWidth="1"/>
    <col min="14355" max="14355" width="14.7265625" style="604" customWidth="1"/>
    <col min="14356" max="14356" width="9" style="604" bestFit="1" customWidth="1"/>
    <col min="14357" max="14597" width="5" style="604"/>
    <col min="14598" max="14598" width="4.7265625" style="604" customWidth="1"/>
    <col min="14599" max="14599" width="2" style="604" customWidth="1"/>
    <col min="14600" max="14600" width="40.7265625" style="604" customWidth="1"/>
    <col min="14601" max="14601" width="3.54296875" style="604" customWidth="1"/>
    <col min="14602" max="14602" width="11.08984375" style="604" customWidth="1"/>
    <col min="14603" max="14603" width="2.7265625" style="604" customWidth="1"/>
    <col min="14604" max="14604" width="11.26953125" style="604" customWidth="1"/>
    <col min="14605" max="14605" width="2.7265625" style="604" customWidth="1"/>
    <col min="14606" max="14606" width="11.26953125" style="604" customWidth="1"/>
    <col min="14607" max="14607" width="2.7265625" style="604" customWidth="1"/>
    <col min="14608" max="14608" width="19.08984375" style="604" bestFit="1" customWidth="1"/>
    <col min="14609" max="14609" width="1.81640625" style="604" customWidth="1"/>
    <col min="14610" max="14610" width="6.7265625" style="604" customWidth="1"/>
    <col min="14611" max="14611" width="14.7265625" style="604" customWidth="1"/>
    <col min="14612" max="14612" width="9" style="604" bestFit="1" customWidth="1"/>
    <col min="14613" max="14853" width="5" style="604"/>
    <col min="14854" max="14854" width="4.7265625" style="604" customWidth="1"/>
    <col min="14855" max="14855" width="2" style="604" customWidth="1"/>
    <col min="14856" max="14856" width="40.7265625" style="604" customWidth="1"/>
    <col min="14857" max="14857" width="3.54296875" style="604" customWidth="1"/>
    <col min="14858" max="14858" width="11.08984375" style="604" customWidth="1"/>
    <col min="14859" max="14859" width="2.7265625" style="604" customWidth="1"/>
    <col min="14860" max="14860" width="11.26953125" style="604" customWidth="1"/>
    <col min="14861" max="14861" width="2.7265625" style="604" customWidth="1"/>
    <col min="14862" max="14862" width="11.26953125" style="604" customWidth="1"/>
    <col min="14863" max="14863" width="2.7265625" style="604" customWidth="1"/>
    <col min="14864" max="14864" width="19.08984375" style="604" bestFit="1" customWidth="1"/>
    <col min="14865" max="14865" width="1.81640625" style="604" customWidth="1"/>
    <col min="14866" max="14866" width="6.7265625" style="604" customWidth="1"/>
    <col min="14867" max="14867" width="14.7265625" style="604" customWidth="1"/>
    <col min="14868" max="14868" width="9" style="604" bestFit="1" customWidth="1"/>
    <col min="14869" max="15109" width="5" style="604"/>
    <col min="15110" max="15110" width="4.7265625" style="604" customWidth="1"/>
    <col min="15111" max="15111" width="2" style="604" customWidth="1"/>
    <col min="15112" max="15112" width="40.7265625" style="604" customWidth="1"/>
    <col min="15113" max="15113" width="3.54296875" style="604" customWidth="1"/>
    <col min="15114" max="15114" width="11.08984375" style="604" customWidth="1"/>
    <col min="15115" max="15115" width="2.7265625" style="604" customWidth="1"/>
    <col min="15116" max="15116" width="11.26953125" style="604" customWidth="1"/>
    <col min="15117" max="15117" width="2.7265625" style="604" customWidth="1"/>
    <col min="15118" max="15118" width="11.26953125" style="604" customWidth="1"/>
    <col min="15119" max="15119" width="2.7265625" style="604" customWidth="1"/>
    <col min="15120" max="15120" width="19.08984375" style="604" bestFit="1" customWidth="1"/>
    <col min="15121" max="15121" width="1.81640625" style="604" customWidth="1"/>
    <col min="15122" max="15122" width="6.7265625" style="604" customWidth="1"/>
    <col min="15123" max="15123" width="14.7265625" style="604" customWidth="1"/>
    <col min="15124" max="15124" width="9" style="604" bestFit="1" customWidth="1"/>
    <col min="15125" max="15365" width="5" style="604"/>
    <col min="15366" max="15366" width="4.7265625" style="604" customWidth="1"/>
    <col min="15367" max="15367" width="2" style="604" customWidth="1"/>
    <col min="15368" max="15368" width="40.7265625" style="604" customWidth="1"/>
    <col min="15369" max="15369" width="3.54296875" style="604" customWidth="1"/>
    <col min="15370" max="15370" width="11.08984375" style="604" customWidth="1"/>
    <col min="15371" max="15371" width="2.7265625" style="604" customWidth="1"/>
    <col min="15372" max="15372" width="11.26953125" style="604" customWidth="1"/>
    <col min="15373" max="15373" width="2.7265625" style="604" customWidth="1"/>
    <col min="15374" max="15374" width="11.26953125" style="604" customWidth="1"/>
    <col min="15375" max="15375" width="2.7265625" style="604" customWidth="1"/>
    <col min="15376" max="15376" width="19.08984375" style="604" bestFit="1" customWidth="1"/>
    <col min="15377" max="15377" width="1.81640625" style="604" customWidth="1"/>
    <col min="15378" max="15378" width="6.7265625" style="604" customWidth="1"/>
    <col min="15379" max="15379" width="14.7265625" style="604" customWidth="1"/>
    <col min="15380" max="15380" width="9" style="604" bestFit="1" customWidth="1"/>
    <col min="15381" max="15621" width="5" style="604"/>
    <col min="15622" max="15622" width="4.7265625" style="604" customWidth="1"/>
    <col min="15623" max="15623" width="2" style="604" customWidth="1"/>
    <col min="15624" max="15624" width="40.7265625" style="604" customWidth="1"/>
    <col min="15625" max="15625" width="3.54296875" style="604" customWidth="1"/>
    <col min="15626" max="15626" width="11.08984375" style="604" customWidth="1"/>
    <col min="15627" max="15627" width="2.7265625" style="604" customWidth="1"/>
    <col min="15628" max="15628" width="11.26953125" style="604" customWidth="1"/>
    <col min="15629" max="15629" width="2.7265625" style="604" customWidth="1"/>
    <col min="15630" max="15630" width="11.26953125" style="604" customWidth="1"/>
    <col min="15631" max="15631" width="2.7265625" style="604" customWidth="1"/>
    <col min="15632" max="15632" width="19.08984375" style="604" bestFit="1" customWidth="1"/>
    <col min="15633" max="15633" width="1.81640625" style="604" customWidth="1"/>
    <col min="15634" max="15634" width="6.7265625" style="604" customWidth="1"/>
    <col min="15635" max="15635" width="14.7265625" style="604" customWidth="1"/>
    <col min="15636" max="15636" width="9" style="604" bestFit="1" customWidth="1"/>
    <col min="15637" max="15877" width="5" style="604"/>
    <col min="15878" max="15878" width="4.7265625" style="604" customWidth="1"/>
    <col min="15879" max="15879" width="2" style="604" customWidth="1"/>
    <col min="15880" max="15880" width="40.7265625" style="604" customWidth="1"/>
    <col min="15881" max="15881" width="3.54296875" style="604" customWidth="1"/>
    <col min="15882" max="15882" width="11.08984375" style="604" customWidth="1"/>
    <col min="15883" max="15883" width="2.7265625" style="604" customWidth="1"/>
    <col min="15884" max="15884" width="11.26953125" style="604" customWidth="1"/>
    <col min="15885" max="15885" width="2.7265625" style="604" customWidth="1"/>
    <col min="15886" max="15886" width="11.26953125" style="604" customWidth="1"/>
    <col min="15887" max="15887" width="2.7265625" style="604" customWidth="1"/>
    <col min="15888" max="15888" width="19.08984375" style="604" bestFit="1" customWidth="1"/>
    <col min="15889" max="15889" width="1.81640625" style="604" customWidth="1"/>
    <col min="15890" max="15890" width="6.7265625" style="604" customWidth="1"/>
    <col min="15891" max="15891" width="14.7265625" style="604" customWidth="1"/>
    <col min="15892" max="15892" width="9" style="604" bestFit="1" customWidth="1"/>
    <col min="15893" max="16133" width="5" style="604"/>
    <col min="16134" max="16134" width="4.7265625" style="604" customWidth="1"/>
    <col min="16135" max="16135" width="2" style="604" customWidth="1"/>
    <col min="16136" max="16136" width="40.7265625" style="604" customWidth="1"/>
    <col min="16137" max="16137" width="3.54296875" style="604" customWidth="1"/>
    <col min="16138" max="16138" width="11.08984375" style="604" customWidth="1"/>
    <col min="16139" max="16139" width="2.7265625" style="604" customWidth="1"/>
    <col min="16140" max="16140" width="11.26953125" style="604" customWidth="1"/>
    <col min="16141" max="16141" width="2.7265625" style="604" customWidth="1"/>
    <col min="16142" max="16142" width="11.26953125" style="604" customWidth="1"/>
    <col min="16143" max="16143" width="2.7265625" style="604" customWidth="1"/>
    <col min="16144" max="16144" width="19.08984375" style="604" bestFit="1" customWidth="1"/>
    <col min="16145" max="16145" width="1.81640625" style="604" customWidth="1"/>
    <col min="16146" max="16146" width="6.7265625" style="604" customWidth="1"/>
    <col min="16147" max="16147" width="14.7265625" style="604" customWidth="1"/>
    <col min="16148" max="16148" width="9" style="604" bestFit="1" customWidth="1"/>
    <col min="16149" max="16384" width="5" style="604"/>
  </cols>
  <sheetData>
    <row r="1" spans="1:47">
      <c r="AO1" s="604"/>
      <c r="AS1"/>
      <c r="AT1" s="860" t="s">
        <v>988</v>
      </c>
    </row>
    <row r="2" spans="1:47">
      <c r="AO2" s="604"/>
      <c r="AS2"/>
      <c r="AT2" s="860" t="s">
        <v>144</v>
      </c>
    </row>
    <row r="3" spans="1:47">
      <c r="AO3" s="604"/>
      <c r="AS3"/>
      <c r="AT3" s="3" t="str">
        <f>'Attachment 16 - Abandoned Plant'!I3</f>
        <v>For the 12 months ended 12/31/2022</v>
      </c>
    </row>
    <row r="5" spans="1:47">
      <c r="C5" s="624" t="s">
        <v>627</v>
      </c>
      <c r="E5" s="624" t="str">
        <f>"("&amp;CHAR(CODE(MID(C5,2,1))+1)&amp;")"</f>
        <v>(B)</v>
      </c>
      <c r="G5" s="624" t="str">
        <f>"("&amp;CHAR(CODE(MID(E5,2,1))+1)&amp;")"</f>
        <v>(C)</v>
      </c>
      <c r="I5" s="624" t="str">
        <f t="shared" ref="I5" si="0">"("&amp;CHAR(CODE(MID(G5,2,1))+1)&amp;")"</f>
        <v>(D)</v>
      </c>
      <c r="K5" s="624" t="str">
        <f t="shared" ref="K5" si="1">"("&amp;CHAR(CODE(MID(I5,2,1))+1)&amp;")"</f>
        <v>(E)</v>
      </c>
      <c r="M5" s="624" t="str">
        <f t="shared" ref="M5" si="2">"("&amp;CHAR(CODE(MID(K5,2,1))+1)&amp;")"</f>
        <v>(F)</v>
      </c>
      <c r="O5" s="624" t="str">
        <f t="shared" ref="O5" si="3">"("&amp;CHAR(CODE(MID(M5,2,1))+1)&amp;")"</f>
        <v>(G)</v>
      </c>
      <c r="Q5" s="624" t="str">
        <f>"("&amp;CHAR(CODE(MID(O5,2,1))+1)&amp;")"</f>
        <v>(H)</v>
      </c>
      <c r="S5" s="624" t="str">
        <f>"("&amp;CHAR(CODE(MID(Q5,2,1))+1)&amp;")"</f>
        <v>(I)</v>
      </c>
      <c r="U5" s="624" t="str">
        <f>"("&amp;CHAR(CODE(MID(S5,2,1))+1)&amp;")"</f>
        <v>(J)</v>
      </c>
      <c r="W5" s="624" t="str">
        <f>"("&amp;CHAR(CODE(MID(U5,2,1))+1)&amp;")"</f>
        <v>(K)</v>
      </c>
      <c r="Y5" s="624" t="str">
        <f>"("&amp;CHAR(CODE(MID(W5,2,1))+1)&amp;")"</f>
        <v>(L)</v>
      </c>
      <c r="AA5" s="624" t="str">
        <f>"("&amp;CHAR(CODE(MID(Y5,2,1))+1)&amp;")"</f>
        <v>(M)</v>
      </c>
      <c r="AC5" s="624" t="str">
        <f>"("&amp;CHAR(CODE(MID(AA5,2,1))+1)&amp;")"</f>
        <v>(N)</v>
      </c>
      <c r="AE5" s="624" t="str">
        <f>"("&amp;CHAR(CODE(MID(AC5,2,1))+1)&amp;")"</f>
        <v>(O)</v>
      </c>
      <c r="AG5" s="624" t="str">
        <f>"("&amp;CHAR(CODE(MID(AE5,2,1))+1)&amp;")"</f>
        <v>(P)</v>
      </c>
      <c r="AI5" s="624" t="str">
        <f>"("&amp;CHAR(CODE(MID(AG5,2,1))+1)&amp;")"</f>
        <v>(Q)</v>
      </c>
      <c r="AK5" s="624" t="str">
        <f>"("&amp;CHAR(CODE(MID(AI5,2,1))+1)&amp;")"</f>
        <v>(R)</v>
      </c>
      <c r="AM5" s="624" t="str">
        <f>"("&amp;CHAR(CODE(MID(AK5,2,1))+1)&amp;")"</f>
        <v>(S)</v>
      </c>
      <c r="AO5" s="624" t="str">
        <f>"("&amp;CHAR(CODE(MID(AM5,2,1))+1)&amp;")"</f>
        <v>(T)</v>
      </c>
      <c r="AQ5" s="624" t="str">
        <f>"("&amp;CHAR(CODE(MID(AO5,2,1))+1)&amp;")"</f>
        <v>(U)</v>
      </c>
      <c r="AR5" s="748" t="str">
        <f>"("&amp;CHAR(CODE(MID(AQ5,2,1))+1)&amp;")"</f>
        <v>(V)</v>
      </c>
      <c r="AS5" s="748"/>
      <c r="AT5" s="748" t="str">
        <f>"("&amp;CHAR(CODE(MID(AR5,2,1))+1)&amp;")"</f>
        <v>(W)</v>
      </c>
    </row>
    <row r="6" spans="1:47">
      <c r="E6" s="624"/>
      <c r="G6" s="624"/>
      <c r="O6" s="624"/>
      <c r="Q6" s="624"/>
      <c r="S6" s="624"/>
      <c r="U6" s="624"/>
      <c r="W6" s="624"/>
      <c r="Y6" s="624"/>
      <c r="AA6" s="624"/>
      <c r="AC6" s="624"/>
      <c r="AE6" s="624"/>
      <c r="AG6" s="624"/>
      <c r="AI6" s="624"/>
      <c r="AK6" s="624"/>
      <c r="AU6" s="605"/>
    </row>
    <row r="7" spans="1:47">
      <c r="E7" s="624"/>
      <c r="G7" s="605"/>
      <c r="O7" s="623">
        <f>'Attachment 4 - Accum Depr'!C8</f>
        <v>2021</v>
      </c>
      <c r="Q7" s="623">
        <f>$O$7+1</f>
        <v>2022</v>
      </c>
      <c r="S7" s="623">
        <f>$O$7+1</f>
        <v>2022</v>
      </c>
      <c r="U7" s="623">
        <f>$O$7+1</f>
        <v>2022</v>
      </c>
      <c r="W7" s="623">
        <f>$O$7+1</f>
        <v>2022</v>
      </c>
      <c r="Y7" s="623">
        <f>$O$7+1</f>
        <v>2022</v>
      </c>
      <c r="AA7" s="623">
        <f>$O$7+1</f>
        <v>2022</v>
      </c>
      <c r="AC7" s="623">
        <f>$O$7+1</f>
        <v>2022</v>
      </c>
      <c r="AE7" s="623">
        <f>$O$7+1</f>
        <v>2022</v>
      </c>
      <c r="AG7" s="623">
        <f>$O$7+1</f>
        <v>2022</v>
      </c>
      <c r="AI7" s="623">
        <f>$O$7+1</f>
        <v>2022</v>
      </c>
      <c r="AK7" s="623">
        <f>$O$7+1</f>
        <v>2022</v>
      </c>
      <c r="AM7" s="623">
        <f>$O$7+1</f>
        <v>2022</v>
      </c>
      <c r="AU7" s="605"/>
    </row>
    <row r="8" spans="1:47" ht="47.4">
      <c r="A8" s="622" t="s">
        <v>630</v>
      </c>
      <c r="B8" s="702"/>
      <c r="C8" s="621" t="s">
        <v>703</v>
      </c>
      <c r="D8" s="702"/>
      <c r="E8" s="620" t="s">
        <v>625</v>
      </c>
      <c r="F8" s="702"/>
      <c r="G8" s="631" t="s">
        <v>637</v>
      </c>
      <c r="H8" s="702"/>
      <c r="I8" s="619" t="s">
        <v>704</v>
      </c>
      <c r="J8" s="702"/>
      <c r="K8" s="619" t="s">
        <v>705</v>
      </c>
      <c r="L8" s="702"/>
      <c r="M8" s="619" t="s">
        <v>706</v>
      </c>
      <c r="N8" s="702"/>
      <c r="O8" s="619" t="s">
        <v>188</v>
      </c>
      <c r="P8" s="702"/>
      <c r="Q8" s="619" t="s">
        <v>623</v>
      </c>
      <c r="R8" s="702"/>
      <c r="S8" s="619" t="s">
        <v>622</v>
      </c>
      <c r="T8" s="702"/>
      <c r="U8" s="619" t="s">
        <v>621</v>
      </c>
      <c r="V8" s="702"/>
      <c r="W8" s="619" t="s">
        <v>620</v>
      </c>
      <c r="X8" s="702"/>
      <c r="Y8" s="619" t="s">
        <v>619</v>
      </c>
      <c r="Z8" s="702"/>
      <c r="AA8" s="619" t="s">
        <v>618</v>
      </c>
      <c r="AB8" s="702"/>
      <c r="AC8" s="619" t="s">
        <v>617</v>
      </c>
      <c r="AD8" s="702"/>
      <c r="AE8" s="619" t="s">
        <v>616</v>
      </c>
      <c r="AF8" s="702"/>
      <c r="AG8" s="619" t="s">
        <v>615</v>
      </c>
      <c r="AH8" s="702"/>
      <c r="AI8" s="619" t="s">
        <v>614</v>
      </c>
      <c r="AJ8" s="702"/>
      <c r="AK8" s="619" t="s">
        <v>613</v>
      </c>
      <c r="AL8" s="702"/>
      <c r="AM8" s="619" t="s">
        <v>188</v>
      </c>
      <c r="AN8" s="702"/>
      <c r="AO8" s="619" t="s">
        <v>629</v>
      </c>
      <c r="AP8" s="702" t="s">
        <v>642</v>
      </c>
      <c r="AQ8" s="618" t="s">
        <v>881</v>
      </c>
      <c r="AR8" s="893" t="s">
        <v>727</v>
      </c>
      <c r="AS8" s="702" t="s">
        <v>60</v>
      </c>
      <c r="AT8" s="893" t="s">
        <v>809</v>
      </c>
      <c r="AU8" s="611"/>
    </row>
    <row r="9" spans="1:47">
      <c r="A9" s="615"/>
      <c r="B9" s="701"/>
      <c r="C9" s="614"/>
      <c r="D9" s="701"/>
      <c r="E9" s="612"/>
      <c r="F9" s="701"/>
      <c r="G9" s="633"/>
      <c r="H9" s="701"/>
      <c r="I9" s="698"/>
      <c r="J9" s="701"/>
      <c r="K9" s="698"/>
      <c r="L9" s="701"/>
      <c r="M9" s="698"/>
      <c r="N9" s="701"/>
      <c r="O9" s="612"/>
      <c r="P9" s="701"/>
      <c r="Q9" s="612"/>
      <c r="R9" s="701"/>
      <c r="S9" s="612"/>
      <c r="T9" s="701"/>
      <c r="U9" s="612"/>
      <c r="V9" s="701"/>
      <c r="W9" s="612"/>
      <c r="X9" s="701"/>
      <c r="Y9" s="612"/>
      <c r="Z9" s="701"/>
      <c r="AA9" s="612"/>
      <c r="AB9" s="701"/>
      <c r="AC9" s="612"/>
      <c r="AD9" s="701"/>
      <c r="AE9" s="612"/>
      <c r="AF9" s="701"/>
      <c r="AG9" s="612"/>
      <c r="AH9" s="701"/>
      <c r="AI9" s="612"/>
      <c r="AJ9" s="701"/>
      <c r="AK9" s="612"/>
      <c r="AL9" s="701"/>
      <c r="AM9" s="612"/>
      <c r="AN9" s="701"/>
      <c r="AO9" s="612"/>
      <c r="AP9" s="701"/>
      <c r="AQ9" s="617"/>
      <c r="AR9" s="617"/>
      <c r="AS9" s="701"/>
      <c r="AT9" s="616"/>
      <c r="AU9" s="611"/>
    </row>
    <row r="10" spans="1:47">
      <c r="A10" s="615">
        <v>1</v>
      </c>
      <c r="B10" s="701"/>
      <c r="C10" s="614" t="s">
        <v>702</v>
      </c>
      <c r="D10" s="701"/>
      <c r="E10" s="612"/>
      <c r="F10" s="701"/>
      <c r="G10" s="633"/>
      <c r="H10" s="701"/>
      <c r="I10" s="698"/>
      <c r="J10" s="701"/>
      <c r="K10" s="698"/>
      <c r="L10" s="701"/>
      <c r="M10" s="698"/>
      <c r="N10" s="701"/>
      <c r="O10" s="612"/>
      <c r="P10" s="701"/>
      <c r="Q10" s="612"/>
      <c r="R10" s="701"/>
      <c r="S10" s="612"/>
      <c r="T10" s="701"/>
      <c r="U10" s="612"/>
      <c r="V10" s="701"/>
      <c r="W10" s="612"/>
      <c r="X10" s="701"/>
      <c r="Y10" s="612"/>
      <c r="Z10" s="701"/>
      <c r="AA10" s="612"/>
      <c r="AB10" s="701"/>
      <c r="AC10" s="612"/>
      <c r="AD10" s="701"/>
      <c r="AE10" s="612"/>
      <c r="AF10" s="701"/>
      <c r="AG10" s="612"/>
      <c r="AH10" s="701"/>
      <c r="AI10" s="612"/>
      <c r="AJ10" s="701"/>
      <c r="AK10" s="612"/>
      <c r="AL10" s="701"/>
      <c r="AM10" s="612"/>
      <c r="AN10" s="701"/>
      <c r="AO10" s="612"/>
      <c r="AP10" s="701"/>
      <c r="AQ10" s="612"/>
      <c r="AR10" s="612"/>
      <c r="AS10" s="701"/>
      <c r="AT10" s="612"/>
      <c r="AU10" s="611"/>
    </row>
    <row r="11" spans="1:47">
      <c r="C11" s="605"/>
      <c r="E11" s="605"/>
      <c r="G11" s="632"/>
      <c r="I11" s="632"/>
      <c r="K11" s="632"/>
      <c r="M11" s="632"/>
      <c r="O11" s="605"/>
      <c r="Q11" s="605"/>
      <c r="S11" s="605"/>
      <c r="U11" s="605"/>
      <c r="W11" s="605"/>
      <c r="Y11" s="605"/>
      <c r="AA11" s="605"/>
      <c r="AC11" s="605"/>
      <c r="AE11" s="605"/>
      <c r="AG11" s="605"/>
      <c r="AI11" s="605"/>
      <c r="AK11" s="605"/>
      <c r="AT11" s="605"/>
      <c r="AU11" s="605"/>
    </row>
    <row r="12" spans="1:47">
      <c r="A12" s="605" t="s">
        <v>365</v>
      </c>
      <c r="C12" s="660" t="s">
        <v>741</v>
      </c>
      <c r="E12" s="660"/>
      <c r="G12" s="660"/>
      <c r="I12" s="660"/>
      <c r="K12" s="660"/>
      <c r="M12" s="660"/>
      <c r="O12" s="660"/>
      <c r="Q12" s="660"/>
      <c r="S12" s="660"/>
      <c r="U12" s="660"/>
      <c r="W12" s="660"/>
      <c r="Y12" s="660"/>
      <c r="AA12" s="660"/>
      <c r="AC12" s="660"/>
      <c r="AE12" s="660"/>
      <c r="AG12" s="660"/>
      <c r="AI12" s="660"/>
      <c r="AK12" s="660"/>
      <c r="AM12" s="660"/>
      <c r="AO12" s="606">
        <f>SUM(O12:AM12)/13</f>
        <v>0</v>
      </c>
      <c r="AQ12" s="727"/>
      <c r="AR12" s="757">
        <f ca="1">IFERROR(INDIRECT(AQ12),0)</f>
        <v>0</v>
      </c>
      <c r="AT12" s="610">
        <f ca="1">AO12*AR12</f>
        <v>0</v>
      </c>
    </row>
    <row r="13" spans="1:47">
      <c r="A13" s="605" t="s">
        <v>366</v>
      </c>
      <c r="C13" s="660" t="s">
        <v>742</v>
      </c>
      <c r="E13" s="660"/>
      <c r="G13" s="660"/>
      <c r="I13" s="660"/>
      <c r="K13" s="660"/>
      <c r="M13" s="660"/>
      <c r="O13" s="660"/>
      <c r="Q13" s="660"/>
      <c r="S13" s="660"/>
      <c r="U13" s="660"/>
      <c r="W13" s="660"/>
      <c r="Y13" s="660"/>
      <c r="AA13" s="660"/>
      <c r="AC13" s="660"/>
      <c r="AE13" s="660"/>
      <c r="AG13" s="660"/>
      <c r="AI13" s="660"/>
      <c r="AK13" s="660"/>
      <c r="AM13" s="660"/>
      <c r="AO13" s="606">
        <f>SUM(O13:AM13)/13</f>
        <v>0</v>
      </c>
      <c r="AQ13" s="727"/>
      <c r="AR13" s="757">
        <f ca="1">IFERROR(INDIRECT(AQ13),0)</f>
        <v>0</v>
      </c>
      <c r="AT13" s="610">
        <f ca="1">AO13*AR13</f>
        <v>0</v>
      </c>
    </row>
    <row r="14" spans="1:47">
      <c r="A14" s="605">
        <v>3</v>
      </c>
      <c r="C14" s="604" t="s">
        <v>743</v>
      </c>
      <c r="E14" s="647"/>
      <c r="G14" s="632"/>
      <c r="I14" s="700"/>
      <c r="K14" s="700"/>
      <c r="M14" s="700"/>
      <c r="O14" s="609">
        <f>SUM(O12:O13)</f>
        <v>0</v>
      </c>
      <c r="Q14" s="609">
        <f>SUM(Q12:Q13)</f>
        <v>0</v>
      </c>
      <c r="S14" s="609">
        <f>SUM(S12:S13)</f>
        <v>0</v>
      </c>
      <c r="U14" s="609">
        <f>SUM(U12:U13)</f>
        <v>0</v>
      </c>
      <c r="W14" s="609">
        <f>SUM(W12:W13)</f>
        <v>0</v>
      </c>
      <c r="Y14" s="609">
        <f>SUM(Y12:Y13)</f>
        <v>0</v>
      </c>
      <c r="AA14" s="609">
        <f>SUM(AA12:AA13)</f>
        <v>0</v>
      </c>
      <c r="AC14" s="609">
        <f>SUM(AC12:AC13)</f>
        <v>0</v>
      </c>
      <c r="AE14" s="609">
        <f>SUM(AE12:AE13)</f>
        <v>0</v>
      </c>
      <c r="AG14" s="609">
        <f>SUM(AG12:AG13)</f>
        <v>0</v>
      </c>
      <c r="AI14" s="609">
        <f>SUM(AI12:AI13)</f>
        <v>0</v>
      </c>
      <c r="AK14" s="609">
        <f>SUM(AK12:AK13)</f>
        <v>0</v>
      </c>
      <c r="AM14" s="609">
        <f>SUM(AM12:AM13)</f>
        <v>0</v>
      </c>
      <c r="AO14" s="609">
        <f>SUM(AO12:AO13)</f>
        <v>0</v>
      </c>
      <c r="AT14" s="608">
        <f ca="1">SUM(AT12:AT13)</f>
        <v>0</v>
      </c>
    </row>
    <row r="15" spans="1:47">
      <c r="G15" s="632"/>
    </row>
    <row r="16" spans="1:47">
      <c r="A16" s="604"/>
      <c r="C16" s="607" t="s">
        <v>153</v>
      </c>
      <c r="E16" s="604"/>
      <c r="AM16" s="606"/>
    </row>
    <row r="17" spans="1:23" ht="15.6" customHeight="1">
      <c r="A17" s="604"/>
      <c r="C17" s="604" t="s">
        <v>786</v>
      </c>
      <c r="E17" s="604"/>
      <c r="G17" s="604"/>
      <c r="I17" s="632"/>
      <c r="K17" s="632"/>
      <c r="M17" s="817"/>
      <c r="O17" s="604"/>
      <c r="Q17" s="604"/>
      <c r="S17" s="792"/>
      <c r="T17" s="792"/>
      <c r="U17" s="792"/>
      <c r="V17" s="792"/>
      <c r="W17" s="792"/>
    </row>
    <row r="18" spans="1:23">
      <c r="C18" s="999" t="s">
        <v>843</v>
      </c>
      <c r="D18" s="999"/>
      <c r="E18" s="999"/>
      <c r="F18" s="999"/>
      <c r="G18" s="999"/>
      <c r="H18" s="999"/>
      <c r="I18" s="999"/>
      <c r="K18" s="632"/>
      <c r="M18" s="632"/>
      <c r="O18" s="826"/>
      <c r="Q18" s="604"/>
      <c r="S18" s="792"/>
      <c r="T18" s="792"/>
      <c r="U18" s="792"/>
      <c r="V18" s="792"/>
      <c r="W18" s="792"/>
    </row>
    <row r="19" spans="1:23" ht="15.75" customHeight="1">
      <c r="C19" s="999"/>
      <c r="D19" s="999"/>
      <c r="E19" s="999"/>
      <c r="F19" s="999"/>
      <c r="G19" s="999"/>
      <c r="H19" s="999"/>
      <c r="I19" s="999"/>
      <c r="K19" s="699"/>
      <c r="M19" s="699"/>
      <c r="O19" s="642"/>
      <c r="Q19" s="642"/>
      <c r="S19" s="792"/>
      <c r="T19" s="792"/>
      <c r="U19" s="792"/>
      <c r="V19" s="792"/>
      <c r="W19" s="792"/>
    </row>
    <row r="20" spans="1:23">
      <c r="Q20" s="642"/>
      <c r="S20" s="792"/>
      <c r="T20" s="792"/>
      <c r="U20" s="792"/>
      <c r="V20" s="792"/>
      <c r="W20" s="792"/>
    </row>
    <row r="21" spans="1:23">
      <c r="G21" s="632"/>
    </row>
    <row r="22" spans="1:23">
      <c r="G22" s="632"/>
    </row>
    <row r="23" spans="1:23">
      <c r="C23" s="816"/>
      <c r="E23" s="642"/>
      <c r="G23" s="642"/>
      <c r="I23" s="699"/>
      <c r="K23" s="699"/>
      <c r="M23" s="699"/>
      <c r="O23" s="642"/>
    </row>
    <row r="26" spans="1:23">
      <c r="G26" s="632"/>
    </row>
    <row r="27" spans="1:23">
      <c r="G27" s="632"/>
    </row>
    <row r="28" spans="1:23">
      <c r="G28" s="632"/>
    </row>
    <row r="29" spans="1:23">
      <c r="G29" s="632"/>
    </row>
    <row r="30" spans="1:23">
      <c r="G30" s="632"/>
    </row>
    <row r="32" spans="1:23">
      <c r="G32" s="668"/>
    </row>
    <row r="33" spans="7:7">
      <c r="G33" s="667"/>
    </row>
    <row r="34" spans="7:7">
      <c r="G34" s="604"/>
    </row>
    <row r="35" spans="7:7">
      <c r="G35" s="604"/>
    </row>
    <row r="36" spans="7:7">
      <c r="G36" s="604"/>
    </row>
    <row r="37" spans="7:7">
      <c r="G37" s="604"/>
    </row>
  </sheetData>
  <mergeCells count="1">
    <mergeCell ref="C18:I19"/>
  </mergeCells>
  <dataValidations count="1">
    <dataValidation type="list" allowBlank="1" showInputMessage="1" showErrorMessage="1" sqref="AQ12:AQ13" xr:uid="{00000000-0002-0000-1800-000000000000}">
      <formula1>"DA, TE, TP, GP, WS, CE, EXCL,"</formula1>
    </dataValidation>
  </dataValidations>
  <pageMargins left="0.25" right="0.25" top="0.75" bottom="0.75" header="0.3" footer="0.3"/>
  <pageSetup scale="34" fitToHeight="0" orientation="landscape" r:id="rId1"/>
  <headerFooter>
    <oddHeader xml:space="preserve">&amp;R&amp;"Times New Roman,Regular"
</oddHeader>
    <oddFooter xml:space="preserve">&amp;L&amp;"Times New Roman,Bold"&amp;10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5">
    <pageSetUpPr fitToPage="1"/>
  </sheetPr>
  <dimension ref="A1:AB49"/>
  <sheetViews>
    <sheetView showWhiteSpace="0" zoomScale="60" zoomScaleNormal="60" zoomScalePageLayoutView="70" workbookViewId="0">
      <selection activeCell="D3" sqref="D3"/>
    </sheetView>
  </sheetViews>
  <sheetFormatPr defaultColWidth="5" defaultRowHeight="15.6"/>
  <cols>
    <col min="1" max="1" width="6.26953125" style="605" bestFit="1" customWidth="1"/>
    <col min="2" max="2" width="0.7265625" style="605" customWidth="1"/>
    <col min="3" max="3" width="34.26953125" style="604" customWidth="1"/>
    <col min="4" max="4" width="10.26953125" style="604" customWidth="1"/>
    <col min="5" max="5" width="12.7265625" style="604" customWidth="1"/>
    <col min="6" max="6" width="1.7265625" style="604" customWidth="1"/>
    <col min="7" max="7" width="9.26953125" style="604" customWidth="1"/>
    <col min="8" max="8" width="2.7265625" style="604" customWidth="1"/>
    <col min="9" max="9" width="13.08984375" style="606" customWidth="1"/>
    <col min="10" max="10" width="2.08984375" style="604" customWidth="1"/>
    <col min="11" max="11" width="0.54296875" style="604" customWidth="1"/>
    <col min="12" max="224" width="5" style="604"/>
    <col min="225" max="225" width="4.7265625" style="604" customWidth="1"/>
    <col min="226" max="226" width="2" style="604" customWidth="1"/>
    <col min="227" max="227" width="40.7265625" style="604" customWidth="1"/>
    <col min="228" max="228" width="3.54296875" style="604" customWidth="1"/>
    <col min="229" max="229" width="11.08984375" style="604" customWidth="1"/>
    <col min="230" max="230" width="2.7265625" style="604" customWidth="1"/>
    <col min="231" max="231" width="11.26953125" style="604" customWidth="1"/>
    <col min="232" max="232" width="2.7265625" style="604" customWidth="1"/>
    <col min="233" max="233" width="11.26953125" style="604" customWidth="1"/>
    <col min="234" max="234" width="2.7265625" style="604" customWidth="1"/>
    <col min="235" max="235" width="19.08984375" style="604" bestFit="1" customWidth="1"/>
    <col min="236" max="236" width="1.81640625" style="604" customWidth="1"/>
    <col min="237" max="237" width="6.7265625" style="604" customWidth="1"/>
    <col min="238" max="238" width="14.7265625" style="604" customWidth="1"/>
    <col min="239" max="239" width="9" style="604" bestFit="1" customWidth="1"/>
    <col min="240" max="480" width="5" style="604"/>
    <col min="481" max="481" width="4.7265625" style="604" customWidth="1"/>
    <col min="482" max="482" width="2" style="604" customWidth="1"/>
    <col min="483" max="483" width="40.7265625" style="604" customWidth="1"/>
    <col min="484" max="484" width="3.54296875" style="604" customWidth="1"/>
    <col min="485" max="485" width="11.08984375" style="604" customWidth="1"/>
    <col min="486" max="486" width="2.7265625" style="604" customWidth="1"/>
    <col min="487" max="487" width="11.26953125" style="604" customWidth="1"/>
    <col min="488" max="488" width="2.7265625" style="604" customWidth="1"/>
    <col min="489" max="489" width="11.26953125" style="604" customWidth="1"/>
    <col min="490" max="490" width="2.7265625" style="604" customWidth="1"/>
    <col min="491" max="491" width="19.08984375" style="604" bestFit="1" customWidth="1"/>
    <col min="492" max="492" width="1.81640625" style="604" customWidth="1"/>
    <col min="493" max="493" width="6.7265625" style="604" customWidth="1"/>
    <col min="494" max="494" width="14.7265625" style="604" customWidth="1"/>
    <col min="495" max="495" width="9" style="604" bestFit="1" customWidth="1"/>
    <col min="496" max="736" width="5" style="604"/>
    <col min="737" max="737" width="4.7265625" style="604" customWidth="1"/>
    <col min="738" max="738" width="2" style="604" customWidth="1"/>
    <col min="739" max="739" width="40.7265625" style="604" customWidth="1"/>
    <col min="740" max="740" width="3.54296875" style="604" customWidth="1"/>
    <col min="741" max="741" width="11.08984375" style="604" customWidth="1"/>
    <col min="742" max="742" width="2.7265625" style="604" customWidth="1"/>
    <col min="743" max="743" width="11.26953125" style="604" customWidth="1"/>
    <col min="744" max="744" width="2.7265625" style="604" customWidth="1"/>
    <col min="745" max="745" width="11.26953125" style="604" customWidth="1"/>
    <col min="746" max="746" width="2.7265625" style="604" customWidth="1"/>
    <col min="747" max="747" width="19.08984375" style="604" bestFit="1" customWidth="1"/>
    <col min="748" max="748" width="1.81640625" style="604" customWidth="1"/>
    <col min="749" max="749" width="6.7265625" style="604" customWidth="1"/>
    <col min="750" max="750" width="14.7265625" style="604" customWidth="1"/>
    <col min="751" max="751" width="9" style="604" bestFit="1" customWidth="1"/>
    <col min="752" max="992" width="5" style="604"/>
    <col min="993" max="993" width="4.7265625" style="604" customWidth="1"/>
    <col min="994" max="994" width="2" style="604" customWidth="1"/>
    <col min="995" max="995" width="40.7265625" style="604" customWidth="1"/>
    <col min="996" max="996" width="3.54296875" style="604" customWidth="1"/>
    <col min="997" max="997" width="11.08984375" style="604" customWidth="1"/>
    <col min="998" max="998" width="2.7265625" style="604" customWidth="1"/>
    <col min="999" max="999" width="11.26953125" style="604" customWidth="1"/>
    <col min="1000" max="1000" width="2.7265625" style="604" customWidth="1"/>
    <col min="1001" max="1001" width="11.26953125" style="604" customWidth="1"/>
    <col min="1002" max="1002" width="2.7265625" style="604" customWidth="1"/>
    <col min="1003" max="1003" width="19.08984375" style="604" bestFit="1" customWidth="1"/>
    <col min="1004" max="1004" width="1.81640625" style="604" customWidth="1"/>
    <col min="1005" max="1005" width="6.7265625" style="604" customWidth="1"/>
    <col min="1006" max="1006" width="14.7265625" style="604" customWidth="1"/>
    <col min="1007" max="1007" width="9" style="604" bestFit="1" customWidth="1"/>
    <col min="1008" max="1248" width="5" style="604"/>
    <col min="1249" max="1249" width="4.7265625" style="604" customWidth="1"/>
    <col min="1250" max="1250" width="2" style="604" customWidth="1"/>
    <col min="1251" max="1251" width="40.7265625" style="604" customWidth="1"/>
    <col min="1252" max="1252" width="3.54296875" style="604" customWidth="1"/>
    <col min="1253" max="1253" width="11.08984375" style="604" customWidth="1"/>
    <col min="1254" max="1254" width="2.7265625" style="604" customWidth="1"/>
    <col min="1255" max="1255" width="11.26953125" style="604" customWidth="1"/>
    <col min="1256" max="1256" width="2.7265625" style="604" customWidth="1"/>
    <col min="1257" max="1257" width="11.26953125" style="604" customWidth="1"/>
    <col min="1258" max="1258" width="2.7265625" style="604" customWidth="1"/>
    <col min="1259" max="1259" width="19.08984375" style="604" bestFit="1" customWidth="1"/>
    <col min="1260" max="1260" width="1.81640625" style="604" customWidth="1"/>
    <col min="1261" max="1261" width="6.7265625" style="604" customWidth="1"/>
    <col min="1262" max="1262" width="14.7265625" style="604" customWidth="1"/>
    <col min="1263" max="1263" width="9" style="604" bestFit="1" customWidth="1"/>
    <col min="1264" max="1504" width="5" style="604"/>
    <col min="1505" max="1505" width="4.7265625" style="604" customWidth="1"/>
    <col min="1506" max="1506" width="2" style="604" customWidth="1"/>
    <col min="1507" max="1507" width="40.7265625" style="604" customWidth="1"/>
    <col min="1508" max="1508" width="3.54296875" style="604" customWidth="1"/>
    <col min="1509" max="1509" width="11.08984375" style="604" customWidth="1"/>
    <col min="1510" max="1510" width="2.7265625" style="604" customWidth="1"/>
    <col min="1511" max="1511" width="11.26953125" style="604" customWidth="1"/>
    <col min="1512" max="1512" width="2.7265625" style="604" customWidth="1"/>
    <col min="1513" max="1513" width="11.26953125" style="604" customWidth="1"/>
    <col min="1514" max="1514" width="2.7265625" style="604" customWidth="1"/>
    <col min="1515" max="1515" width="19.08984375" style="604" bestFit="1" customWidth="1"/>
    <col min="1516" max="1516" width="1.81640625" style="604" customWidth="1"/>
    <col min="1517" max="1517" width="6.7265625" style="604" customWidth="1"/>
    <col min="1518" max="1518" width="14.7265625" style="604" customWidth="1"/>
    <col min="1519" max="1519" width="9" style="604" bestFit="1" customWidth="1"/>
    <col min="1520" max="1760" width="5" style="604"/>
    <col min="1761" max="1761" width="4.7265625" style="604" customWidth="1"/>
    <col min="1762" max="1762" width="2" style="604" customWidth="1"/>
    <col min="1763" max="1763" width="40.7265625" style="604" customWidth="1"/>
    <col min="1764" max="1764" width="3.54296875" style="604" customWidth="1"/>
    <col min="1765" max="1765" width="11.08984375" style="604" customWidth="1"/>
    <col min="1766" max="1766" width="2.7265625" style="604" customWidth="1"/>
    <col min="1767" max="1767" width="11.26953125" style="604" customWidth="1"/>
    <col min="1768" max="1768" width="2.7265625" style="604" customWidth="1"/>
    <col min="1769" max="1769" width="11.26953125" style="604" customWidth="1"/>
    <col min="1770" max="1770" width="2.7265625" style="604" customWidth="1"/>
    <col min="1771" max="1771" width="19.08984375" style="604" bestFit="1" customWidth="1"/>
    <col min="1772" max="1772" width="1.81640625" style="604" customWidth="1"/>
    <col min="1773" max="1773" width="6.7265625" style="604" customWidth="1"/>
    <col min="1774" max="1774" width="14.7265625" style="604" customWidth="1"/>
    <col min="1775" max="1775" width="9" style="604" bestFit="1" customWidth="1"/>
    <col min="1776" max="2016" width="5" style="604"/>
    <col min="2017" max="2017" width="4.7265625" style="604" customWidth="1"/>
    <col min="2018" max="2018" width="2" style="604" customWidth="1"/>
    <col min="2019" max="2019" width="40.7265625" style="604" customWidth="1"/>
    <col min="2020" max="2020" width="3.54296875" style="604" customWidth="1"/>
    <col min="2021" max="2021" width="11.08984375" style="604" customWidth="1"/>
    <col min="2022" max="2022" width="2.7265625" style="604" customWidth="1"/>
    <col min="2023" max="2023" width="11.26953125" style="604" customWidth="1"/>
    <col min="2024" max="2024" width="2.7265625" style="604" customWidth="1"/>
    <col min="2025" max="2025" width="11.26953125" style="604" customWidth="1"/>
    <col min="2026" max="2026" width="2.7265625" style="604" customWidth="1"/>
    <col min="2027" max="2027" width="19.08984375" style="604" bestFit="1" customWidth="1"/>
    <col min="2028" max="2028" width="1.81640625" style="604" customWidth="1"/>
    <col min="2029" max="2029" width="6.7265625" style="604" customWidth="1"/>
    <col min="2030" max="2030" width="14.7265625" style="604" customWidth="1"/>
    <col min="2031" max="2031" width="9" style="604" bestFit="1" customWidth="1"/>
    <col min="2032" max="2272" width="5" style="604"/>
    <col min="2273" max="2273" width="4.7265625" style="604" customWidth="1"/>
    <col min="2274" max="2274" width="2" style="604" customWidth="1"/>
    <col min="2275" max="2275" width="40.7265625" style="604" customWidth="1"/>
    <col min="2276" max="2276" width="3.54296875" style="604" customWidth="1"/>
    <col min="2277" max="2277" width="11.08984375" style="604" customWidth="1"/>
    <col min="2278" max="2278" width="2.7265625" style="604" customWidth="1"/>
    <col min="2279" max="2279" width="11.26953125" style="604" customWidth="1"/>
    <col min="2280" max="2280" width="2.7265625" style="604" customWidth="1"/>
    <col min="2281" max="2281" width="11.26953125" style="604" customWidth="1"/>
    <col min="2282" max="2282" width="2.7265625" style="604" customWidth="1"/>
    <col min="2283" max="2283" width="19.08984375" style="604" bestFit="1" customWidth="1"/>
    <col min="2284" max="2284" width="1.81640625" style="604" customWidth="1"/>
    <col min="2285" max="2285" width="6.7265625" style="604" customWidth="1"/>
    <col min="2286" max="2286" width="14.7265625" style="604" customWidth="1"/>
    <col min="2287" max="2287" width="9" style="604" bestFit="1" customWidth="1"/>
    <col min="2288" max="2528" width="5" style="604"/>
    <col min="2529" max="2529" width="4.7265625" style="604" customWidth="1"/>
    <col min="2530" max="2530" width="2" style="604" customWidth="1"/>
    <col min="2531" max="2531" width="40.7265625" style="604" customWidth="1"/>
    <col min="2532" max="2532" width="3.54296875" style="604" customWidth="1"/>
    <col min="2533" max="2533" width="11.08984375" style="604" customWidth="1"/>
    <col min="2534" max="2534" width="2.7265625" style="604" customWidth="1"/>
    <col min="2535" max="2535" width="11.26953125" style="604" customWidth="1"/>
    <col min="2536" max="2536" width="2.7265625" style="604" customWidth="1"/>
    <col min="2537" max="2537" width="11.26953125" style="604" customWidth="1"/>
    <col min="2538" max="2538" width="2.7265625" style="604" customWidth="1"/>
    <col min="2539" max="2539" width="19.08984375" style="604" bestFit="1" customWidth="1"/>
    <col min="2540" max="2540" width="1.81640625" style="604" customWidth="1"/>
    <col min="2541" max="2541" width="6.7265625" style="604" customWidth="1"/>
    <col min="2542" max="2542" width="14.7265625" style="604" customWidth="1"/>
    <col min="2543" max="2543" width="9" style="604" bestFit="1" customWidth="1"/>
    <col min="2544" max="2784" width="5" style="604"/>
    <col min="2785" max="2785" width="4.7265625" style="604" customWidth="1"/>
    <col min="2786" max="2786" width="2" style="604" customWidth="1"/>
    <col min="2787" max="2787" width="40.7265625" style="604" customWidth="1"/>
    <col min="2788" max="2788" width="3.54296875" style="604" customWidth="1"/>
    <col min="2789" max="2789" width="11.08984375" style="604" customWidth="1"/>
    <col min="2790" max="2790" width="2.7265625" style="604" customWidth="1"/>
    <col min="2791" max="2791" width="11.26953125" style="604" customWidth="1"/>
    <col min="2792" max="2792" width="2.7265625" style="604" customWidth="1"/>
    <col min="2793" max="2793" width="11.26953125" style="604" customWidth="1"/>
    <col min="2794" max="2794" width="2.7265625" style="604" customWidth="1"/>
    <col min="2795" max="2795" width="19.08984375" style="604" bestFit="1" customWidth="1"/>
    <col min="2796" max="2796" width="1.81640625" style="604" customWidth="1"/>
    <col min="2797" max="2797" width="6.7265625" style="604" customWidth="1"/>
    <col min="2798" max="2798" width="14.7265625" style="604" customWidth="1"/>
    <col min="2799" max="2799" width="9" style="604" bestFit="1" customWidth="1"/>
    <col min="2800" max="3040" width="5" style="604"/>
    <col min="3041" max="3041" width="4.7265625" style="604" customWidth="1"/>
    <col min="3042" max="3042" width="2" style="604" customWidth="1"/>
    <col min="3043" max="3043" width="40.7265625" style="604" customWidth="1"/>
    <col min="3044" max="3044" width="3.54296875" style="604" customWidth="1"/>
    <col min="3045" max="3045" width="11.08984375" style="604" customWidth="1"/>
    <col min="3046" max="3046" width="2.7265625" style="604" customWidth="1"/>
    <col min="3047" max="3047" width="11.26953125" style="604" customWidth="1"/>
    <col min="3048" max="3048" width="2.7265625" style="604" customWidth="1"/>
    <col min="3049" max="3049" width="11.26953125" style="604" customWidth="1"/>
    <col min="3050" max="3050" width="2.7265625" style="604" customWidth="1"/>
    <col min="3051" max="3051" width="19.08984375" style="604" bestFit="1" customWidth="1"/>
    <col min="3052" max="3052" width="1.81640625" style="604" customWidth="1"/>
    <col min="3053" max="3053" width="6.7265625" style="604" customWidth="1"/>
    <col min="3054" max="3054" width="14.7265625" style="604" customWidth="1"/>
    <col min="3055" max="3055" width="9" style="604" bestFit="1" customWidth="1"/>
    <col min="3056" max="3296" width="5" style="604"/>
    <col min="3297" max="3297" width="4.7265625" style="604" customWidth="1"/>
    <col min="3298" max="3298" width="2" style="604" customWidth="1"/>
    <col min="3299" max="3299" width="40.7265625" style="604" customWidth="1"/>
    <col min="3300" max="3300" width="3.54296875" style="604" customWidth="1"/>
    <col min="3301" max="3301" width="11.08984375" style="604" customWidth="1"/>
    <col min="3302" max="3302" width="2.7265625" style="604" customWidth="1"/>
    <col min="3303" max="3303" width="11.26953125" style="604" customWidth="1"/>
    <col min="3304" max="3304" width="2.7265625" style="604" customWidth="1"/>
    <col min="3305" max="3305" width="11.26953125" style="604" customWidth="1"/>
    <col min="3306" max="3306" width="2.7265625" style="604" customWidth="1"/>
    <col min="3307" max="3307" width="19.08984375" style="604" bestFit="1" customWidth="1"/>
    <col min="3308" max="3308" width="1.81640625" style="604" customWidth="1"/>
    <col min="3309" max="3309" width="6.7265625" style="604" customWidth="1"/>
    <col min="3310" max="3310" width="14.7265625" style="604" customWidth="1"/>
    <col min="3311" max="3311" width="9" style="604" bestFit="1" customWidth="1"/>
    <col min="3312" max="3552" width="5" style="604"/>
    <col min="3553" max="3553" width="4.7265625" style="604" customWidth="1"/>
    <col min="3554" max="3554" width="2" style="604" customWidth="1"/>
    <col min="3555" max="3555" width="40.7265625" style="604" customWidth="1"/>
    <col min="3556" max="3556" width="3.54296875" style="604" customWidth="1"/>
    <col min="3557" max="3557" width="11.08984375" style="604" customWidth="1"/>
    <col min="3558" max="3558" width="2.7265625" style="604" customWidth="1"/>
    <col min="3559" max="3559" width="11.26953125" style="604" customWidth="1"/>
    <col min="3560" max="3560" width="2.7265625" style="604" customWidth="1"/>
    <col min="3561" max="3561" width="11.26953125" style="604" customWidth="1"/>
    <col min="3562" max="3562" width="2.7265625" style="604" customWidth="1"/>
    <col min="3563" max="3563" width="19.08984375" style="604" bestFit="1" customWidth="1"/>
    <col min="3564" max="3564" width="1.81640625" style="604" customWidth="1"/>
    <col min="3565" max="3565" width="6.7265625" style="604" customWidth="1"/>
    <col min="3566" max="3566" width="14.7265625" style="604" customWidth="1"/>
    <col min="3567" max="3567" width="9" style="604" bestFit="1" customWidth="1"/>
    <col min="3568" max="3808" width="5" style="604"/>
    <col min="3809" max="3809" width="4.7265625" style="604" customWidth="1"/>
    <col min="3810" max="3810" width="2" style="604" customWidth="1"/>
    <col min="3811" max="3811" width="40.7265625" style="604" customWidth="1"/>
    <col min="3812" max="3812" width="3.54296875" style="604" customWidth="1"/>
    <col min="3813" max="3813" width="11.08984375" style="604" customWidth="1"/>
    <col min="3814" max="3814" width="2.7265625" style="604" customWidth="1"/>
    <col min="3815" max="3815" width="11.26953125" style="604" customWidth="1"/>
    <col min="3816" max="3816" width="2.7265625" style="604" customWidth="1"/>
    <col min="3817" max="3817" width="11.26953125" style="604" customWidth="1"/>
    <col min="3818" max="3818" width="2.7265625" style="604" customWidth="1"/>
    <col min="3819" max="3819" width="19.08984375" style="604" bestFit="1" customWidth="1"/>
    <col min="3820" max="3820" width="1.81640625" style="604" customWidth="1"/>
    <col min="3821" max="3821" width="6.7265625" style="604" customWidth="1"/>
    <col min="3822" max="3822" width="14.7265625" style="604" customWidth="1"/>
    <col min="3823" max="3823" width="9" style="604" bestFit="1" customWidth="1"/>
    <col min="3824" max="4064" width="5" style="604"/>
    <col min="4065" max="4065" width="4.7265625" style="604" customWidth="1"/>
    <col min="4066" max="4066" width="2" style="604" customWidth="1"/>
    <col min="4067" max="4067" width="40.7265625" style="604" customWidth="1"/>
    <col min="4068" max="4068" width="3.54296875" style="604" customWidth="1"/>
    <col min="4069" max="4069" width="11.08984375" style="604" customWidth="1"/>
    <col min="4070" max="4070" width="2.7265625" style="604" customWidth="1"/>
    <col min="4071" max="4071" width="11.26953125" style="604" customWidth="1"/>
    <col min="4072" max="4072" width="2.7265625" style="604" customWidth="1"/>
    <col min="4073" max="4073" width="11.26953125" style="604" customWidth="1"/>
    <col min="4074" max="4074" width="2.7265625" style="604" customWidth="1"/>
    <col min="4075" max="4075" width="19.08984375" style="604" bestFit="1" customWidth="1"/>
    <col min="4076" max="4076" width="1.81640625" style="604" customWidth="1"/>
    <col min="4077" max="4077" width="6.7265625" style="604" customWidth="1"/>
    <col min="4078" max="4078" width="14.7265625" style="604" customWidth="1"/>
    <col min="4079" max="4079" width="9" style="604" bestFit="1" customWidth="1"/>
    <col min="4080" max="4320" width="5" style="604"/>
    <col min="4321" max="4321" width="4.7265625" style="604" customWidth="1"/>
    <col min="4322" max="4322" width="2" style="604" customWidth="1"/>
    <col min="4323" max="4323" width="40.7265625" style="604" customWidth="1"/>
    <col min="4324" max="4324" width="3.54296875" style="604" customWidth="1"/>
    <col min="4325" max="4325" width="11.08984375" style="604" customWidth="1"/>
    <col min="4326" max="4326" width="2.7265625" style="604" customWidth="1"/>
    <col min="4327" max="4327" width="11.26953125" style="604" customWidth="1"/>
    <col min="4328" max="4328" width="2.7265625" style="604" customWidth="1"/>
    <col min="4329" max="4329" width="11.26953125" style="604" customWidth="1"/>
    <col min="4330" max="4330" width="2.7265625" style="604" customWidth="1"/>
    <col min="4331" max="4331" width="19.08984375" style="604" bestFit="1" customWidth="1"/>
    <col min="4332" max="4332" width="1.81640625" style="604" customWidth="1"/>
    <col min="4333" max="4333" width="6.7265625" style="604" customWidth="1"/>
    <col min="4334" max="4334" width="14.7265625" style="604" customWidth="1"/>
    <col min="4335" max="4335" width="9" style="604" bestFit="1" customWidth="1"/>
    <col min="4336" max="4576" width="5" style="604"/>
    <col min="4577" max="4577" width="4.7265625" style="604" customWidth="1"/>
    <col min="4578" max="4578" width="2" style="604" customWidth="1"/>
    <col min="4579" max="4579" width="40.7265625" style="604" customWidth="1"/>
    <col min="4580" max="4580" width="3.54296875" style="604" customWidth="1"/>
    <col min="4581" max="4581" width="11.08984375" style="604" customWidth="1"/>
    <col min="4582" max="4582" width="2.7265625" style="604" customWidth="1"/>
    <col min="4583" max="4583" width="11.26953125" style="604" customWidth="1"/>
    <col min="4584" max="4584" width="2.7265625" style="604" customWidth="1"/>
    <col min="4585" max="4585" width="11.26953125" style="604" customWidth="1"/>
    <col min="4586" max="4586" width="2.7265625" style="604" customWidth="1"/>
    <col min="4587" max="4587" width="19.08984375" style="604" bestFit="1" customWidth="1"/>
    <col min="4588" max="4588" width="1.81640625" style="604" customWidth="1"/>
    <col min="4589" max="4589" width="6.7265625" style="604" customWidth="1"/>
    <col min="4590" max="4590" width="14.7265625" style="604" customWidth="1"/>
    <col min="4591" max="4591" width="9" style="604" bestFit="1" customWidth="1"/>
    <col min="4592" max="4832" width="5" style="604"/>
    <col min="4833" max="4833" width="4.7265625" style="604" customWidth="1"/>
    <col min="4834" max="4834" width="2" style="604" customWidth="1"/>
    <col min="4835" max="4835" width="40.7265625" style="604" customWidth="1"/>
    <col min="4836" max="4836" width="3.54296875" style="604" customWidth="1"/>
    <col min="4837" max="4837" width="11.08984375" style="604" customWidth="1"/>
    <col min="4838" max="4838" width="2.7265625" style="604" customWidth="1"/>
    <col min="4839" max="4839" width="11.26953125" style="604" customWidth="1"/>
    <col min="4840" max="4840" width="2.7265625" style="604" customWidth="1"/>
    <col min="4841" max="4841" width="11.26953125" style="604" customWidth="1"/>
    <col min="4842" max="4842" width="2.7265625" style="604" customWidth="1"/>
    <col min="4843" max="4843" width="19.08984375" style="604" bestFit="1" customWidth="1"/>
    <col min="4844" max="4844" width="1.81640625" style="604" customWidth="1"/>
    <col min="4845" max="4845" width="6.7265625" style="604" customWidth="1"/>
    <col min="4846" max="4846" width="14.7265625" style="604" customWidth="1"/>
    <col min="4847" max="4847" width="9" style="604" bestFit="1" customWidth="1"/>
    <col min="4848" max="5088" width="5" style="604"/>
    <col min="5089" max="5089" width="4.7265625" style="604" customWidth="1"/>
    <col min="5090" max="5090" width="2" style="604" customWidth="1"/>
    <col min="5091" max="5091" width="40.7265625" style="604" customWidth="1"/>
    <col min="5092" max="5092" width="3.54296875" style="604" customWidth="1"/>
    <col min="5093" max="5093" width="11.08984375" style="604" customWidth="1"/>
    <col min="5094" max="5094" width="2.7265625" style="604" customWidth="1"/>
    <col min="5095" max="5095" width="11.26953125" style="604" customWidth="1"/>
    <col min="5096" max="5096" width="2.7265625" style="604" customWidth="1"/>
    <col min="5097" max="5097" width="11.26953125" style="604" customWidth="1"/>
    <col min="5098" max="5098" width="2.7265625" style="604" customWidth="1"/>
    <col min="5099" max="5099" width="19.08984375" style="604" bestFit="1" customWidth="1"/>
    <col min="5100" max="5100" width="1.81640625" style="604" customWidth="1"/>
    <col min="5101" max="5101" width="6.7265625" style="604" customWidth="1"/>
    <col min="5102" max="5102" width="14.7265625" style="604" customWidth="1"/>
    <col min="5103" max="5103" width="9" style="604" bestFit="1" customWidth="1"/>
    <col min="5104" max="5344" width="5" style="604"/>
    <col min="5345" max="5345" width="4.7265625" style="604" customWidth="1"/>
    <col min="5346" max="5346" width="2" style="604" customWidth="1"/>
    <col min="5347" max="5347" width="40.7265625" style="604" customWidth="1"/>
    <col min="5348" max="5348" width="3.54296875" style="604" customWidth="1"/>
    <col min="5349" max="5349" width="11.08984375" style="604" customWidth="1"/>
    <col min="5350" max="5350" width="2.7265625" style="604" customWidth="1"/>
    <col min="5351" max="5351" width="11.26953125" style="604" customWidth="1"/>
    <col min="5352" max="5352" width="2.7265625" style="604" customWidth="1"/>
    <col min="5353" max="5353" width="11.26953125" style="604" customWidth="1"/>
    <col min="5354" max="5354" width="2.7265625" style="604" customWidth="1"/>
    <col min="5355" max="5355" width="19.08984375" style="604" bestFit="1" customWidth="1"/>
    <col min="5356" max="5356" width="1.81640625" style="604" customWidth="1"/>
    <col min="5357" max="5357" width="6.7265625" style="604" customWidth="1"/>
    <col min="5358" max="5358" width="14.7265625" style="604" customWidth="1"/>
    <col min="5359" max="5359" width="9" style="604" bestFit="1" customWidth="1"/>
    <col min="5360" max="5600" width="5" style="604"/>
    <col min="5601" max="5601" width="4.7265625" style="604" customWidth="1"/>
    <col min="5602" max="5602" width="2" style="604" customWidth="1"/>
    <col min="5603" max="5603" width="40.7265625" style="604" customWidth="1"/>
    <col min="5604" max="5604" width="3.54296875" style="604" customWidth="1"/>
    <col min="5605" max="5605" width="11.08984375" style="604" customWidth="1"/>
    <col min="5606" max="5606" width="2.7265625" style="604" customWidth="1"/>
    <col min="5607" max="5607" width="11.26953125" style="604" customWidth="1"/>
    <col min="5608" max="5608" width="2.7265625" style="604" customWidth="1"/>
    <col min="5609" max="5609" width="11.26953125" style="604" customWidth="1"/>
    <col min="5610" max="5610" width="2.7265625" style="604" customWidth="1"/>
    <col min="5611" max="5611" width="19.08984375" style="604" bestFit="1" customWidth="1"/>
    <col min="5612" max="5612" width="1.81640625" style="604" customWidth="1"/>
    <col min="5613" max="5613" width="6.7265625" style="604" customWidth="1"/>
    <col min="5614" max="5614" width="14.7265625" style="604" customWidth="1"/>
    <col min="5615" max="5615" width="9" style="604" bestFit="1" customWidth="1"/>
    <col min="5616" max="5856" width="5" style="604"/>
    <col min="5857" max="5857" width="4.7265625" style="604" customWidth="1"/>
    <col min="5858" max="5858" width="2" style="604" customWidth="1"/>
    <col min="5859" max="5859" width="40.7265625" style="604" customWidth="1"/>
    <col min="5860" max="5860" width="3.54296875" style="604" customWidth="1"/>
    <col min="5861" max="5861" width="11.08984375" style="604" customWidth="1"/>
    <col min="5862" max="5862" width="2.7265625" style="604" customWidth="1"/>
    <col min="5863" max="5863" width="11.26953125" style="604" customWidth="1"/>
    <col min="5864" max="5864" width="2.7265625" style="604" customWidth="1"/>
    <col min="5865" max="5865" width="11.26953125" style="604" customWidth="1"/>
    <col min="5866" max="5866" width="2.7265625" style="604" customWidth="1"/>
    <col min="5867" max="5867" width="19.08984375" style="604" bestFit="1" customWidth="1"/>
    <col min="5868" max="5868" width="1.81640625" style="604" customWidth="1"/>
    <col min="5869" max="5869" width="6.7265625" style="604" customWidth="1"/>
    <col min="5870" max="5870" width="14.7265625" style="604" customWidth="1"/>
    <col min="5871" max="5871" width="9" style="604" bestFit="1" customWidth="1"/>
    <col min="5872" max="6112" width="5" style="604"/>
    <col min="6113" max="6113" width="4.7265625" style="604" customWidth="1"/>
    <col min="6114" max="6114" width="2" style="604" customWidth="1"/>
    <col min="6115" max="6115" width="40.7265625" style="604" customWidth="1"/>
    <col min="6116" max="6116" width="3.54296875" style="604" customWidth="1"/>
    <col min="6117" max="6117" width="11.08984375" style="604" customWidth="1"/>
    <col min="6118" max="6118" width="2.7265625" style="604" customWidth="1"/>
    <col min="6119" max="6119" width="11.26953125" style="604" customWidth="1"/>
    <col min="6120" max="6120" width="2.7265625" style="604" customWidth="1"/>
    <col min="6121" max="6121" width="11.26953125" style="604" customWidth="1"/>
    <col min="6122" max="6122" width="2.7265625" style="604" customWidth="1"/>
    <col min="6123" max="6123" width="19.08984375" style="604" bestFit="1" customWidth="1"/>
    <col min="6124" max="6124" width="1.81640625" style="604" customWidth="1"/>
    <col min="6125" max="6125" width="6.7265625" style="604" customWidth="1"/>
    <col min="6126" max="6126" width="14.7265625" style="604" customWidth="1"/>
    <col min="6127" max="6127" width="9" style="604" bestFit="1" customWidth="1"/>
    <col min="6128" max="6368" width="5" style="604"/>
    <col min="6369" max="6369" width="4.7265625" style="604" customWidth="1"/>
    <col min="6370" max="6370" width="2" style="604" customWidth="1"/>
    <col min="6371" max="6371" width="40.7265625" style="604" customWidth="1"/>
    <col min="6372" max="6372" width="3.54296875" style="604" customWidth="1"/>
    <col min="6373" max="6373" width="11.08984375" style="604" customWidth="1"/>
    <col min="6374" max="6374" width="2.7265625" style="604" customWidth="1"/>
    <col min="6375" max="6375" width="11.26953125" style="604" customWidth="1"/>
    <col min="6376" max="6376" width="2.7265625" style="604" customWidth="1"/>
    <col min="6377" max="6377" width="11.26953125" style="604" customWidth="1"/>
    <col min="6378" max="6378" width="2.7265625" style="604" customWidth="1"/>
    <col min="6379" max="6379" width="19.08984375" style="604" bestFit="1" customWidth="1"/>
    <col min="6380" max="6380" width="1.81640625" style="604" customWidth="1"/>
    <col min="6381" max="6381" width="6.7265625" style="604" customWidth="1"/>
    <col min="6382" max="6382" width="14.7265625" style="604" customWidth="1"/>
    <col min="6383" max="6383" width="9" style="604" bestFit="1" customWidth="1"/>
    <col min="6384" max="6624" width="5" style="604"/>
    <col min="6625" max="6625" width="4.7265625" style="604" customWidth="1"/>
    <col min="6626" max="6626" width="2" style="604" customWidth="1"/>
    <col min="6627" max="6627" width="40.7265625" style="604" customWidth="1"/>
    <col min="6628" max="6628" width="3.54296875" style="604" customWidth="1"/>
    <col min="6629" max="6629" width="11.08984375" style="604" customWidth="1"/>
    <col min="6630" max="6630" width="2.7265625" style="604" customWidth="1"/>
    <col min="6631" max="6631" width="11.26953125" style="604" customWidth="1"/>
    <col min="6632" max="6632" width="2.7265625" style="604" customWidth="1"/>
    <col min="6633" max="6633" width="11.26953125" style="604" customWidth="1"/>
    <col min="6634" max="6634" width="2.7265625" style="604" customWidth="1"/>
    <col min="6635" max="6635" width="19.08984375" style="604" bestFit="1" customWidth="1"/>
    <col min="6636" max="6636" width="1.81640625" style="604" customWidth="1"/>
    <col min="6637" max="6637" width="6.7265625" style="604" customWidth="1"/>
    <col min="6638" max="6638" width="14.7265625" style="604" customWidth="1"/>
    <col min="6639" max="6639" width="9" style="604" bestFit="1" customWidth="1"/>
    <col min="6640" max="6880" width="5" style="604"/>
    <col min="6881" max="6881" width="4.7265625" style="604" customWidth="1"/>
    <col min="6882" max="6882" width="2" style="604" customWidth="1"/>
    <col min="6883" max="6883" width="40.7265625" style="604" customWidth="1"/>
    <col min="6884" max="6884" width="3.54296875" style="604" customWidth="1"/>
    <col min="6885" max="6885" width="11.08984375" style="604" customWidth="1"/>
    <col min="6886" max="6886" width="2.7265625" style="604" customWidth="1"/>
    <col min="6887" max="6887" width="11.26953125" style="604" customWidth="1"/>
    <col min="6888" max="6888" width="2.7265625" style="604" customWidth="1"/>
    <col min="6889" max="6889" width="11.26953125" style="604" customWidth="1"/>
    <col min="6890" max="6890" width="2.7265625" style="604" customWidth="1"/>
    <col min="6891" max="6891" width="19.08984375" style="604" bestFit="1" customWidth="1"/>
    <col min="6892" max="6892" width="1.81640625" style="604" customWidth="1"/>
    <col min="6893" max="6893" width="6.7265625" style="604" customWidth="1"/>
    <col min="6894" max="6894" width="14.7265625" style="604" customWidth="1"/>
    <col min="6895" max="6895" width="9" style="604" bestFit="1" customWidth="1"/>
    <col min="6896" max="7136" width="5" style="604"/>
    <col min="7137" max="7137" width="4.7265625" style="604" customWidth="1"/>
    <col min="7138" max="7138" width="2" style="604" customWidth="1"/>
    <col min="7139" max="7139" width="40.7265625" style="604" customWidth="1"/>
    <col min="7140" max="7140" width="3.54296875" style="604" customWidth="1"/>
    <col min="7141" max="7141" width="11.08984375" style="604" customWidth="1"/>
    <col min="7142" max="7142" width="2.7265625" style="604" customWidth="1"/>
    <col min="7143" max="7143" width="11.26953125" style="604" customWidth="1"/>
    <col min="7144" max="7144" width="2.7265625" style="604" customWidth="1"/>
    <col min="7145" max="7145" width="11.26953125" style="604" customWidth="1"/>
    <col min="7146" max="7146" width="2.7265625" style="604" customWidth="1"/>
    <col min="7147" max="7147" width="19.08984375" style="604" bestFit="1" customWidth="1"/>
    <col min="7148" max="7148" width="1.81640625" style="604" customWidth="1"/>
    <col min="7149" max="7149" width="6.7265625" style="604" customWidth="1"/>
    <col min="7150" max="7150" width="14.7265625" style="604" customWidth="1"/>
    <col min="7151" max="7151" width="9" style="604" bestFit="1" customWidth="1"/>
    <col min="7152" max="7392" width="5" style="604"/>
    <col min="7393" max="7393" width="4.7265625" style="604" customWidth="1"/>
    <col min="7394" max="7394" width="2" style="604" customWidth="1"/>
    <col min="7395" max="7395" width="40.7265625" style="604" customWidth="1"/>
    <col min="7396" max="7396" width="3.54296875" style="604" customWidth="1"/>
    <col min="7397" max="7397" width="11.08984375" style="604" customWidth="1"/>
    <col min="7398" max="7398" width="2.7265625" style="604" customWidth="1"/>
    <col min="7399" max="7399" width="11.26953125" style="604" customWidth="1"/>
    <col min="7400" max="7400" width="2.7265625" style="604" customWidth="1"/>
    <col min="7401" max="7401" width="11.26953125" style="604" customWidth="1"/>
    <col min="7402" max="7402" width="2.7265625" style="604" customWidth="1"/>
    <col min="7403" max="7403" width="19.08984375" style="604" bestFit="1" customWidth="1"/>
    <col min="7404" max="7404" width="1.81640625" style="604" customWidth="1"/>
    <col min="7405" max="7405" width="6.7265625" style="604" customWidth="1"/>
    <col min="7406" max="7406" width="14.7265625" style="604" customWidth="1"/>
    <col min="7407" max="7407" width="9" style="604" bestFit="1" customWidth="1"/>
    <col min="7408" max="7648" width="5" style="604"/>
    <col min="7649" max="7649" width="4.7265625" style="604" customWidth="1"/>
    <col min="7650" max="7650" width="2" style="604" customWidth="1"/>
    <col min="7651" max="7651" width="40.7265625" style="604" customWidth="1"/>
    <col min="7652" max="7652" width="3.54296875" style="604" customWidth="1"/>
    <col min="7653" max="7653" width="11.08984375" style="604" customWidth="1"/>
    <col min="7654" max="7654" width="2.7265625" style="604" customWidth="1"/>
    <col min="7655" max="7655" width="11.26953125" style="604" customWidth="1"/>
    <col min="7656" max="7656" width="2.7265625" style="604" customWidth="1"/>
    <col min="7657" max="7657" width="11.26953125" style="604" customWidth="1"/>
    <col min="7658" max="7658" width="2.7265625" style="604" customWidth="1"/>
    <col min="7659" max="7659" width="19.08984375" style="604" bestFit="1" customWidth="1"/>
    <col min="7660" max="7660" width="1.81640625" style="604" customWidth="1"/>
    <col min="7661" max="7661" width="6.7265625" style="604" customWidth="1"/>
    <col min="7662" max="7662" width="14.7265625" style="604" customWidth="1"/>
    <col min="7663" max="7663" width="9" style="604" bestFit="1" customWidth="1"/>
    <col min="7664" max="7904" width="5" style="604"/>
    <col min="7905" max="7905" width="4.7265625" style="604" customWidth="1"/>
    <col min="7906" max="7906" width="2" style="604" customWidth="1"/>
    <col min="7907" max="7907" width="40.7265625" style="604" customWidth="1"/>
    <col min="7908" max="7908" width="3.54296875" style="604" customWidth="1"/>
    <col min="7909" max="7909" width="11.08984375" style="604" customWidth="1"/>
    <col min="7910" max="7910" width="2.7265625" style="604" customWidth="1"/>
    <col min="7911" max="7911" width="11.26953125" style="604" customWidth="1"/>
    <col min="7912" max="7912" width="2.7265625" style="604" customWidth="1"/>
    <col min="7913" max="7913" width="11.26953125" style="604" customWidth="1"/>
    <col min="7914" max="7914" width="2.7265625" style="604" customWidth="1"/>
    <col min="7915" max="7915" width="19.08984375" style="604" bestFit="1" customWidth="1"/>
    <col min="7916" max="7916" width="1.81640625" style="604" customWidth="1"/>
    <col min="7917" max="7917" width="6.7265625" style="604" customWidth="1"/>
    <col min="7918" max="7918" width="14.7265625" style="604" customWidth="1"/>
    <col min="7919" max="7919" width="9" style="604" bestFit="1" customWidth="1"/>
    <col min="7920" max="8160" width="5" style="604"/>
    <col min="8161" max="8161" width="4.7265625" style="604" customWidth="1"/>
    <col min="8162" max="8162" width="2" style="604" customWidth="1"/>
    <col min="8163" max="8163" width="40.7265625" style="604" customWidth="1"/>
    <col min="8164" max="8164" width="3.54296875" style="604" customWidth="1"/>
    <col min="8165" max="8165" width="11.08984375" style="604" customWidth="1"/>
    <col min="8166" max="8166" width="2.7265625" style="604" customWidth="1"/>
    <col min="8167" max="8167" width="11.26953125" style="604" customWidth="1"/>
    <col min="8168" max="8168" width="2.7265625" style="604" customWidth="1"/>
    <col min="8169" max="8169" width="11.26953125" style="604" customWidth="1"/>
    <col min="8170" max="8170" width="2.7265625" style="604" customWidth="1"/>
    <col min="8171" max="8171" width="19.08984375" style="604" bestFit="1" customWidth="1"/>
    <col min="8172" max="8172" width="1.81640625" style="604" customWidth="1"/>
    <col min="8173" max="8173" width="6.7265625" style="604" customWidth="1"/>
    <col min="8174" max="8174" width="14.7265625" style="604" customWidth="1"/>
    <col min="8175" max="8175" width="9" style="604" bestFit="1" customWidth="1"/>
    <col min="8176" max="8416" width="5" style="604"/>
    <col min="8417" max="8417" width="4.7265625" style="604" customWidth="1"/>
    <col min="8418" max="8418" width="2" style="604" customWidth="1"/>
    <col min="8419" max="8419" width="40.7265625" style="604" customWidth="1"/>
    <col min="8420" max="8420" width="3.54296875" style="604" customWidth="1"/>
    <col min="8421" max="8421" width="11.08984375" style="604" customWidth="1"/>
    <col min="8422" max="8422" width="2.7265625" style="604" customWidth="1"/>
    <col min="8423" max="8423" width="11.26953125" style="604" customWidth="1"/>
    <col min="8424" max="8424" width="2.7265625" style="604" customWidth="1"/>
    <col min="8425" max="8425" width="11.26953125" style="604" customWidth="1"/>
    <col min="8426" max="8426" width="2.7265625" style="604" customWidth="1"/>
    <col min="8427" max="8427" width="19.08984375" style="604" bestFit="1" customWidth="1"/>
    <col min="8428" max="8428" width="1.81640625" style="604" customWidth="1"/>
    <col min="8429" max="8429" width="6.7265625" style="604" customWidth="1"/>
    <col min="8430" max="8430" width="14.7265625" style="604" customWidth="1"/>
    <col min="8431" max="8431" width="9" style="604" bestFit="1" customWidth="1"/>
    <col min="8432" max="8672" width="5" style="604"/>
    <col min="8673" max="8673" width="4.7265625" style="604" customWidth="1"/>
    <col min="8674" max="8674" width="2" style="604" customWidth="1"/>
    <col min="8675" max="8675" width="40.7265625" style="604" customWidth="1"/>
    <col min="8676" max="8676" width="3.54296875" style="604" customWidth="1"/>
    <col min="8677" max="8677" width="11.08984375" style="604" customWidth="1"/>
    <col min="8678" max="8678" width="2.7265625" style="604" customWidth="1"/>
    <col min="8679" max="8679" width="11.26953125" style="604" customWidth="1"/>
    <col min="8680" max="8680" width="2.7265625" style="604" customWidth="1"/>
    <col min="8681" max="8681" width="11.26953125" style="604" customWidth="1"/>
    <col min="8682" max="8682" width="2.7265625" style="604" customWidth="1"/>
    <col min="8683" max="8683" width="19.08984375" style="604" bestFit="1" customWidth="1"/>
    <col min="8684" max="8684" width="1.81640625" style="604" customWidth="1"/>
    <col min="8685" max="8685" width="6.7265625" style="604" customWidth="1"/>
    <col min="8686" max="8686" width="14.7265625" style="604" customWidth="1"/>
    <col min="8687" max="8687" width="9" style="604" bestFit="1" customWidth="1"/>
    <col min="8688" max="8928" width="5" style="604"/>
    <col min="8929" max="8929" width="4.7265625" style="604" customWidth="1"/>
    <col min="8930" max="8930" width="2" style="604" customWidth="1"/>
    <col min="8931" max="8931" width="40.7265625" style="604" customWidth="1"/>
    <col min="8932" max="8932" width="3.54296875" style="604" customWidth="1"/>
    <col min="8933" max="8933" width="11.08984375" style="604" customWidth="1"/>
    <col min="8934" max="8934" width="2.7265625" style="604" customWidth="1"/>
    <col min="8935" max="8935" width="11.26953125" style="604" customWidth="1"/>
    <col min="8936" max="8936" width="2.7265625" style="604" customWidth="1"/>
    <col min="8937" max="8937" width="11.26953125" style="604" customWidth="1"/>
    <col min="8938" max="8938" width="2.7265625" style="604" customWidth="1"/>
    <col min="8939" max="8939" width="19.08984375" style="604" bestFit="1" customWidth="1"/>
    <col min="8940" max="8940" width="1.81640625" style="604" customWidth="1"/>
    <col min="8941" max="8941" width="6.7265625" style="604" customWidth="1"/>
    <col min="8942" max="8942" width="14.7265625" style="604" customWidth="1"/>
    <col min="8943" max="8943" width="9" style="604" bestFit="1" customWidth="1"/>
    <col min="8944" max="9184" width="5" style="604"/>
    <col min="9185" max="9185" width="4.7265625" style="604" customWidth="1"/>
    <col min="9186" max="9186" width="2" style="604" customWidth="1"/>
    <col min="9187" max="9187" width="40.7265625" style="604" customWidth="1"/>
    <col min="9188" max="9188" width="3.54296875" style="604" customWidth="1"/>
    <col min="9189" max="9189" width="11.08984375" style="604" customWidth="1"/>
    <col min="9190" max="9190" width="2.7265625" style="604" customWidth="1"/>
    <col min="9191" max="9191" width="11.26953125" style="604" customWidth="1"/>
    <col min="9192" max="9192" width="2.7265625" style="604" customWidth="1"/>
    <col min="9193" max="9193" width="11.26953125" style="604" customWidth="1"/>
    <col min="9194" max="9194" width="2.7265625" style="604" customWidth="1"/>
    <col min="9195" max="9195" width="19.08984375" style="604" bestFit="1" customWidth="1"/>
    <col min="9196" max="9196" width="1.81640625" style="604" customWidth="1"/>
    <col min="9197" max="9197" width="6.7265625" style="604" customWidth="1"/>
    <col min="9198" max="9198" width="14.7265625" style="604" customWidth="1"/>
    <col min="9199" max="9199" width="9" style="604" bestFit="1" customWidth="1"/>
    <col min="9200" max="9440" width="5" style="604"/>
    <col min="9441" max="9441" width="4.7265625" style="604" customWidth="1"/>
    <col min="9442" max="9442" width="2" style="604" customWidth="1"/>
    <col min="9443" max="9443" width="40.7265625" style="604" customWidth="1"/>
    <col min="9444" max="9444" width="3.54296875" style="604" customWidth="1"/>
    <col min="9445" max="9445" width="11.08984375" style="604" customWidth="1"/>
    <col min="9446" max="9446" width="2.7265625" style="604" customWidth="1"/>
    <col min="9447" max="9447" width="11.26953125" style="604" customWidth="1"/>
    <col min="9448" max="9448" width="2.7265625" style="604" customWidth="1"/>
    <col min="9449" max="9449" width="11.26953125" style="604" customWidth="1"/>
    <col min="9450" max="9450" width="2.7265625" style="604" customWidth="1"/>
    <col min="9451" max="9451" width="19.08984375" style="604" bestFit="1" customWidth="1"/>
    <col min="9452" max="9452" width="1.81640625" style="604" customWidth="1"/>
    <col min="9453" max="9453" width="6.7265625" style="604" customWidth="1"/>
    <col min="9454" max="9454" width="14.7265625" style="604" customWidth="1"/>
    <col min="9455" max="9455" width="9" style="604" bestFit="1" customWidth="1"/>
    <col min="9456" max="9696" width="5" style="604"/>
    <col min="9697" max="9697" width="4.7265625" style="604" customWidth="1"/>
    <col min="9698" max="9698" width="2" style="604" customWidth="1"/>
    <col min="9699" max="9699" width="40.7265625" style="604" customWidth="1"/>
    <col min="9700" max="9700" width="3.54296875" style="604" customWidth="1"/>
    <col min="9701" max="9701" width="11.08984375" style="604" customWidth="1"/>
    <col min="9702" max="9702" width="2.7265625" style="604" customWidth="1"/>
    <col min="9703" max="9703" width="11.26953125" style="604" customWidth="1"/>
    <col min="9704" max="9704" width="2.7265625" style="604" customWidth="1"/>
    <col min="9705" max="9705" width="11.26953125" style="604" customWidth="1"/>
    <col min="9706" max="9706" width="2.7265625" style="604" customWidth="1"/>
    <col min="9707" max="9707" width="19.08984375" style="604" bestFit="1" customWidth="1"/>
    <col min="9708" max="9708" width="1.81640625" style="604" customWidth="1"/>
    <col min="9709" max="9709" width="6.7265625" style="604" customWidth="1"/>
    <col min="9710" max="9710" width="14.7265625" style="604" customWidth="1"/>
    <col min="9711" max="9711" width="9" style="604" bestFit="1" customWidth="1"/>
    <col min="9712" max="9952" width="5" style="604"/>
    <col min="9953" max="9953" width="4.7265625" style="604" customWidth="1"/>
    <col min="9954" max="9954" width="2" style="604" customWidth="1"/>
    <col min="9955" max="9955" width="40.7265625" style="604" customWidth="1"/>
    <col min="9956" max="9956" width="3.54296875" style="604" customWidth="1"/>
    <col min="9957" max="9957" width="11.08984375" style="604" customWidth="1"/>
    <col min="9958" max="9958" width="2.7265625" style="604" customWidth="1"/>
    <col min="9959" max="9959" width="11.26953125" style="604" customWidth="1"/>
    <col min="9960" max="9960" width="2.7265625" style="604" customWidth="1"/>
    <col min="9961" max="9961" width="11.26953125" style="604" customWidth="1"/>
    <col min="9962" max="9962" width="2.7265625" style="604" customWidth="1"/>
    <col min="9963" max="9963" width="19.08984375" style="604" bestFit="1" customWidth="1"/>
    <col min="9964" max="9964" width="1.81640625" style="604" customWidth="1"/>
    <col min="9965" max="9965" width="6.7265625" style="604" customWidth="1"/>
    <col min="9966" max="9966" width="14.7265625" style="604" customWidth="1"/>
    <col min="9967" max="9967" width="9" style="604" bestFit="1" customWidth="1"/>
    <col min="9968" max="10208" width="5" style="604"/>
    <col min="10209" max="10209" width="4.7265625" style="604" customWidth="1"/>
    <col min="10210" max="10210" width="2" style="604" customWidth="1"/>
    <col min="10211" max="10211" width="40.7265625" style="604" customWidth="1"/>
    <col min="10212" max="10212" width="3.54296875" style="604" customWidth="1"/>
    <col min="10213" max="10213" width="11.08984375" style="604" customWidth="1"/>
    <col min="10214" max="10214" width="2.7265625" style="604" customWidth="1"/>
    <col min="10215" max="10215" width="11.26953125" style="604" customWidth="1"/>
    <col min="10216" max="10216" width="2.7265625" style="604" customWidth="1"/>
    <col min="10217" max="10217" width="11.26953125" style="604" customWidth="1"/>
    <col min="10218" max="10218" width="2.7265625" style="604" customWidth="1"/>
    <col min="10219" max="10219" width="19.08984375" style="604" bestFit="1" customWidth="1"/>
    <col min="10220" max="10220" width="1.81640625" style="604" customWidth="1"/>
    <col min="10221" max="10221" width="6.7265625" style="604" customWidth="1"/>
    <col min="10222" max="10222" width="14.7265625" style="604" customWidth="1"/>
    <col min="10223" max="10223" width="9" style="604" bestFit="1" customWidth="1"/>
    <col min="10224" max="10464" width="5" style="604"/>
    <col min="10465" max="10465" width="4.7265625" style="604" customWidth="1"/>
    <col min="10466" max="10466" width="2" style="604" customWidth="1"/>
    <col min="10467" max="10467" width="40.7265625" style="604" customWidth="1"/>
    <col min="10468" max="10468" width="3.54296875" style="604" customWidth="1"/>
    <col min="10469" max="10469" width="11.08984375" style="604" customWidth="1"/>
    <col min="10470" max="10470" width="2.7265625" style="604" customWidth="1"/>
    <col min="10471" max="10471" width="11.26953125" style="604" customWidth="1"/>
    <col min="10472" max="10472" width="2.7265625" style="604" customWidth="1"/>
    <col min="10473" max="10473" width="11.26953125" style="604" customWidth="1"/>
    <col min="10474" max="10474" width="2.7265625" style="604" customWidth="1"/>
    <col min="10475" max="10475" width="19.08984375" style="604" bestFit="1" customWidth="1"/>
    <col min="10476" max="10476" width="1.81640625" style="604" customWidth="1"/>
    <col min="10477" max="10477" width="6.7265625" style="604" customWidth="1"/>
    <col min="10478" max="10478" width="14.7265625" style="604" customWidth="1"/>
    <col min="10479" max="10479" width="9" style="604" bestFit="1" customWidth="1"/>
    <col min="10480" max="10720" width="5" style="604"/>
    <col min="10721" max="10721" width="4.7265625" style="604" customWidth="1"/>
    <col min="10722" max="10722" width="2" style="604" customWidth="1"/>
    <col min="10723" max="10723" width="40.7265625" style="604" customWidth="1"/>
    <col min="10724" max="10724" width="3.54296875" style="604" customWidth="1"/>
    <col min="10725" max="10725" width="11.08984375" style="604" customWidth="1"/>
    <col min="10726" max="10726" width="2.7265625" style="604" customWidth="1"/>
    <col min="10727" max="10727" width="11.26953125" style="604" customWidth="1"/>
    <col min="10728" max="10728" width="2.7265625" style="604" customWidth="1"/>
    <col min="10729" max="10729" width="11.26953125" style="604" customWidth="1"/>
    <col min="10730" max="10730" width="2.7265625" style="604" customWidth="1"/>
    <col min="10731" max="10731" width="19.08984375" style="604" bestFit="1" customWidth="1"/>
    <col min="10732" max="10732" width="1.81640625" style="604" customWidth="1"/>
    <col min="10733" max="10733" width="6.7265625" style="604" customWidth="1"/>
    <col min="10734" max="10734" width="14.7265625" style="604" customWidth="1"/>
    <col min="10735" max="10735" width="9" style="604" bestFit="1" customWidth="1"/>
    <col min="10736" max="10976" width="5" style="604"/>
    <col min="10977" max="10977" width="4.7265625" style="604" customWidth="1"/>
    <col min="10978" max="10978" width="2" style="604" customWidth="1"/>
    <col min="10979" max="10979" width="40.7265625" style="604" customWidth="1"/>
    <col min="10980" max="10980" width="3.54296875" style="604" customWidth="1"/>
    <col min="10981" max="10981" width="11.08984375" style="604" customWidth="1"/>
    <col min="10982" max="10982" width="2.7265625" style="604" customWidth="1"/>
    <col min="10983" max="10983" width="11.26953125" style="604" customWidth="1"/>
    <col min="10984" max="10984" width="2.7265625" style="604" customWidth="1"/>
    <col min="10985" max="10985" width="11.26953125" style="604" customWidth="1"/>
    <col min="10986" max="10986" width="2.7265625" style="604" customWidth="1"/>
    <col min="10987" max="10987" width="19.08984375" style="604" bestFit="1" customWidth="1"/>
    <col min="10988" max="10988" width="1.81640625" style="604" customWidth="1"/>
    <col min="10989" max="10989" width="6.7265625" style="604" customWidth="1"/>
    <col min="10990" max="10990" width="14.7265625" style="604" customWidth="1"/>
    <col min="10991" max="10991" width="9" style="604" bestFit="1" customWidth="1"/>
    <col min="10992" max="11232" width="5" style="604"/>
    <col min="11233" max="11233" width="4.7265625" style="604" customWidth="1"/>
    <col min="11234" max="11234" width="2" style="604" customWidth="1"/>
    <col min="11235" max="11235" width="40.7265625" style="604" customWidth="1"/>
    <col min="11236" max="11236" width="3.54296875" style="604" customWidth="1"/>
    <col min="11237" max="11237" width="11.08984375" style="604" customWidth="1"/>
    <col min="11238" max="11238" width="2.7265625" style="604" customWidth="1"/>
    <col min="11239" max="11239" width="11.26953125" style="604" customWidth="1"/>
    <col min="11240" max="11240" width="2.7265625" style="604" customWidth="1"/>
    <col min="11241" max="11241" width="11.26953125" style="604" customWidth="1"/>
    <col min="11242" max="11242" width="2.7265625" style="604" customWidth="1"/>
    <col min="11243" max="11243" width="19.08984375" style="604" bestFit="1" customWidth="1"/>
    <col min="11244" max="11244" width="1.81640625" style="604" customWidth="1"/>
    <col min="11245" max="11245" width="6.7265625" style="604" customWidth="1"/>
    <col min="11246" max="11246" width="14.7265625" style="604" customWidth="1"/>
    <col min="11247" max="11247" width="9" style="604" bestFit="1" customWidth="1"/>
    <col min="11248" max="11488" width="5" style="604"/>
    <col min="11489" max="11489" width="4.7265625" style="604" customWidth="1"/>
    <col min="11490" max="11490" width="2" style="604" customWidth="1"/>
    <col min="11491" max="11491" width="40.7265625" style="604" customWidth="1"/>
    <col min="11492" max="11492" width="3.54296875" style="604" customWidth="1"/>
    <col min="11493" max="11493" width="11.08984375" style="604" customWidth="1"/>
    <col min="11494" max="11494" width="2.7265625" style="604" customWidth="1"/>
    <col min="11495" max="11495" width="11.26953125" style="604" customWidth="1"/>
    <col min="11496" max="11496" width="2.7265625" style="604" customWidth="1"/>
    <col min="11497" max="11497" width="11.26953125" style="604" customWidth="1"/>
    <col min="11498" max="11498" width="2.7265625" style="604" customWidth="1"/>
    <col min="11499" max="11499" width="19.08984375" style="604" bestFit="1" customWidth="1"/>
    <col min="11500" max="11500" width="1.81640625" style="604" customWidth="1"/>
    <col min="11501" max="11501" width="6.7265625" style="604" customWidth="1"/>
    <col min="11502" max="11502" width="14.7265625" style="604" customWidth="1"/>
    <col min="11503" max="11503" width="9" style="604" bestFit="1" customWidth="1"/>
    <col min="11504" max="11744" width="5" style="604"/>
    <col min="11745" max="11745" width="4.7265625" style="604" customWidth="1"/>
    <col min="11746" max="11746" width="2" style="604" customWidth="1"/>
    <col min="11747" max="11747" width="40.7265625" style="604" customWidth="1"/>
    <col min="11748" max="11748" width="3.54296875" style="604" customWidth="1"/>
    <col min="11749" max="11749" width="11.08984375" style="604" customWidth="1"/>
    <col min="11750" max="11750" width="2.7265625" style="604" customWidth="1"/>
    <col min="11751" max="11751" width="11.26953125" style="604" customWidth="1"/>
    <col min="11752" max="11752" width="2.7265625" style="604" customWidth="1"/>
    <col min="11753" max="11753" width="11.26953125" style="604" customWidth="1"/>
    <col min="11754" max="11754" width="2.7265625" style="604" customWidth="1"/>
    <col min="11755" max="11755" width="19.08984375" style="604" bestFit="1" customWidth="1"/>
    <col min="11756" max="11756" width="1.81640625" style="604" customWidth="1"/>
    <col min="11757" max="11757" width="6.7265625" style="604" customWidth="1"/>
    <col min="11758" max="11758" width="14.7265625" style="604" customWidth="1"/>
    <col min="11759" max="11759" width="9" style="604" bestFit="1" customWidth="1"/>
    <col min="11760" max="12000" width="5" style="604"/>
    <col min="12001" max="12001" width="4.7265625" style="604" customWidth="1"/>
    <col min="12002" max="12002" width="2" style="604" customWidth="1"/>
    <col min="12003" max="12003" width="40.7265625" style="604" customWidth="1"/>
    <col min="12004" max="12004" width="3.54296875" style="604" customWidth="1"/>
    <col min="12005" max="12005" width="11.08984375" style="604" customWidth="1"/>
    <col min="12006" max="12006" width="2.7265625" style="604" customWidth="1"/>
    <col min="12007" max="12007" width="11.26953125" style="604" customWidth="1"/>
    <col min="12008" max="12008" width="2.7265625" style="604" customWidth="1"/>
    <col min="12009" max="12009" width="11.26953125" style="604" customWidth="1"/>
    <col min="12010" max="12010" width="2.7265625" style="604" customWidth="1"/>
    <col min="12011" max="12011" width="19.08984375" style="604" bestFit="1" customWidth="1"/>
    <col min="12012" max="12012" width="1.81640625" style="604" customWidth="1"/>
    <col min="12013" max="12013" width="6.7265625" style="604" customWidth="1"/>
    <col min="12014" max="12014" width="14.7265625" style="604" customWidth="1"/>
    <col min="12015" max="12015" width="9" style="604" bestFit="1" customWidth="1"/>
    <col min="12016" max="12256" width="5" style="604"/>
    <col min="12257" max="12257" width="4.7265625" style="604" customWidth="1"/>
    <col min="12258" max="12258" width="2" style="604" customWidth="1"/>
    <col min="12259" max="12259" width="40.7265625" style="604" customWidth="1"/>
    <col min="12260" max="12260" width="3.54296875" style="604" customWidth="1"/>
    <col min="12261" max="12261" width="11.08984375" style="604" customWidth="1"/>
    <col min="12262" max="12262" width="2.7265625" style="604" customWidth="1"/>
    <col min="12263" max="12263" width="11.26953125" style="604" customWidth="1"/>
    <col min="12264" max="12264" width="2.7265625" style="604" customWidth="1"/>
    <col min="12265" max="12265" width="11.26953125" style="604" customWidth="1"/>
    <col min="12266" max="12266" width="2.7265625" style="604" customWidth="1"/>
    <col min="12267" max="12267" width="19.08984375" style="604" bestFit="1" customWidth="1"/>
    <col min="12268" max="12268" width="1.81640625" style="604" customWidth="1"/>
    <col min="12269" max="12269" width="6.7265625" style="604" customWidth="1"/>
    <col min="12270" max="12270" width="14.7265625" style="604" customWidth="1"/>
    <col min="12271" max="12271" width="9" style="604" bestFit="1" customWidth="1"/>
    <col min="12272" max="12512" width="5" style="604"/>
    <col min="12513" max="12513" width="4.7265625" style="604" customWidth="1"/>
    <col min="12514" max="12514" width="2" style="604" customWidth="1"/>
    <col min="12515" max="12515" width="40.7265625" style="604" customWidth="1"/>
    <col min="12516" max="12516" width="3.54296875" style="604" customWidth="1"/>
    <col min="12517" max="12517" width="11.08984375" style="604" customWidth="1"/>
    <col min="12518" max="12518" width="2.7265625" style="604" customWidth="1"/>
    <col min="12519" max="12519" width="11.26953125" style="604" customWidth="1"/>
    <col min="12520" max="12520" width="2.7265625" style="604" customWidth="1"/>
    <col min="12521" max="12521" width="11.26953125" style="604" customWidth="1"/>
    <col min="12522" max="12522" width="2.7265625" style="604" customWidth="1"/>
    <col min="12523" max="12523" width="19.08984375" style="604" bestFit="1" customWidth="1"/>
    <col min="12524" max="12524" width="1.81640625" style="604" customWidth="1"/>
    <col min="12525" max="12525" width="6.7265625" style="604" customWidth="1"/>
    <col min="12526" max="12526" width="14.7265625" style="604" customWidth="1"/>
    <col min="12527" max="12527" width="9" style="604" bestFit="1" customWidth="1"/>
    <col min="12528" max="12768" width="5" style="604"/>
    <col min="12769" max="12769" width="4.7265625" style="604" customWidth="1"/>
    <col min="12770" max="12770" width="2" style="604" customWidth="1"/>
    <col min="12771" max="12771" width="40.7265625" style="604" customWidth="1"/>
    <col min="12772" max="12772" width="3.54296875" style="604" customWidth="1"/>
    <col min="12773" max="12773" width="11.08984375" style="604" customWidth="1"/>
    <col min="12774" max="12774" width="2.7265625" style="604" customWidth="1"/>
    <col min="12775" max="12775" width="11.26953125" style="604" customWidth="1"/>
    <col min="12776" max="12776" width="2.7265625" style="604" customWidth="1"/>
    <col min="12777" max="12777" width="11.26953125" style="604" customWidth="1"/>
    <col min="12778" max="12778" width="2.7265625" style="604" customWidth="1"/>
    <col min="12779" max="12779" width="19.08984375" style="604" bestFit="1" customWidth="1"/>
    <col min="12780" max="12780" width="1.81640625" style="604" customWidth="1"/>
    <col min="12781" max="12781" width="6.7265625" style="604" customWidth="1"/>
    <col min="12782" max="12782" width="14.7265625" style="604" customWidth="1"/>
    <col min="12783" max="12783" width="9" style="604" bestFit="1" customWidth="1"/>
    <col min="12784" max="13024" width="5" style="604"/>
    <col min="13025" max="13025" width="4.7265625" style="604" customWidth="1"/>
    <col min="13026" max="13026" width="2" style="604" customWidth="1"/>
    <col min="13027" max="13027" width="40.7265625" style="604" customWidth="1"/>
    <col min="13028" max="13028" width="3.54296875" style="604" customWidth="1"/>
    <col min="13029" max="13029" width="11.08984375" style="604" customWidth="1"/>
    <col min="13030" max="13030" width="2.7265625" style="604" customWidth="1"/>
    <col min="13031" max="13031" width="11.26953125" style="604" customWidth="1"/>
    <col min="13032" max="13032" width="2.7265625" style="604" customWidth="1"/>
    <col min="13033" max="13033" width="11.26953125" style="604" customWidth="1"/>
    <col min="13034" max="13034" width="2.7265625" style="604" customWidth="1"/>
    <col min="13035" max="13035" width="19.08984375" style="604" bestFit="1" customWidth="1"/>
    <col min="13036" max="13036" width="1.81640625" style="604" customWidth="1"/>
    <col min="13037" max="13037" width="6.7265625" style="604" customWidth="1"/>
    <col min="13038" max="13038" width="14.7265625" style="604" customWidth="1"/>
    <col min="13039" max="13039" width="9" style="604" bestFit="1" customWidth="1"/>
    <col min="13040" max="13280" width="5" style="604"/>
    <col min="13281" max="13281" width="4.7265625" style="604" customWidth="1"/>
    <col min="13282" max="13282" width="2" style="604" customWidth="1"/>
    <col min="13283" max="13283" width="40.7265625" style="604" customWidth="1"/>
    <col min="13284" max="13284" width="3.54296875" style="604" customWidth="1"/>
    <col min="13285" max="13285" width="11.08984375" style="604" customWidth="1"/>
    <col min="13286" max="13286" width="2.7265625" style="604" customWidth="1"/>
    <col min="13287" max="13287" width="11.26953125" style="604" customWidth="1"/>
    <col min="13288" max="13288" width="2.7265625" style="604" customWidth="1"/>
    <col min="13289" max="13289" width="11.26953125" style="604" customWidth="1"/>
    <col min="13290" max="13290" width="2.7265625" style="604" customWidth="1"/>
    <col min="13291" max="13291" width="19.08984375" style="604" bestFit="1" customWidth="1"/>
    <col min="13292" max="13292" width="1.81640625" style="604" customWidth="1"/>
    <col min="13293" max="13293" width="6.7265625" style="604" customWidth="1"/>
    <col min="13294" max="13294" width="14.7265625" style="604" customWidth="1"/>
    <col min="13295" max="13295" width="9" style="604" bestFit="1" customWidth="1"/>
    <col min="13296" max="13536" width="5" style="604"/>
    <col min="13537" max="13537" width="4.7265625" style="604" customWidth="1"/>
    <col min="13538" max="13538" width="2" style="604" customWidth="1"/>
    <col min="13539" max="13539" width="40.7265625" style="604" customWidth="1"/>
    <col min="13540" max="13540" width="3.54296875" style="604" customWidth="1"/>
    <col min="13541" max="13541" width="11.08984375" style="604" customWidth="1"/>
    <col min="13542" max="13542" width="2.7265625" style="604" customWidth="1"/>
    <col min="13543" max="13543" width="11.26953125" style="604" customWidth="1"/>
    <col min="13544" max="13544" width="2.7265625" style="604" customWidth="1"/>
    <col min="13545" max="13545" width="11.26953125" style="604" customWidth="1"/>
    <col min="13546" max="13546" width="2.7265625" style="604" customWidth="1"/>
    <col min="13547" max="13547" width="19.08984375" style="604" bestFit="1" customWidth="1"/>
    <col min="13548" max="13548" width="1.81640625" style="604" customWidth="1"/>
    <col min="13549" max="13549" width="6.7265625" style="604" customWidth="1"/>
    <col min="13550" max="13550" width="14.7265625" style="604" customWidth="1"/>
    <col min="13551" max="13551" width="9" style="604" bestFit="1" customWidth="1"/>
    <col min="13552" max="13792" width="5" style="604"/>
    <col min="13793" max="13793" width="4.7265625" style="604" customWidth="1"/>
    <col min="13794" max="13794" width="2" style="604" customWidth="1"/>
    <col min="13795" max="13795" width="40.7265625" style="604" customWidth="1"/>
    <col min="13796" max="13796" width="3.54296875" style="604" customWidth="1"/>
    <col min="13797" max="13797" width="11.08984375" style="604" customWidth="1"/>
    <col min="13798" max="13798" width="2.7265625" style="604" customWidth="1"/>
    <col min="13799" max="13799" width="11.26953125" style="604" customWidth="1"/>
    <col min="13800" max="13800" width="2.7265625" style="604" customWidth="1"/>
    <col min="13801" max="13801" width="11.26953125" style="604" customWidth="1"/>
    <col min="13802" max="13802" width="2.7265625" style="604" customWidth="1"/>
    <col min="13803" max="13803" width="19.08984375" style="604" bestFit="1" customWidth="1"/>
    <col min="13804" max="13804" width="1.81640625" style="604" customWidth="1"/>
    <col min="13805" max="13805" width="6.7265625" style="604" customWidth="1"/>
    <col min="13806" max="13806" width="14.7265625" style="604" customWidth="1"/>
    <col min="13807" max="13807" width="9" style="604" bestFit="1" customWidth="1"/>
    <col min="13808" max="14048" width="5" style="604"/>
    <col min="14049" max="14049" width="4.7265625" style="604" customWidth="1"/>
    <col min="14050" max="14050" width="2" style="604" customWidth="1"/>
    <col min="14051" max="14051" width="40.7265625" style="604" customWidth="1"/>
    <col min="14052" max="14052" width="3.54296875" style="604" customWidth="1"/>
    <col min="14053" max="14053" width="11.08984375" style="604" customWidth="1"/>
    <col min="14054" max="14054" width="2.7265625" style="604" customWidth="1"/>
    <col min="14055" max="14055" width="11.26953125" style="604" customWidth="1"/>
    <col min="14056" max="14056" width="2.7265625" style="604" customWidth="1"/>
    <col min="14057" max="14057" width="11.26953125" style="604" customWidth="1"/>
    <col min="14058" max="14058" width="2.7265625" style="604" customWidth="1"/>
    <col min="14059" max="14059" width="19.08984375" style="604" bestFit="1" customWidth="1"/>
    <col min="14060" max="14060" width="1.81640625" style="604" customWidth="1"/>
    <col min="14061" max="14061" width="6.7265625" style="604" customWidth="1"/>
    <col min="14062" max="14062" width="14.7265625" style="604" customWidth="1"/>
    <col min="14063" max="14063" width="9" style="604" bestFit="1" customWidth="1"/>
    <col min="14064" max="14304" width="5" style="604"/>
    <col min="14305" max="14305" width="4.7265625" style="604" customWidth="1"/>
    <col min="14306" max="14306" width="2" style="604" customWidth="1"/>
    <col min="14307" max="14307" width="40.7265625" style="604" customWidth="1"/>
    <col min="14308" max="14308" width="3.54296875" style="604" customWidth="1"/>
    <col min="14309" max="14309" width="11.08984375" style="604" customWidth="1"/>
    <col min="14310" max="14310" width="2.7265625" style="604" customWidth="1"/>
    <col min="14311" max="14311" width="11.26953125" style="604" customWidth="1"/>
    <col min="14312" max="14312" width="2.7265625" style="604" customWidth="1"/>
    <col min="14313" max="14313" width="11.26953125" style="604" customWidth="1"/>
    <col min="14314" max="14314" width="2.7265625" style="604" customWidth="1"/>
    <col min="14315" max="14315" width="19.08984375" style="604" bestFit="1" customWidth="1"/>
    <col min="14316" max="14316" width="1.81640625" style="604" customWidth="1"/>
    <col min="14317" max="14317" width="6.7265625" style="604" customWidth="1"/>
    <col min="14318" max="14318" width="14.7265625" style="604" customWidth="1"/>
    <col min="14319" max="14319" width="9" style="604" bestFit="1" customWidth="1"/>
    <col min="14320" max="14560" width="5" style="604"/>
    <col min="14561" max="14561" width="4.7265625" style="604" customWidth="1"/>
    <col min="14562" max="14562" width="2" style="604" customWidth="1"/>
    <col min="14563" max="14563" width="40.7265625" style="604" customWidth="1"/>
    <col min="14564" max="14564" width="3.54296875" style="604" customWidth="1"/>
    <col min="14565" max="14565" width="11.08984375" style="604" customWidth="1"/>
    <col min="14566" max="14566" width="2.7265625" style="604" customWidth="1"/>
    <col min="14567" max="14567" width="11.26953125" style="604" customWidth="1"/>
    <col min="14568" max="14568" width="2.7265625" style="604" customWidth="1"/>
    <col min="14569" max="14569" width="11.26953125" style="604" customWidth="1"/>
    <col min="14570" max="14570" width="2.7265625" style="604" customWidth="1"/>
    <col min="14571" max="14571" width="19.08984375" style="604" bestFit="1" customWidth="1"/>
    <col min="14572" max="14572" width="1.81640625" style="604" customWidth="1"/>
    <col min="14573" max="14573" width="6.7265625" style="604" customWidth="1"/>
    <col min="14574" max="14574" width="14.7265625" style="604" customWidth="1"/>
    <col min="14575" max="14575" width="9" style="604" bestFit="1" customWidth="1"/>
    <col min="14576" max="14816" width="5" style="604"/>
    <col min="14817" max="14817" width="4.7265625" style="604" customWidth="1"/>
    <col min="14818" max="14818" width="2" style="604" customWidth="1"/>
    <col min="14819" max="14819" width="40.7265625" style="604" customWidth="1"/>
    <col min="14820" max="14820" width="3.54296875" style="604" customWidth="1"/>
    <col min="14821" max="14821" width="11.08984375" style="604" customWidth="1"/>
    <col min="14822" max="14822" width="2.7265625" style="604" customWidth="1"/>
    <col min="14823" max="14823" width="11.26953125" style="604" customWidth="1"/>
    <col min="14824" max="14824" width="2.7265625" style="604" customWidth="1"/>
    <col min="14825" max="14825" width="11.26953125" style="604" customWidth="1"/>
    <col min="14826" max="14826" width="2.7265625" style="604" customWidth="1"/>
    <col min="14827" max="14827" width="19.08984375" style="604" bestFit="1" customWidth="1"/>
    <col min="14828" max="14828" width="1.81640625" style="604" customWidth="1"/>
    <col min="14829" max="14829" width="6.7265625" style="604" customWidth="1"/>
    <col min="14830" max="14830" width="14.7265625" style="604" customWidth="1"/>
    <col min="14831" max="14831" width="9" style="604" bestFit="1" customWidth="1"/>
    <col min="14832" max="15072" width="5" style="604"/>
    <col min="15073" max="15073" width="4.7265625" style="604" customWidth="1"/>
    <col min="15074" max="15074" width="2" style="604" customWidth="1"/>
    <col min="15075" max="15075" width="40.7265625" style="604" customWidth="1"/>
    <col min="15076" max="15076" width="3.54296875" style="604" customWidth="1"/>
    <col min="15077" max="15077" width="11.08984375" style="604" customWidth="1"/>
    <col min="15078" max="15078" width="2.7265625" style="604" customWidth="1"/>
    <col min="15079" max="15079" width="11.26953125" style="604" customWidth="1"/>
    <col min="15080" max="15080" width="2.7265625" style="604" customWidth="1"/>
    <col min="15081" max="15081" width="11.26953125" style="604" customWidth="1"/>
    <col min="15082" max="15082" width="2.7265625" style="604" customWidth="1"/>
    <col min="15083" max="15083" width="19.08984375" style="604" bestFit="1" customWidth="1"/>
    <col min="15084" max="15084" width="1.81640625" style="604" customWidth="1"/>
    <col min="15085" max="15085" width="6.7265625" style="604" customWidth="1"/>
    <col min="15086" max="15086" width="14.7265625" style="604" customWidth="1"/>
    <col min="15087" max="15087" width="9" style="604" bestFit="1" customWidth="1"/>
    <col min="15088" max="15328" width="5" style="604"/>
    <col min="15329" max="15329" width="4.7265625" style="604" customWidth="1"/>
    <col min="15330" max="15330" width="2" style="604" customWidth="1"/>
    <col min="15331" max="15331" width="40.7265625" style="604" customWidth="1"/>
    <col min="15332" max="15332" width="3.54296875" style="604" customWidth="1"/>
    <col min="15333" max="15333" width="11.08984375" style="604" customWidth="1"/>
    <col min="15334" max="15334" width="2.7265625" style="604" customWidth="1"/>
    <col min="15335" max="15335" width="11.26953125" style="604" customWidth="1"/>
    <col min="15336" max="15336" width="2.7265625" style="604" customWidth="1"/>
    <col min="15337" max="15337" width="11.26953125" style="604" customWidth="1"/>
    <col min="15338" max="15338" width="2.7265625" style="604" customWidth="1"/>
    <col min="15339" max="15339" width="19.08984375" style="604" bestFit="1" customWidth="1"/>
    <col min="15340" max="15340" width="1.81640625" style="604" customWidth="1"/>
    <col min="15341" max="15341" width="6.7265625" style="604" customWidth="1"/>
    <col min="15342" max="15342" width="14.7265625" style="604" customWidth="1"/>
    <col min="15343" max="15343" width="9" style="604" bestFit="1" customWidth="1"/>
    <col min="15344" max="15584" width="5" style="604"/>
    <col min="15585" max="15585" width="4.7265625" style="604" customWidth="1"/>
    <col min="15586" max="15586" width="2" style="604" customWidth="1"/>
    <col min="15587" max="15587" width="40.7265625" style="604" customWidth="1"/>
    <col min="15588" max="15588" width="3.54296875" style="604" customWidth="1"/>
    <col min="15589" max="15589" width="11.08984375" style="604" customWidth="1"/>
    <col min="15590" max="15590" width="2.7265625" style="604" customWidth="1"/>
    <col min="15591" max="15591" width="11.26953125" style="604" customWidth="1"/>
    <col min="15592" max="15592" width="2.7265625" style="604" customWidth="1"/>
    <col min="15593" max="15593" width="11.26953125" style="604" customWidth="1"/>
    <col min="15594" max="15594" width="2.7265625" style="604" customWidth="1"/>
    <col min="15595" max="15595" width="19.08984375" style="604" bestFit="1" customWidth="1"/>
    <col min="15596" max="15596" width="1.81640625" style="604" customWidth="1"/>
    <col min="15597" max="15597" width="6.7265625" style="604" customWidth="1"/>
    <col min="15598" max="15598" width="14.7265625" style="604" customWidth="1"/>
    <col min="15599" max="15599" width="9" style="604" bestFit="1" customWidth="1"/>
    <col min="15600" max="15840" width="5" style="604"/>
    <col min="15841" max="15841" width="4.7265625" style="604" customWidth="1"/>
    <col min="15842" max="15842" width="2" style="604" customWidth="1"/>
    <col min="15843" max="15843" width="40.7265625" style="604" customWidth="1"/>
    <col min="15844" max="15844" width="3.54296875" style="604" customWidth="1"/>
    <col min="15845" max="15845" width="11.08984375" style="604" customWidth="1"/>
    <col min="15846" max="15846" width="2.7265625" style="604" customWidth="1"/>
    <col min="15847" max="15847" width="11.26953125" style="604" customWidth="1"/>
    <col min="15848" max="15848" width="2.7265625" style="604" customWidth="1"/>
    <col min="15849" max="15849" width="11.26953125" style="604" customWidth="1"/>
    <col min="15850" max="15850" width="2.7265625" style="604" customWidth="1"/>
    <col min="15851" max="15851" width="19.08984375" style="604" bestFit="1" customWidth="1"/>
    <col min="15852" max="15852" width="1.81640625" style="604" customWidth="1"/>
    <col min="15853" max="15853" width="6.7265625" style="604" customWidth="1"/>
    <col min="15854" max="15854" width="14.7265625" style="604" customWidth="1"/>
    <col min="15855" max="15855" width="9" style="604" bestFit="1" customWidth="1"/>
    <col min="15856" max="16096" width="5" style="604"/>
    <col min="16097" max="16097" width="4.7265625" style="604" customWidth="1"/>
    <col min="16098" max="16098" width="2" style="604" customWidth="1"/>
    <col min="16099" max="16099" width="40.7265625" style="604" customWidth="1"/>
    <col min="16100" max="16100" width="3.54296875" style="604" customWidth="1"/>
    <col min="16101" max="16101" width="11.08984375" style="604" customWidth="1"/>
    <col min="16102" max="16102" width="2.7265625" style="604" customWidth="1"/>
    <col min="16103" max="16103" width="11.26953125" style="604" customWidth="1"/>
    <col min="16104" max="16104" width="2.7265625" style="604" customWidth="1"/>
    <col min="16105" max="16105" width="11.26953125" style="604" customWidth="1"/>
    <col min="16106" max="16106" width="2.7265625" style="604" customWidth="1"/>
    <col min="16107" max="16107" width="19.08984375" style="604" bestFit="1" customWidth="1"/>
    <col min="16108" max="16108" width="1.81640625" style="604" customWidth="1"/>
    <col min="16109" max="16109" width="6.7265625" style="604" customWidth="1"/>
    <col min="16110" max="16110" width="14.7265625" style="604" customWidth="1"/>
    <col min="16111" max="16111" width="9" style="604" bestFit="1" customWidth="1"/>
    <col min="16112" max="16384" width="5" style="604"/>
  </cols>
  <sheetData>
    <row r="1" spans="1:18">
      <c r="G1" s="605"/>
      <c r="H1"/>
      <c r="I1" s="860" t="s">
        <v>989</v>
      </c>
    </row>
    <row r="2" spans="1:18">
      <c r="G2" s="605"/>
      <c r="H2"/>
      <c r="I2" s="860" t="s">
        <v>144</v>
      </c>
    </row>
    <row r="3" spans="1:18">
      <c r="G3" s="605"/>
      <c r="H3"/>
      <c r="I3" s="3" t="str">
        <f>'Attachment 17 - CWIP in RB'!AT3</f>
        <v>For the 12 months ended 12/31/2022</v>
      </c>
    </row>
    <row r="5" spans="1:18">
      <c r="B5" s="604"/>
      <c r="C5" s="624" t="s">
        <v>627</v>
      </c>
      <c r="D5" s="624" t="str">
        <f>"("&amp;CHAR(CODE(MID(C5,2,1))+1)&amp;")"</f>
        <v>(B)</v>
      </c>
      <c r="E5" s="624" t="str">
        <f t="shared" ref="E5" si="0">"("&amp;CHAR(CODE(MID(D5,2,1))+1)&amp;")"</f>
        <v>(C)</v>
      </c>
      <c r="F5" s="624"/>
      <c r="G5" s="624" t="str">
        <f>"("&amp;CHAR(CODE(MID(E5,2,1))+1)&amp;")"</f>
        <v>(D)</v>
      </c>
      <c r="H5" s="624"/>
      <c r="I5" s="624" t="str">
        <f>"("&amp;CHAR(CODE(MID(G5,2,1))+1)&amp;")"</f>
        <v>(E)</v>
      </c>
      <c r="J5" s="748"/>
    </row>
    <row r="6" spans="1:18" s="642" customFormat="1" ht="31.2">
      <c r="A6" s="622" t="s">
        <v>630</v>
      </c>
      <c r="B6" s="745"/>
      <c r="C6" s="620" t="s">
        <v>625</v>
      </c>
      <c r="D6" s="942" t="s">
        <v>10</v>
      </c>
      <c r="E6" s="892" t="s">
        <v>8</v>
      </c>
      <c r="F6" s="749" t="s">
        <v>823</v>
      </c>
      <c r="G6" s="943" t="s">
        <v>727</v>
      </c>
      <c r="H6" s="943" t="s">
        <v>60</v>
      </c>
      <c r="I6" s="893" t="s">
        <v>809</v>
      </c>
      <c r="J6" s="629"/>
      <c r="M6" s="816"/>
    </row>
    <row r="7" spans="1:18">
      <c r="A7" s="615"/>
      <c r="B7" s="613"/>
      <c r="C7" s="614"/>
      <c r="D7" s="613"/>
      <c r="F7" s="613"/>
      <c r="G7" s="613"/>
      <c r="H7" s="613"/>
      <c r="I7" s="612"/>
      <c r="J7" s="611"/>
      <c r="K7" s="611"/>
      <c r="Q7" s="826"/>
      <c r="R7" s="826"/>
    </row>
    <row r="8" spans="1:18" ht="15.6" customHeight="1">
      <c r="E8" s="612"/>
      <c r="N8" s="788"/>
      <c r="O8" s="788"/>
      <c r="P8" s="788"/>
      <c r="Q8" s="788"/>
      <c r="R8" s="788"/>
    </row>
    <row r="9" spans="1:18">
      <c r="A9" s="615">
        <v>1</v>
      </c>
      <c r="B9" s="613"/>
      <c r="C9" s="758" t="s">
        <v>943</v>
      </c>
      <c r="D9" s="613"/>
      <c r="E9" s="606"/>
      <c r="F9" s="613"/>
      <c r="G9" s="613"/>
      <c r="H9" s="613"/>
      <c r="I9" s="612"/>
      <c r="J9" s="611"/>
      <c r="K9" s="611"/>
      <c r="N9" s="788"/>
      <c r="O9" s="788"/>
      <c r="P9" s="788"/>
      <c r="Q9" s="788"/>
      <c r="R9" s="788"/>
    </row>
    <row r="10" spans="1:18">
      <c r="C10" s="605"/>
      <c r="D10" s="605"/>
      <c r="E10" s="612"/>
      <c r="F10" s="605"/>
      <c r="G10" s="605"/>
      <c r="H10" s="605"/>
      <c r="I10" s="605"/>
      <c r="J10" s="605"/>
      <c r="K10" s="605"/>
      <c r="N10" s="788"/>
      <c r="O10" s="788"/>
      <c r="P10" s="788"/>
      <c r="Q10" s="788"/>
      <c r="R10" s="788"/>
    </row>
    <row r="11" spans="1:18">
      <c r="A11" s="739">
        <f>A9+0.01</f>
        <v>1.01</v>
      </c>
      <c r="B11" s="604"/>
      <c r="C11" s="645"/>
      <c r="D11" s="727"/>
      <c r="E11" s="660"/>
      <c r="F11" s="741"/>
      <c r="G11" s="757">
        <f ca="1">IFERROR(INDIRECT(D11),0)</f>
        <v>0</v>
      </c>
      <c r="H11" s="636"/>
      <c r="I11" s="741">
        <f ca="1">E11*G11</f>
        <v>0</v>
      </c>
      <c r="N11" s="788"/>
      <c r="O11" s="788"/>
      <c r="P11" s="788"/>
      <c r="Q11" s="788"/>
      <c r="R11" s="788"/>
    </row>
    <row r="12" spans="1:18">
      <c r="A12" s="739">
        <f>A11+0.01</f>
        <v>1.02</v>
      </c>
      <c r="B12" s="604"/>
      <c r="C12" s="660"/>
      <c r="D12" s="727"/>
      <c r="E12" s="660"/>
      <c r="F12" s="696"/>
      <c r="G12" s="757">
        <f ca="1">IFERROR(INDIRECT(D12),0)</f>
        <v>0</v>
      </c>
      <c r="H12" s="636"/>
      <c r="I12" s="741">
        <f ca="1">E12*G12</f>
        <v>0</v>
      </c>
      <c r="N12" s="788"/>
      <c r="O12" s="788"/>
      <c r="P12" s="788"/>
      <c r="Q12" s="788"/>
      <c r="R12" s="788"/>
    </row>
    <row r="13" spans="1:18">
      <c r="A13" s="739" t="s">
        <v>1052</v>
      </c>
      <c r="B13" s="604"/>
      <c r="C13" s="660"/>
      <c r="D13" s="727"/>
      <c r="E13" s="660"/>
      <c r="F13" s="696"/>
      <c r="G13" s="757"/>
      <c r="H13" s="636"/>
      <c r="I13" s="741"/>
      <c r="N13" s="788"/>
      <c r="O13" s="788"/>
      <c r="P13" s="788"/>
      <c r="Q13" s="788"/>
      <c r="R13" s="788"/>
    </row>
    <row r="14" spans="1:18">
      <c r="A14" s="605">
        <f>A9+1</f>
        <v>2</v>
      </c>
      <c r="B14" s="604"/>
      <c r="C14" s="696" t="str">
        <f ca="1">"Sum of Lines "&amp;A11&amp;" through "&amp;OFFSET(A14,-1,0)</f>
        <v>Sum of Lines 1.01 through 1.XX</v>
      </c>
      <c r="E14" s="609">
        <f>SUM(E11:E12)</f>
        <v>0</v>
      </c>
      <c r="I14" s="608">
        <f ca="1">SUM(I11:I12)</f>
        <v>0</v>
      </c>
      <c r="N14" s="788"/>
      <c r="O14" s="788"/>
      <c r="P14" s="788"/>
      <c r="Q14" s="788"/>
      <c r="R14" s="788"/>
    </row>
    <row r="15" spans="1:18">
      <c r="B15" s="604"/>
      <c r="C15" s="765"/>
      <c r="I15" s="604"/>
      <c r="N15" s="788"/>
      <c r="O15" s="788"/>
      <c r="P15" s="788"/>
      <c r="Q15" s="788"/>
      <c r="R15" s="788"/>
    </row>
    <row r="16" spans="1:18">
      <c r="A16" s="615">
        <v>3</v>
      </c>
      <c r="B16" s="613"/>
      <c r="C16" s="758" t="s">
        <v>945</v>
      </c>
      <c r="D16" s="613"/>
      <c r="E16" s="696"/>
      <c r="F16" s="613"/>
      <c r="G16" s="613"/>
      <c r="H16" s="613"/>
      <c r="I16" s="612"/>
      <c r="J16" s="611"/>
      <c r="K16" s="611"/>
      <c r="N16" s="788"/>
      <c r="O16" s="788"/>
      <c r="P16" s="788"/>
      <c r="Q16" s="788"/>
      <c r="R16" s="788"/>
    </row>
    <row r="17" spans="1:18">
      <c r="C17" s="605"/>
      <c r="D17" s="605"/>
      <c r="E17" s="612"/>
      <c r="F17" s="605"/>
      <c r="G17" s="605"/>
      <c r="H17" s="605"/>
      <c r="I17" s="605"/>
      <c r="J17" s="605"/>
      <c r="K17" s="605"/>
    </row>
    <row r="18" spans="1:18">
      <c r="A18" s="739">
        <f>A16+0.01</f>
        <v>3.01</v>
      </c>
      <c r="B18" s="604"/>
      <c r="C18" s="645"/>
      <c r="D18" s="727"/>
      <c r="E18" s="660"/>
      <c r="F18" s="741"/>
      <c r="G18" s="757">
        <f ca="1">IFERROR(INDIRECT(D18),0)</f>
        <v>0</v>
      </c>
      <c r="H18" s="741"/>
      <c r="I18" s="741">
        <f ca="1">E18*G18</f>
        <v>0</v>
      </c>
    </row>
    <row r="19" spans="1:18">
      <c r="A19" s="739">
        <f>A18+0.01</f>
        <v>3.0199999999999996</v>
      </c>
      <c r="B19" s="604"/>
      <c r="C19" s="660"/>
      <c r="D19" s="727"/>
      <c r="E19" s="660"/>
      <c r="F19" s="696"/>
      <c r="G19" s="757">
        <f ca="1">IFERROR(INDIRECT(D19),0)</f>
        <v>0</v>
      </c>
      <c r="H19" s="696"/>
      <c r="I19" s="741">
        <f ca="1">E19*G19</f>
        <v>0</v>
      </c>
    </row>
    <row r="20" spans="1:18">
      <c r="A20" s="739" t="s">
        <v>1053</v>
      </c>
      <c r="B20" s="604"/>
      <c r="C20" s="660"/>
      <c r="D20" s="727"/>
      <c r="E20" s="660"/>
      <c r="F20" s="696"/>
      <c r="G20" s="757"/>
      <c r="H20" s="696"/>
      <c r="I20" s="741"/>
    </row>
    <row r="21" spans="1:18">
      <c r="A21" s="605">
        <f>A16+1</f>
        <v>4</v>
      </c>
      <c r="B21" s="604"/>
      <c r="C21" s="696" t="str">
        <f ca="1">"Sum of Lines "&amp;A18&amp;" through "&amp;OFFSET(A21,-1,0)</f>
        <v>Sum of Lines 3.01 through 3.XX</v>
      </c>
      <c r="E21" s="609">
        <f>SUM(E18:E19)</f>
        <v>0</v>
      </c>
      <c r="I21" s="608">
        <f ca="1">SUM(I18:I19)</f>
        <v>0</v>
      </c>
    </row>
    <row r="22" spans="1:18">
      <c r="B22" s="604"/>
      <c r="C22" s="765"/>
      <c r="I22" s="604"/>
    </row>
    <row r="23" spans="1:18">
      <c r="A23" s="615">
        <v>5</v>
      </c>
      <c r="B23" s="613"/>
      <c r="C23" s="758" t="s">
        <v>946</v>
      </c>
      <c r="D23" s="613"/>
      <c r="E23" s="696"/>
      <c r="F23" s="613"/>
      <c r="G23" s="613"/>
      <c r="H23" s="613"/>
      <c r="I23" s="612"/>
      <c r="J23" s="611"/>
      <c r="K23" s="611"/>
    </row>
    <row r="24" spans="1:18">
      <c r="C24" s="605"/>
      <c r="D24" s="605"/>
      <c r="E24" s="612"/>
      <c r="F24" s="605"/>
      <c r="G24" s="605"/>
      <c r="H24" s="605"/>
      <c r="I24" s="605"/>
      <c r="J24" s="605"/>
      <c r="K24" s="605"/>
    </row>
    <row r="25" spans="1:18" ht="15.45" customHeight="1">
      <c r="A25" s="739">
        <f>A23+0.01</f>
        <v>5.01</v>
      </c>
      <c r="B25" s="604"/>
      <c r="C25" s="645" t="s">
        <v>1067</v>
      </c>
      <c r="D25" s="727" t="s">
        <v>250</v>
      </c>
      <c r="E25" s="660">
        <v>2406338.04</v>
      </c>
      <c r="F25" s="741"/>
      <c r="G25" s="757">
        <f ca="1">IFERROR(INDIRECT(D25),0)</f>
        <v>1</v>
      </c>
      <c r="H25" s="741"/>
      <c r="I25" s="741">
        <f ca="1">E25*G25</f>
        <v>2406338.04</v>
      </c>
      <c r="N25" s="785"/>
      <c r="O25" s="785"/>
      <c r="P25" s="785"/>
      <c r="Q25" s="785"/>
      <c r="R25" s="785"/>
    </row>
    <row r="26" spans="1:18">
      <c r="A26" s="739">
        <f>A25+0.01</f>
        <v>5.0199999999999996</v>
      </c>
      <c r="B26" s="604"/>
      <c r="C26" s="660"/>
      <c r="D26" s="727"/>
      <c r="E26" s="660"/>
      <c r="F26" s="696"/>
      <c r="G26" s="757">
        <f ca="1">IFERROR(INDIRECT(D26),0)</f>
        <v>0</v>
      </c>
      <c r="H26" s="696"/>
      <c r="I26" s="741">
        <f ca="1">E26*G26</f>
        <v>0</v>
      </c>
      <c r="N26" s="785"/>
      <c r="O26" s="785"/>
      <c r="P26" s="785"/>
      <c r="Q26" s="785"/>
      <c r="R26" s="785"/>
    </row>
    <row r="27" spans="1:18">
      <c r="A27" s="739" t="s">
        <v>1054</v>
      </c>
      <c r="B27" s="604"/>
      <c r="C27" s="660"/>
      <c r="D27" s="727"/>
      <c r="E27" s="660"/>
      <c r="F27" s="696"/>
      <c r="G27" s="757"/>
      <c r="H27" s="696"/>
      <c r="I27" s="741"/>
      <c r="N27" s="785"/>
      <c r="O27" s="785"/>
      <c r="P27" s="785"/>
      <c r="Q27" s="785"/>
      <c r="R27" s="785"/>
    </row>
    <row r="28" spans="1:18">
      <c r="A28" s="605">
        <f>A23+1</f>
        <v>6</v>
      </c>
      <c r="B28" s="604"/>
      <c r="C28" s="696" t="str">
        <f ca="1">"Sum of Lines "&amp;A25&amp;" through "&amp;OFFSET(A28,-1,0)</f>
        <v>Sum of Lines 5.01 through 5.XX</v>
      </c>
      <c r="E28" s="609">
        <f>SUM(E25:E26)</f>
        <v>2406338.04</v>
      </c>
      <c r="I28" s="608">
        <f ca="1">SUM(I25:I26)</f>
        <v>2406338.04</v>
      </c>
      <c r="N28" s="785"/>
      <c r="O28" s="785"/>
      <c r="P28" s="785"/>
      <c r="Q28" s="785"/>
      <c r="R28" s="785"/>
    </row>
    <row r="29" spans="1:18">
      <c r="B29" s="604"/>
      <c r="C29" s="696"/>
      <c r="I29" s="604"/>
      <c r="N29" s="785"/>
      <c r="O29" s="785"/>
      <c r="P29" s="785"/>
      <c r="Q29" s="785"/>
      <c r="R29" s="785"/>
    </row>
    <row r="30" spans="1:18">
      <c r="A30" s="605">
        <v>7</v>
      </c>
      <c r="B30" s="604"/>
      <c r="C30" s="758" t="s">
        <v>944</v>
      </c>
      <c r="E30" s="696"/>
      <c r="I30" s="604"/>
    </row>
    <row r="31" spans="1:18">
      <c r="B31" s="604"/>
      <c r="C31" s="696"/>
      <c r="E31" s="696"/>
      <c r="I31" s="604"/>
    </row>
    <row r="32" spans="1:18">
      <c r="A32" s="739">
        <f>A30+0.01</f>
        <v>7.01</v>
      </c>
      <c r="B32" s="604"/>
      <c r="C32" s="645"/>
      <c r="D32" s="727"/>
      <c r="E32" s="660"/>
      <c r="F32" s="741"/>
      <c r="G32" s="757">
        <f ca="1">IFERROR(INDIRECT(D32),0)</f>
        <v>0</v>
      </c>
      <c r="H32" s="741"/>
      <c r="I32" s="741">
        <f ca="1">E32*G32</f>
        <v>0</v>
      </c>
    </row>
    <row r="33" spans="1:28">
      <c r="A33" s="739">
        <f>A32+0.01</f>
        <v>7.02</v>
      </c>
      <c r="B33" s="604"/>
      <c r="C33" s="660"/>
      <c r="D33" s="727"/>
      <c r="E33" s="660"/>
      <c r="F33" s="696"/>
      <c r="G33" s="757">
        <f ca="1">IFERROR(INDIRECT(D33),0)</f>
        <v>0</v>
      </c>
      <c r="H33" s="696"/>
      <c r="I33" s="741">
        <f ca="1">E33*G33</f>
        <v>0</v>
      </c>
    </row>
    <row r="34" spans="1:28">
      <c r="A34" s="739" t="s">
        <v>1055</v>
      </c>
      <c r="B34" s="604"/>
      <c r="C34" s="660"/>
      <c r="D34" s="727"/>
      <c r="E34" s="660"/>
      <c r="F34" s="696"/>
      <c r="G34" s="757"/>
      <c r="H34" s="696"/>
      <c r="I34" s="741"/>
    </row>
    <row r="35" spans="1:28">
      <c r="A35" s="605">
        <f>A30+1</f>
        <v>8</v>
      </c>
      <c r="B35" s="604"/>
      <c r="C35" s="696" t="str">
        <f ca="1">"Sum of Lines "&amp;A32&amp;" through "&amp;OFFSET(A35,-1,0)</f>
        <v>Sum of Lines 7.01 through 7.XX</v>
      </c>
      <c r="E35" s="609">
        <f>SUM(E32:E33)</f>
        <v>0</v>
      </c>
      <c r="I35" s="608">
        <f ca="1">SUM(I32:I33)</f>
        <v>0</v>
      </c>
    </row>
    <row r="36" spans="1:28">
      <c r="B36" s="604"/>
      <c r="C36" s="696"/>
      <c r="I36" s="604"/>
    </row>
    <row r="37" spans="1:28" ht="16.2" thickBot="1">
      <c r="A37" s="605">
        <v>9</v>
      </c>
      <c r="B37" s="604"/>
      <c r="C37" s="747" t="s">
        <v>817</v>
      </c>
      <c r="I37" s="650">
        <f ca="1">I14+I21+I28+I35</f>
        <v>2406338.04</v>
      </c>
    </row>
    <row r="38" spans="1:28" ht="16.2" thickTop="1">
      <c r="A38" s="604"/>
      <c r="B38" s="604"/>
      <c r="C38" s="607" t="s">
        <v>153</v>
      </c>
      <c r="D38" s="605"/>
      <c r="E38" s="605"/>
      <c r="F38" s="605"/>
      <c r="G38" s="605"/>
      <c r="H38" s="605"/>
      <c r="I38" s="604"/>
    </row>
    <row r="39" spans="1:28">
      <c r="A39" s="604"/>
      <c r="B39" s="604"/>
      <c r="C39" s="1020" t="s">
        <v>1047</v>
      </c>
      <c r="D39" s="1020"/>
      <c r="E39" s="1020"/>
      <c r="F39" s="1020"/>
      <c r="G39" s="1020"/>
      <c r="H39" s="1020"/>
      <c r="I39" s="1020"/>
      <c r="J39" s="1020"/>
      <c r="K39" s="1020"/>
    </row>
    <row r="40" spans="1:28" ht="15.75" customHeight="1">
      <c r="A40" s="604"/>
      <c r="B40" s="604"/>
      <c r="C40" s="989" t="s">
        <v>736</v>
      </c>
      <c r="D40" s="989"/>
      <c r="E40" s="989"/>
      <c r="F40" s="989"/>
      <c r="G40" s="989"/>
      <c r="H40" s="989"/>
      <c r="I40" s="989"/>
      <c r="J40" s="626"/>
    </row>
    <row r="41" spans="1:28" ht="35.549999999999997" customHeight="1">
      <c r="A41" s="604"/>
      <c r="B41" s="604"/>
      <c r="C41" s="989" t="s">
        <v>940</v>
      </c>
      <c r="D41" s="989"/>
      <c r="E41" s="989"/>
      <c r="F41" s="989"/>
      <c r="G41" s="989"/>
      <c r="H41" s="989"/>
      <c r="I41" s="989"/>
      <c r="J41" s="626"/>
      <c r="L41" s="816"/>
    </row>
    <row r="42" spans="1:28" ht="15.6" customHeight="1">
      <c r="C42" s="989" t="s">
        <v>941</v>
      </c>
      <c r="D42" s="989"/>
      <c r="E42" s="989"/>
      <c r="F42" s="989"/>
      <c r="G42" s="989"/>
      <c r="H42" s="989"/>
      <c r="I42" s="989"/>
      <c r="N42" s="826"/>
      <c r="O42" s="826"/>
      <c r="P42" s="826"/>
      <c r="Q42" s="826"/>
      <c r="R42" s="826"/>
      <c r="S42" s="826"/>
      <c r="T42" s="826"/>
      <c r="U42" s="826"/>
      <c r="V42" s="826"/>
      <c r="W42" s="826"/>
      <c r="X42" s="826"/>
      <c r="Y42" s="826"/>
      <c r="Z42" s="826"/>
      <c r="AA42" s="826"/>
      <c r="AB42" s="826"/>
    </row>
    <row r="43" spans="1:28">
      <c r="C43" s="989"/>
      <c r="D43" s="989"/>
      <c r="E43" s="989"/>
      <c r="F43" s="989"/>
      <c r="G43" s="989"/>
      <c r="H43" s="989"/>
      <c r="I43" s="989"/>
    </row>
    <row r="44" spans="1:28" ht="15.6" customHeight="1">
      <c r="C44" s="989" t="s">
        <v>942</v>
      </c>
      <c r="D44" s="989"/>
      <c r="E44" s="989"/>
      <c r="F44" s="989"/>
      <c r="G44" s="989"/>
      <c r="H44" s="989"/>
      <c r="I44" s="989"/>
    </row>
    <row r="45" spans="1:28">
      <c r="C45" s="989"/>
      <c r="D45" s="989"/>
      <c r="E45" s="989"/>
      <c r="F45" s="989"/>
      <c r="G45" s="989"/>
      <c r="H45" s="989"/>
      <c r="I45" s="989"/>
    </row>
    <row r="46" spans="1:28">
      <c r="C46" s="989"/>
      <c r="D46" s="989"/>
      <c r="E46" s="989"/>
      <c r="F46" s="989"/>
      <c r="G46" s="989"/>
      <c r="H46" s="989"/>
      <c r="I46" s="989"/>
    </row>
    <row r="47" spans="1:28">
      <c r="C47" s="785"/>
      <c r="D47" s="785"/>
      <c r="E47" s="785"/>
      <c r="F47" s="785"/>
      <c r="G47" s="785"/>
      <c r="H47" s="785"/>
    </row>
    <row r="48" spans="1:28">
      <c r="C48" s="785"/>
      <c r="D48" s="785"/>
      <c r="E48" s="785"/>
      <c r="F48" s="785"/>
      <c r="G48" s="785"/>
      <c r="H48" s="785"/>
    </row>
    <row r="49" spans="3:8">
      <c r="C49" s="785"/>
      <c r="D49" s="785"/>
      <c r="E49" s="785"/>
      <c r="F49" s="785"/>
      <c r="G49" s="785"/>
      <c r="H49" s="785"/>
    </row>
  </sheetData>
  <mergeCells count="5">
    <mergeCell ref="C42:I43"/>
    <mergeCell ref="C44:I46"/>
    <mergeCell ref="C40:I40"/>
    <mergeCell ref="C41:I41"/>
    <mergeCell ref="C39:K39"/>
  </mergeCells>
  <dataValidations count="1">
    <dataValidation type="list" allowBlank="1" showInputMessage="1" showErrorMessage="1" sqref="D18:D20 D25:D27 D32:D34 D11:D13" xr:uid="{00000000-0002-0000-1900-000000000000}">
      <formula1>"DA, TE, TP, GP, WS, CE, EXCL,"</formula1>
    </dataValidation>
  </dataValidations>
  <pageMargins left="0.25" right="0.25" top="0.75" bottom="0.75" header="0.3" footer="0.3"/>
  <pageSetup scale="63" fitToHeight="0"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1">
    <pageSetUpPr fitToPage="1"/>
  </sheetPr>
  <dimension ref="A1:BA38"/>
  <sheetViews>
    <sheetView showWhiteSpace="0" zoomScale="70" zoomScaleNormal="70" zoomScalePageLayoutView="50" workbookViewId="0">
      <selection activeCell="F22" sqref="F22"/>
    </sheetView>
  </sheetViews>
  <sheetFormatPr defaultColWidth="5" defaultRowHeight="15.6"/>
  <cols>
    <col min="1" max="1" width="7.7265625" style="605" customWidth="1"/>
    <col min="2" max="2" width="0.7265625" style="605" customWidth="1"/>
    <col min="3" max="3" width="29.26953125" style="604" customWidth="1"/>
    <col min="4" max="4" width="0.7265625" style="604" customWidth="1"/>
    <col min="5" max="5" width="13.81640625" style="606" customWidth="1"/>
    <col min="6" max="6" width="0.7265625" style="604" customWidth="1"/>
    <col min="7" max="7" width="15.26953125" style="625" customWidth="1"/>
    <col min="8" max="8" width="0.7265625" style="604" customWidth="1"/>
    <col min="9" max="9" width="14.7265625" style="606" bestFit="1" customWidth="1"/>
    <col min="10" max="10" width="0.7265625" style="604" customWidth="1"/>
    <col min="11" max="11" width="20.26953125" style="606" customWidth="1"/>
    <col min="12" max="12" width="0.7265625" style="604" customWidth="1"/>
    <col min="13" max="13" width="8.453125" style="606" customWidth="1"/>
    <col min="14" max="14" width="0.7265625" style="604" customWidth="1"/>
    <col min="15" max="15" width="12.26953125" style="606" bestFit="1" customWidth="1"/>
    <col min="16" max="16" width="0.7265625" style="604" customWidth="1"/>
    <col min="17" max="17" width="16.08984375" style="606" customWidth="1"/>
    <col min="18" max="18" width="0.7265625" style="604" customWidth="1"/>
    <col min="19" max="19" width="16.08984375" style="606" customWidth="1"/>
    <col min="20" max="20" width="0.7265625" style="604" customWidth="1"/>
    <col min="21" max="21" width="16.08984375" style="606" customWidth="1"/>
    <col min="22" max="22" width="0.7265625" style="604" customWidth="1"/>
    <col min="23" max="23" width="16.08984375" style="606" customWidth="1"/>
    <col min="24" max="24" width="0.7265625" style="604" customWidth="1"/>
    <col min="25" max="25" width="16.08984375" style="606" customWidth="1"/>
    <col min="26" max="26" width="0.7265625" style="604" customWidth="1"/>
    <col min="27" max="27" width="16.08984375" style="606" customWidth="1"/>
    <col min="28" max="28" width="0.7265625" style="604" customWidth="1"/>
    <col min="29" max="29" width="16.08984375" style="606" customWidth="1"/>
    <col min="30" max="30" width="0.7265625" style="604" customWidth="1"/>
    <col min="31" max="31" width="16.08984375" style="606" customWidth="1"/>
    <col min="32" max="32" width="0.7265625" style="604" customWidth="1"/>
    <col min="33" max="33" width="16.08984375" style="606" customWidth="1"/>
    <col min="34" max="34" width="0.7265625" style="604" customWidth="1"/>
    <col min="35" max="35" width="16.08984375" style="606" customWidth="1"/>
    <col min="36" max="36" width="0.7265625" style="604" customWidth="1"/>
    <col min="37" max="37" width="16.08984375" style="606" customWidth="1"/>
    <col min="38" max="38" width="0.7265625" style="604" customWidth="1"/>
    <col min="39" max="39" width="16.08984375" style="605" customWidth="1"/>
    <col min="40" max="40" width="0.54296875" style="604" customWidth="1"/>
    <col min="41" max="41" width="16.08984375" style="605" customWidth="1"/>
    <col min="42" max="42" width="0.54296875" style="604" customWidth="1"/>
    <col min="43" max="43" width="13.453125" style="605" customWidth="1"/>
    <col min="44" max="44" width="0.7265625" style="605" customWidth="1"/>
    <col min="45" max="45" width="11.08984375" style="636" customWidth="1"/>
    <col min="46" max="46" width="0.54296875" style="604" customWidth="1"/>
    <col min="47" max="47" width="13.453125" style="605" customWidth="1"/>
    <col min="48" max="48" width="0.54296875" style="604" customWidth="1"/>
    <col min="49" max="49" width="14.26953125" style="605" customWidth="1"/>
    <col min="50" max="50" width="0.54296875" style="604" customWidth="1"/>
    <col min="51" max="51" width="14.81640625" style="605" customWidth="1"/>
    <col min="52" max="52" width="0.54296875" style="604" customWidth="1"/>
    <col min="53" max="53" width="8.7265625" style="605" bestFit="1" customWidth="1"/>
    <col min="54" max="264" width="5" style="604"/>
    <col min="265" max="265" width="4.7265625" style="604" customWidth="1"/>
    <col min="266" max="266" width="2" style="604" customWidth="1"/>
    <col min="267" max="267" width="40.7265625" style="604" customWidth="1"/>
    <col min="268" max="268" width="3.54296875" style="604" customWidth="1"/>
    <col min="269" max="269" width="11.08984375" style="604" customWidth="1"/>
    <col min="270" max="270" width="2.7265625" style="604" customWidth="1"/>
    <col min="271" max="271" width="11.26953125" style="604" customWidth="1"/>
    <col min="272" max="272" width="2.7265625" style="604" customWidth="1"/>
    <col min="273" max="273" width="11.26953125" style="604" customWidth="1"/>
    <col min="274" max="274" width="2.7265625" style="604" customWidth="1"/>
    <col min="275" max="275" width="19.08984375" style="604" bestFit="1" customWidth="1"/>
    <col min="276" max="276" width="1.81640625" style="604" customWidth="1"/>
    <col min="277" max="277" width="6.7265625" style="604" customWidth="1"/>
    <col min="278" max="278" width="14.7265625" style="604" customWidth="1"/>
    <col min="279" max="279" width="9" style="604" bestFit="1" customWidth="1"/>
    <col min="280" max="520" width="5" style="604"/>
    <col min="521" max="521" width="4.7265625" style="604" customWidth="1"/>
    <col min="522" max="522" width="2" style="604" customWidth="1"/>
    <col min="523" max="523" width="40.7265625" style="604" customWidth="1"/>
    <col min="524" max="524" width="3.54296875" style="604" customWidth="1"/>
    <col min="525" max="525" width="11.08984375" style="604" customWidth="1"/>
    <col min="526" max="526" width="2.7265625" style="604" customWidth="1"/>
    <col min="527" max="527" width="11.26953125" style="604" customWidth="1"/>
    <col min="528" max="528" width="2.7265625" style="604" customWidth="1"/>
    <col min="529" max="529" width="11.26953125" style="604" customWidth="1"/>
    <col min="530" max="530" width="2.7265625" style="604" customWidth="1"/>
    <col min="531" max="531" width="19.08984375" style="604" bestFit="1" customWidth="1"/>
    <col min="532" max="532" width="1.81640625" style="604" customWidth="1"/>
    <col min="533" max="533" width="6.7265625" style="604" customWidth="1"/>
    <col min="534" max="534" width="14.7265625" style="604" customWidth="1"/>
    <col min="535" max="535" width="9" style="604" bestFit="1" customWidth="1"/>
    <col min="536" max="776" width="5" style="604"/>
    <col min="777" max="777" width="4.7265625" style="604" customWidth="1"/>
    <col min="778" max="778" width="2" style="604" customWidth="1"/>
    <col min="779" max="779" width="40.7265625" style="604" customWidth="1"/>
    <col min="780" max="780" width="3.54296875" style="604" customWidth="1"/>
    <col min="781" max="781" width="11.08984375" style="604" customWidth="1"/>
    <col min="782" max="782" width="2.7265625" style="604" customWidth="1"/>
    <col min="783" max="783" width="11.26953125" style="604" customWidth="1"/>
    <col min="784" max="784" width="2.7265625" style="604" customWidth="1"/>
    <col min="785" max="785" width="11.26953125" style="604" customWidth="1"/>
    <col min="786" max="786" width="2.7265625" style="604" customWidth="1"/>
    <col min="787" max="787" width="19.08984375" style="604" bestFit="1" customWidth="1"/>
    <col min="788" max="788" width="1.81640625" style="604" customWidth="1"/>
    <col min="789" max="789" width="6.7265625" style="604" customWidth="1"/>
    <col min="790" max="790" width="14.7265625" style="604" customWidth="1"/>
    <col min="791" max="791" width="9" style="604" bestFit="1" customWidth="1"/>
    <col min="792" max="1032" width="5" style="604"/>
    <col min="1033" max="1033" width="4.7265625" style="604" customWidth="1"/>
    <col min="1034" max="1034" width="2" style="604" customWidth="1"/>
    <col min="1035" max="1035" width="40.7265625" style="604" customWidth="1"/>
    <col min="1036" max="1036" width="3.54296875" style="604" customWidth="1"/>
    <col min="1037" max="1037" width="11.08984375" style="604" customWidth="1"/>
    <col min="1038" max="1038" width="2.7265625" style="604" customWidth="1"/>
    <col min="1039" max="1039" width="11.26953125" style="604" customWidth="1"/>
    <col min="1040" max="1040" width="2.7265625" style="604" customWidth="1"/>
    <col min="1041" max="1041" width="11.26953125" style="604" customWidth="1"/>
    <col min="1042" max="1042" width="2.7265625" style="604" customWidth="1"/>
    <col min="1043" max="1043" width="19.08984375" style="604" bestFit="1" customWidth="1"/>
    <col min="1044" max="1044" width="1.81640625" style="604" customWidth="1"/>
    <col min="1045" max="1045" width="6.7265625" style="604" customWidth="1"/>
    <col min="1046" max="1046" width="14.7265625" style="604" customWidth="1"/>
    <col min="1047" max="1047" width="9" style="604" bestFit="1" customWidth="1"/>
    <col min="1048" max="1288" width="5" style="604"/>
    <col min="1289" max="1289" width="4.7265625" style="604" customWidth="1"/>
    <col min="1290" max="1290" width="2" style="604" customWidth="1"/>
    <col min="1291" max="1291" width="40.7265625" style="604" customWidth="1"/>
    <col min="1292" max="1292" width="3.54296875" style="604" customWidth="1"/>
    <col min="1293" max="1293" width="11.08984375" style="604" customWidth="1"/>
    <col min="1294" max="1294" width="2.7265625" style="604" customWidth="1"/>
    <col min="1295" max="1295" width="11.26953125" style="604" customWidth="1"/>
    <col min="1296" max="1296" width="2.7265625" style="604" customWidth="1"/>
    <col min="1297" max="1297" width="11.26953125" style="604" customWidth="1"/>
    <col min="1298" max="1298" width="2.7265625" style="604" customWidth="1"/>
    <col min="1299" max="1299" width="19.08984375" style="604" bestFit="1" customWidth="1"/>
    <col min="1300" max="1300" width="1.81640625" style="604" customWidth="1"/>
    <col min="1301" max="1301" width="6.7265625" style="604" customWidth="1"/>
    <col min="1302" max="1302" width="14.7265625" style="604" customWidth="1"/>
    <col min="1303" max="1303" width="9" style="604" bestFit="1" customWidth="1"/>
    <col min="1304" max="1544" width="5" style="604"/>
    <col min="1545" max="1545" width="4.7265625" style="604" customWidth="1"/>
    <col min="1546" max="1546" width="2" style="604" customWidth="1"/>
    <col min="1547" max="1547" width="40.7265625" style="604" customWidth="1"/>
    <col min="1548" max="1548" width="3.54296875" style="604" customWidth="1"/>
    <col min="1549" max="1549" width="11.08984375" style="604" customWidth="1"/>
    <col min="1550" max="1550" width="2.7265625" style="604" customWidth="1"/>
    <col min="1551" max="1551" width="11.26953125" style="604" customWidth="1"/>
    <col min="1552" max="1552" width="2.7265625" style="604" customWidth="1"/>
    <col min="1553" max="1553" width="11.26953125" style="604" customWidth="1"/>
    <col min="1554" max="1554" width="2.7265625" style="604" customWidth="1"/>
    <col min="1555" max="1555" width="19.08984375" style="604" bestFit="1" customWidth="1"/>
    <col min="1556" max="1556" width="1.81640625" style="604" customWidth="1"/>
    <col min="1557" max="1557" width="6.7265625" style="604" customWidth="1"/>
    <col min="1558" max="1558" width="14.7265625" style="604" customWidth="1"/>
    <col min="1559" max="1559" width="9" style="604" bestFit="1" customWidth="1"/>
    <col min="1560" max="1800" width="5" style="604"/>
    <col min="1801" max="1801" width="4.7265625" style="604" customWidth="1"/>
    <col min="1802" max="1802" width="2" style="604" customWidth="1"/>
    <col min="1803" max="1803" width="40.7265625" style="604" customWidth="1"/>
    <col min="1804" max="1804" width="3.54296875" style="604" customWidth="1"/>
    <col min="1805" max="1805" width="11.08984375" style="604" customWidth="1"/>
    <col min="1806" max="1806" width="2.7265625" style="604" customWidth="1"/>
    <col min="1807" max="1807" width="11.26953125" style="604" customWidth="1"/>
    <col min="1808" max="1808" width="2.7265625" style="604" customWidth="1"/>
    <col min="1809" max="1809" width="11.26953125" style="604" customWidth="1"/>
    <col min="1810" max="1810" width="2.7265625" style="604" customWidth="1"/>
    <col min="1811" max="1811" width="19.08984375" style="604" bestFit="1" customWidth="1"/>
    <col min="1812" max="1812" width="1.81640625" style="604" customWidth="1"/>
    <col min="1813" max="1813" width="6.7265625" style="604" customWidth="1"/>
    <col min="1814" max="1814" width="14.7265625" style="604" customWidth="1"/>
    <col min="1815" max="1815" width="9" style="604" bestFit="1" customWidth="1"/>
    <col min="1816" max="2056" width="5" style="604"/>
    <col min="2057" max="2057" width="4.7265625" style="604" customWidth="1"/>
    <col min="2058" max="2058" width="2" style="604" customWidth="1"/>
    <col min="2059" max="2059" width="40.7265625" style="604" customWidth="1"/>
    <col min="2060" max="2060" width="3.54296875" style="604" customWidth="1"/>
    <col min="2061" max="2061" width="11.08984375" style="604" customWidth="1"/>
    <col min="2062" max="2062" width="2.7265625" style="604" customWidth="1"/>
    <col min="2063" max="2063" width="11.26953125" style="604" customWidth="1"/>
    <col min="2064" max="2064" width="2.7265625" style="604" customWidth="1"/>
    <col min="2065" max="2065" width="11.26953125" style="604" customWidth="1"/>
    <col min="2066" max="2066" width="2.7265625" style="604" customWidth="1"/>
    <col min="2067" max="2067" width="19.08984375" style="604" bestFit="1" customWidth="1"/>
    <col min="2068" max="2068" width="1.81640625" style="604" customWidth="1"/>
    <col min="2069" max="2069" width="6.7265625" style="604" customWidth="1"/>
    <col min="2070" max="2070" width="14.7265625" style="604" customWidth="1"/>
    <col min="2071" max="2071" width="9" style="604" bestFit="1" customWidth="1"/>
    <col min="2072" max="2312" width="5" style="604"/>
    <col min="2313" max="2313" width="4.7265625" style="604" customWidth="1"/>
    <col min="2314" max="2314" width="2" style="604" customWidth="1"/>
    <col min="2315" max="2315" width="40.7265625" style="604" customWidth="1"/>
    <col min="2316" max="2316" width="3.54296875" style="604" customWidth="1"/>
    <col min="2317" max="2317" width="11.08984375" style="604" customWidth="1"/>
    <col min="2318" max="2318" width="2.7265625" style="604" customWidth="1"/>
    <col min="2319" max="2319" width="11.26953125" style="604" customWidth="1"/>
    <col min="2320" max="2320" width="2.7265625" style="604" customWidth="1"/>
    <col min="2321" max="2321" width="11.26953125" style="604" customWidth="1"/>
    <col min="2322" max="2322" width="2.7265625" style="604" customWidth="1"/>
    <col min="2323" max="2323" width="19.08984375" style="604" bestFit="1" customWidth="1"/>
    <col min="2324" max="2324" width="1.81640625" style="604" customWidth="1"/>
    <col min="2325" max="2325" width="6.7265625" style="604" customWidth="1"/>
    <col min="2326" max="2326" width="14.7265625" style="604" customWidth="1"/>
    <col min="2327" max="2327" width="9" style="604" bestFit="1" customWidth="1"/>
    <col min="2328" max="2568" width="5" style="604"/>
    <col min="2569" max="2569" width="4.7265625" style="604" customWidth="1"/>
    <col min="2570" max="2570" width="2" style="604" customWidth="1"/>
    <col min="2571" max="2571" width="40.7265625" style="604" customWidth="1"/>
    <col min="2572" max="2572" width="3.54296875" style="604" customWidth="1"/>
    <col min="2573" max="2573" width="11.08984375" style="604" customWidth="1"/>
    <col min="2574" max="2574" width="2.7265625" style="604" customWidth="1"/>
    <col min="2575" max="2575" width="11.26953125" style="604" customWidth="1"/>
    <col min="2576" max="2576" width="2.7265625" style="604" customWidth="1"/>
    <col min="2577" max="2577" width="11.26953125" style="604" customWidth="1"/>
    <col min="2578" max="2578" width="2.7265625" style="604" customWidth="1"/>
    <col min="2579" max="2579" width="19.08984375" style="604" bestFit="1" customWidth="1"/>
    <col min="2580" max="2580" width="1.81640625" style="604" customWidth="1"/>
    <col min="2581" max="2581" width="6.7265625" style="604" customWidth="1"/>
    <col min="2582" max="2582" width="14.7265625" style="604" customWidth="1"/>
    <col min="2583" max="2583" width="9" style="604" bestFit="1" customWidth="1"/>
    <col min="2584" max="2824" width="5" style="604"/>
    <col min="2825" max="2825" width="4.7265625" style="604" customWidth="1"/>
    <col min="2826" max="2826" width="2" style="604" customWidth="1"/>
    <col min="2827" max="2827" width="40.7265625" style="604" customWidth="1"/>
    <col min="2828" max="2828" width="3.54296875" style="604" customWidth="1"/>
    <col min="2829" max="2829" width="11.08984375" style="604" customWidth="1"/>
    <col min="2830" max="2830" width="2.7265625" style="604" customWidth="1"/>
    <col min="2831" max="2831" width="11.26953125" style="604" customWidth="1"/>
    <col min="2832" max="2832" width="2.7265625" style="604" customWidth="1"/>
    <col min="2833" max="2833" width="11.26953125" style="604" customWidth="1"/>
    <col min="2834" max="2834" width="2.7265625" style="604" customWidth="1"/>
    <col min="2835" max="2835" width="19.08984375" style="604" bestFit="1" customWidth="1"/>
    <col min="2836" max="2836" width="1.81640625" style="604" customWidth="1"/>
    <col min="2837" max="2837" width="6.7265625" style="604" customWidth="1"/>
    <col min="2838" max="2838" width="14.7265625" style="604" customWidth="1"/>
    <col min="2839" max="2839" width="9" style="604" bestFit="1" customWidth="1"/>
    <col min="2840" max="3080" width="5" style="604"/>
    <col min="3081" max="3081" width="4.7265625" style="604" customWidth="1"/>
    <col min="3082" max="3082" width="2" style="604" customWidth="1"/>
    <col min="3083" max="3083" width="40.7265625" style="604" customWidth="1"/>
    <col min="3084" max="3084" width="3.54296875" style="604" customWidth="1"/>
    <col min="3085" max="3085" width="11.08984375" style="604" customWidth="1"/>
    <col min="3086" max="3086" width="2.7265625" style="604" customWidth="1"/>
    <col min="3087" max="3087" width="11.26953125" style="604" customWidth="1"/>
    <col min="3088" max="3088" width="2.7265625" style="604" customWidth="1"/>
    <col min="3089" max="3089" width="11.26953125" style="604" customWidth="1"/>
    <col min="3090" max="3090" width="2.7265625" style="604" customWidth="1"/>
    <col min="3091" max="3091" width="19.08984375" style="604" bestFit="1" customWidth="1"/>
    <col min="3092" max="3092" width="1.81640625" style="604" customWidth="1"/>
    <col min="3093" max="3093" width="6.7265625" style="604" customWidth="1"/>
    <col min="3094" max="3094" width="14.7265625" style="604" customWidth="1"/>
    <col min="3095" max="3095" width="9" style="604" bestFit="1" customWidth="1"/>
    <col min="3096" max="3336" width="5" style="604"/>
    <col min="3337" max="3337" width="4.7265625" style="604" customWidth="1"/>
    <col min="3338" max="3338" width="2" style="604" customWidth="1"/>
    <col min="3339" max="3339" width="40.7265625" style="604" customWidth="1"/>
    <col min="3340" max="3340" width="3.54296875" style="604" customWidth="1"/>
    <col min="3341" max="3341" width="11.08984375" style="604" customWidth="1"/>
    <col min="3342" max="3342" width="2.7265625" style="604" customWidth="1"/>
    <col min="3343" max="3343" width="11.26953125" style="604" customWidth="1"/>
    <col min="3344" max="3344" width="2.7265625" style="604" customWidth="1"/>
    <col min="3345" max="3345" width="11.26953125" style="604" customWidth="1"/>
    <col min="3346" max="3346" width="2.7265625" style="604" customWidth="1"/>
    <col min="3347" max="3347" width="19.08984375" style="604" bestFit="1" customWidth="1"/>
    <col min="3348" max="3348" width="1.81640625" style="604" customWidth="1"/>
    <col min="3349" max="3349" width="6.7265625" style="604" customWidth="1"/>
    <col min="3350" max="3350" width="14.7265625" style="604" customWidth="1"/>
    <col min="3351" max="3351" width="9" style="604" bestFit="1" customWidth="1"/>
    <col min="3352" max="3592" width="5" style="604"/>
    <col min="3593" max="3593" width="4.7265625" style="604" customWidth="1"/>
    <col min="3594" max="3594" width="2" style="604" customWidth="1"/>
    <col min="3595" max="3595" width="40.7265625" style="604" customWidth="1"/>
    <col min="3596" max="3596" width="3.54296875" style="604" customWidth="1"/>
    <col min="3597" max="3597" width="11.08984375" style="604" customWidth="1"/>
    <col min="3598" max="3598" width="2.7265625" style="604" customWidth="1"/>
    <col min="3599" max="3599" width="11.26953125" style="604" customWidth="1"/>
    <col min="3600" max="3600" width="2.7265625" style="604" customWidth="1"/>
    <col min="3601" max="3601" width="11.26953125" style="604" customWidth="1"/>
    <col min="3602" max="3602" width="2.7265625" style="604" customWidth="1"/>
    <col min="3603" max="3603" width="19.08984375" style="604" bestFit="1" customWidth="1"/>
    <col min="3604" max="3604" width="1.81640625" style="604" customWidth="1"/>
    <col min="3605" max="3605" width="6.7265625" style="604" customWidth="1"/>
    <col min="3606" max="3606" width="14.7265625" style="604" customWidth="1"/>
    <col min="3607" max="3607" width="9" style="604" bestFit="1" customWidth="1"/>
    <col min="3608" max="3848" width="5" style="604"/>
    <col min="3849" max="3849" width="4.7265625" style="604" customWidth="1"/>
    <col min="3850" max="3850" width="2" style="604" customWidth="1"/>
    <col min="3851" max="3851" width="40.7265625" style="604" customWidth="1"/>
    <col min="3852" max="3852" width="3.54296875" style="604" customWidth="1"/>
    <col min="3853" max="3853" width="11.08984375" style="604" customWidth="1"/>
    <col min="3854" max="3854" width="2.7265625" style="604" customWidth="1"/>
    <col min="3855" max="3855" width="11.26953125" style="604" customWidth="1"/>
    <col min="3856" max="3856" width="2.7265625" style="604" customWidth="1"/>
    <col min="3857" max="3857" width="11.26953125" style="604" customWidth="1"/>
    <col min="3858" max="3858" width="2.7265625" style="604" customWidth="1"/>
    <col min="3859" max="3859" width="19.08984375" style="604" bestFit="1" customWidth="1"/>
    <col min="3860" max="3860" width="1.81640625" style="604" customWidth="1"/>
    <col min="3861" max="3861" width="6.7265625" style="604" customWidth="1"/>
    <col min="3862" max="3862" width="14.7265625" style="604" customWidth="1"/>
    <col min="3863" max="3863" width="9" style="604" bestFit="1" customWidth="1"/>
    <col min="3864" max="4104" width="5" style="604"/>
    <col min="4105" max="4105" width="4.7265625" style="604" customWidth="1"/>
    <col min="4106" max="4106" width="2" style="604" customWidth="1"/>
    <col min="4107" max="4107" width="40.7265625" style="604" customWidth="1"/>
    <col min="4108" max="4108" width="3.54296875" style="604" customWidth="1"/>
    <col min="4109" max="4109" width="11.08984375" style="604" customWidth="1"/>
    <col min="4110" max="4110" width="2.7265625" style="604" customWidth="1"/>
    <col min="4111" max="4111" width="11.26953125" style="604" customWidth="1"/>
    <col min="4112" max="4112" width="2.7265625" style="604" customWidth="1"/>
    <col min="4113" max="4113" width="11.26953125" style="604" customWidth="1"/>
    <col min="4114" max="4114" width="2.7265625" style="604" customWidth="1"/>
    <col min="4115" max="4115" width="19.08984375" style="604" bestFit="1" customWidth="1"/>
    <col min="4116" max="4116" width="1.81640625" style="604" customWidth="1"/>
    <col min="4117" max="4117" width="6.7265625" style="604" customWidth="1"/>
    <col min="4118" max="4118" width="14.7265625" style="604" customWidth="1"/>
    <col min="4119" max="4119" width="9" style="604" bestFit="1" customWidth="1"/>
    <col min="4120" max="4360" width="5" style="604"/>
    <col min="4361" max="4361" width="4.7265625" style="604" customWidth="1"/>
    <col min="4362" max="4362" width="2" style="604" customWidth="1"/>
    <col min="4363" max="4363" width="40.7265625" style="604" customWidth="1"/>
    <col min="4364" max="4364" width="3.54296875" style="604" customWidth="1"/>
    <col min="4365" max="4365" width="11.08984375" style="604" customWidth="1"/>
    <col min="4366" max="4366" width="2.7265625" style="604" customWidth="1"/>
    <col min="4367" max="4367" width="11.26953125" style="604" customWidth="1"/>
    <col min="4368" max="4368" width="2.7265625" style="604" customWidth="1"/>
    <col min="4369" max="4369" width="11.26953125" style="604" customWidth="1"/>
    <col min="4370" max="4370" width="2.7265625" style="604" customWidth="1"/>
    <col min="4371" max="4371" width="19.08984375" style="604" bestFit="1" customWidth="1"/>
    <col min="4372" max="4372" width="1.81640625" style="604" customWidth="1"/>
    <col min="4373" max="4373" width="6.7265625" style="604" customWidth="1"/>
    <col min="4374" max="4374" width="14.7265625" style="604" customWidth="1"/>
    <col min="4375" max="4375" width="9" style="604" bestFit="1" customWidth="1"/>
    <col min="4376" max="4616" width="5" style="604"/>
    <col min="4617" max="4617" width="4.7265625" style="604" customWidth="1"/>
    <col min="4618" max="4618" width="2" style="604" customWidth="1"/>
    <col min="4619" max="4619" width="40.7265625" style="604" customWidth="1"/>
    <col min="4620" max="4620" width="3.54296875" style="604" customWidth="1"/>
    <col min="4621" max="4621" width="11.08984375" style="604" customWidth="1"/>
    <col min="4622" max="4622" width="2.7265625" style="604" customWidth="1"/>
    <col min="4623" max="4623" width="11.26953125" style="604" customWidth="1"/>
    <col min="4624" max="4624" width="2.7265625" style="604" customWidth="1"/>
    <col min="4625" max="4625" width="11.26953125" style="604" customWidth="1"/>
    <col min="4626" max="4626" width="2.7265625" style="604" customWidth="1"/>
    <col min="4627" max="4627" width="19.08984375" style="604" bestFit="1" customWidth="1"/>
    <col min="4628" max="4628" width="1.81640625" style="604" customWidth="1"/>
    <col min="4629" max="4629" width="6.7265625" style="604" customWidth="1"/>
    <col min="4630" max="4630" width="14.7265625" style="604" customWidth="1"/>
    <col min="4631" max="4631" width="9" style="604" bestFit="1" customWidth="1"/>
    <col min="4632" max="4872" width="5" style="604"/>
    <col min="4873" max="4873" width="4.7265625" style="604" customWidth="1"/>
    <col min="4874" max="4874" width="2" style="604" customWidth="1"/>
    <col min="4875" max="4875" width="40.7265625" style="604" customWidth="1"/>
    <col min="4876" max="4876" width="3.54296875" style="604" customWidth="1"/>
    <col min="4877" max="4877" width="11.08984375" style="604" customWidth="1"/>
    <col min="4878" max="4878" width="2.7265625" style="604" customWidth="1"/>
    <col min="4879" max="4879" width="11.26953125" style="604" customWidth="1"/>
    <col min="4880" max="4880" width="2.7265625" style="604" customWidth="1"/>
    <col min="4881" max="4881" width="11.26953125" style="604" customWidth="1"/>
    <col min="4882" max="4882" width="2.7265625" style="604" customWidth="1"/>
    <col min="4883" max="4883" width="19.08984375" style="604" bestFit="1" customWidth="1"/>
    <col min="4884" max="4884" width="1.81640625" style="604" customWidth="1"/>
    <col min="4885" max="4885" width="6.7265625" style="604" customWidth="1"/>
    <col min="4886" max="4886" width="14.7265625" style="604" customWidth="1"/>
    <col min="4887" max="4887" width="9" style="604" bestFit="1" customWidth="1"/>
    <col min="4888" max="5128" width="5" style="604"/>
    <col min="5129" max="5129" width="4.7265625" style="604" customWidth="1"/>
    <col min="5130" max="5130" width="2" style="604" customWidth="1"/>
    <col min="5131" max="5131" width="40.7265625" style="604" customWidth="1"/>
    <col min="5132" max="5132" width="3.54296875" style="604" customWidth="1"/>
    <col min="5133" max="5133" width="11.08984375" style="604" customWidth="1"/>
    <col min="5134" max="5134" width="2.7265625" style="604" customWidth="1"/>
    <col min="5135" max="5135" width="11.26953125" style="604" customWidth="1"/>
    <col min="5136" max="5136" width="2.7265625" style="604" customWidth="1"/>
    <col min="5137" max="5137" width="11.26953125" style="604" customWidth="1"/>
    <col min="5138" max="5138" width="2.7265625" style="604" customWidth="1"/>
    <col min="5139" max="5139" width="19.08984375" style="604" bestFit="1" customWidth="1"/>
    <col min="5140" max="5140" width="1.81640625" style="604" customWidth="1"/>
    <col min="5141" max="5141" width="6.7265625" style="604" customWidth="1"/>
    <col min="5142" max="5142" width="14.7265625" style="604" customWidth="1"/>
    <col min="5143" max="5143" width="9" style="604" bestFit="1" customWidth="1"/>
    <col min="5144" max="5384" width="5" style="604"/>
    <col min="5385" max="5385" width="4.7265625" style="604" customWidth="1"/>
    <col min="5386" max="5386" width="2" style="604" customWidth="1"/>
    <col min="5387" max="5387" width="40.7265625" style="604" customWidth="1"/>
    <col min="5388" max="5388" width="3.54296875" style="604" customWidth="1"/>
    <col min="5389" max="5389" width="11.08984375" style="604" customWidth="1"/>
    <col min="5390" max="5390" width="2.7265625" style="604" customWidth="1"/>
    <col min="5391" max="5391" width="11.26953125" style="604" customWidth="1"/>
    <col min="5392" max="5392" width="2.7265625" style="604" customWidth="1"/>
    <col min="5393" max="5393" width="11.26953125" style="604" customWidth="1"/>
    <col min="5394" max="5394" width="2.7265625" style="604" customWidth="1"/>
    <col min="5395" max="5395" width="19.08984375" style="604" bestFit="1" customWidth="1"/>
    <col min="5396" max="5396" width="1.81640625" style="604" customWidth="1"/>
    <col min="5397" max="5397" width="6.7265625" style="604" customWidth="1"/>
    <col min="5398" max="5398" width="14.7265625" style="604" customWidth="1"/>
    <col min="5399" max="5399" width="9" style="604" bestFit="1" customWidth="1"/>
    <col min="5400" max="5640" width="5" style="604"/>
    <col min="5641" max="5641" width="4.7265625" style="604" customWidth="1"/>
    <col min="5642" max="5642" width="2" style="604" customWidth="1"/>
    <col min="5643" max="5643" width="40.7265625" style="604" customWidth="1"/>
    <col min="5644" max="5644" width="3.54296875" style="604" customWidth="1"/>
    <col min="5645" max="5645" width="11.08984375" style="604" customWidth="1"/>
    <col min="5646" max="5646" width="2.7265625" style="604" customWidth="1"/>
    <col min="5647" max="5647" width="11.26953125" style="604" customWidth="1"/>
    <col min="5648" max="5648" width="2.7265625" style="604" customWidth="1"/>
    <col min="5649" max="5649" width="11.26953125" style="604" customWidth="1"/>
    <col min="5650" max="5650" width="2.7265625" style="604" customWidth="1"/>
    <col min="5651" max="5651" width="19.08984375" style="604" bestFit="1" customWidth="1"/>
    <col min="5652" max="5652" width="1.81640625" style="604" customWidth="1"/>
    <col min="5653" max="5653" width="6.7265625" style="604" customWidth="1"/>
    <col min="5654" max="5654" width="14.7265625" style="604" customWidth="1"/>
    <col min="5655" max="5655" width="9" style="604" bestFit="1" customWidth="1"/>
    <col min="5656" max="5896" width="5" style="604"/>
    <col min="5897" max="5897" width="4.7265625" style="604" customWidth="1"/>
    <col min="5898" max="5898" width="2" style="604" customWidth="1"/>
    <col min="5899" max="5899" width="40.7265625" style="604" customWidth="1"/>
    <col min="5900" max="5900" width="3.54296875" style="604" customWidth="1"/>
    <col min="5901" max="5901" width="11.08984375" style="604" customWidth="1"/>
    <col min="5902" max="5902" width="2.7265625" style="604" customWidth="1"/>
    <col min="5903" max="5903" width="11.26953125" style="604" customWidth="1"/>
    <col min="5904" max="5904" width="2.7265625" style="604" customWidth="1"/>
    <col min="5905" max="5905" width="11.26953125" style="604" customWidth="1"/>
    <col min="5906" max="5906" width="2.7265625" style="604" customWidth="1"/>
    <col min="5907" max="5907" width="19.08984375" style="604" bestFit="1" customWidth="1"/>
    <col min="5908" max="5908" width="1.81640625" style="604" customWidth="1"/>
    <col min="5909" max="5909" width="6.7265625" style="604" customWidth="1"/>
    <col min="5910" max="5910" width="14.7265625" style="604" customWidth="1"/>
    <col min="5911" max="5911" width="9" style="604" bestFit="1" customWidth="1"/>
    <col min="5912" max="6152" width="5" style="604"/>
    <col min="6153" max="6153" width="4.7265625" style="604" customWidth="1"/>
    <col min="6154" max="6154" width="2" style="604" customWidth="1"/>
    <col min="6155" max="6155" width="40.7265625" style="604" customWidth="1"/>
    <col min="6156" max="6156" width="3.54296875" style="604" customWidth="1"/>
    <col min="6157" max="6157" width="11.08984375" style="604" customWidth="1"/>
    <col min="6158" max="6158" width="2.7265625" style="604" customWidth="1"/>
    <col min="6159" max="6159" width="11.26953125" style="604" customWidth="1"/>
    <col min="6160" max="6160" width="2.7265625" style="604" customWidth="1"/>
    <col min="6161" max="6161" width="11.26953125" style="604" customWidth="1"/>
    <col min="6162" max="6162" width="2.7265625" style="604" customWidth="1"/>
    <col min="6163" max="6163" width="19.08984375" style="604" bestFit="1" customWidth="1"/>
    <col min="6164" max="6164" width="1.81640625" style="604" customWidth="1"/>
    <col min="6165" max="6165" width="6.7265625" style="604" customWidth="1"/>
    <col min="6166" max="6166" width="14.7265625" style="604" customWidth="1"/>
    <col min="6167" max="6167" width="9" style="604" bestFit="1" customWidth="1"/>
    <col min="6168" max="6408" width="5" style="604"/>
    <col min="6409" max="6409" width="4.7265625" style="604" customWidth="1"/>
    <col min="6410" max="6410" width="2" style="604" customWidth="1"/>
    <col min="6411" max="6411" width="40.7265625" style="604" customWidth="1"/>
    <col min="6412" max="6412" width="3.54296875" style="604" customWidth="1"/>
    <col min="6413" max="6413" width="11.08984375" style="604" customWidth="1"/>
    <col min="6414" max="6414" width="2.7265625" style="604" customWidth="1"/>
    <col min="6415" max="6415" width="11.26953125" style="604" customWidth="1"/>
    <col min="6416" max="6416" width="2.7265625" style="604" customWidth="1"/>
    <col min="6417" max="6417" width="11.26953125" style="604" customWidth="1"/>
    <col min="6418" max="6418" width="2.7265625" style="604" customWidth="1"/>
    <col min="6419" max="6419" width="19.08984375" style="604" bestFit="1" customWidth="1"/>
    <col min="6420" max="6420" width="1.81640625" style="604" customWidth="1"/>
    <col min="6421" max="6421" width="6.7265625" style="604" customWidth="1"/>
    <col min="6422" max="6422" width="14.7265625" style="604" customWidth="1"/>
    <col min="6423" max="6423" width="9" style="604" bestFit="1" customWidth="1"/>
    <col min="6424" max="6664" width="5" style="604"/>
    <col min="6665" max="6665" width="4.7265625" style="604" customWidth="1"/>
    <col min="6666" max="6666" width="2" style="604" customWidth="1"/>
    <col min="6667" max="6667" width="40.7265625" style="604" customWidth="1"/>
    <col min="6668" max="6668" width="3.54296875" style="604" customWidth="1"/>
    <col min="6669" max="6669" width="11.08984375" style="604" customWidth="1"/>
    <col min="6670" max="6670" width="2.7265625" style="604" customWidth="1"/>
    <col min="6671" max="6671" width="11.26953125" style="604" customWidth="1"/>
    <col min="6672" max="6672" width="2.7265625" style="604" customWidth="1"/>
    <col min="6673" max="6673" width="11.26953125" style="604" customWidth="1"/>
    <col min="6674" max="6674" width="2.7265625" style="604" customWidth="1"/>
    <col min="6675" max="6675" width="19.08984375" style="604" bestFit="1" customWidth="1"/>
    <col min="6676" max="6676" width="1.81640625" style="604" customWidth="1"/>
    <col min="6677" max="6677" width="6.7265625" style="604" customWidth="1"/>
    <col min="6678" max="6678" width="14.7265625" style="604" customWidth="1"/>
    <col min="6679" max="6679" width="9" style="604" bestFit="1" customWidth="1"/>
    <col min="6680" max="6920" width="5" style="604"/>
    <col min="6921" max="6921" width="4.7265625" style="604" customWidth="1"/>
    <col min="6922" max="6922" width="2" style="604" customWidth="1"/>
    <col min="6923" max="6923" width="40.7265625" style="604" customWidth="1"/>
    <col min="6924" max="6924" width="3.54296875" style="604" customWidth="1"/>
    <col min="6925" max="6925" width="11.08984375" style="604" customWidth="1"/>
    <col min="6926" max="6926" width="2.7265625" style="604" customWidth="1"/>
    <col min="6927" max="6927" width="11.26953125" style="604" customWidth="1"/>
    <col min="6928" max="6928" width="2.7265625" style="604" customWidth="1"/>
    <col min="6929" max="6929" width="11.26953125" style="604" customWidth="1"/>
    <col min="6930" max="6930" width="2.7265625" style="604" customWidth="1"/>
    <col min="6931" max="6931" width="19.08984375" style="604" bestFit="1" customWidth="1"/>
    <col min="6932" max="6932" width="1.81640625" style="604" customWidth="1"/>
    <col min="6933" max="6933" width="6.7265625" style="604" customWidth="1"/>
    <col min="6934" max="6934" width="14.7265625" style="604" customWidth="1"/>
    <col min="6935" max="6935" width="9" style="604" bestFit="1" customWidth="1"/>
    <col min="6936" max="7176" width="5" style="604"/>
    <col min="7177" max="7177" width="4.7265625" style="604" customWidth="1"/>
    <col min="7178" max="7178" width="2" style="604" customWidth="1"/>
    <col min="7179" max="7179" width="40.7265625" style="604" customWidth="1"/>
    <col min="7180" max="7180" width="3.54296875" style="604" customWidth="1"/>
    <col min="7181" max="7181" width="11.08984375" style="604" customWidth="1"/>
    <col min="7182" max="7182" width="2.7265625" style="604" customWidth="1"/>
    <col min="7183" max="7183" width="11.26953125" style="604" customWidth="1"/>
    <col min="7184" max="7184" width="2.7265625" style="604" customWidth="1"/>
    <col min="7185" max="7185" width="11.26953125" style="604" customWidth="1"/>
    <col min="7186" max="7186" width="2.7265625" style="604" customWidth="1"/>
    <col min="7187" max="7187" width="19.08984375" style="604" bestFit="1" customWidth="1"/>
    <col min="7188" max="7188" width="1.81640625" style="604" customWidth="1"/>
    <col min="7189" max="7189" width="6.7265625" style="604" customWidth="1"/>
    <col min="7190" max="7190" width="14.7265625" style="604" customWidth="1"/>
    <col min="7191" max="7191" width="9" style="604" bestFit="1" customWidth="1"/>
    <col min="7192" max="7432" width="5" style="604"/>
    <col min="7433" max="7433" width="4.7265625" style="604" customWidth="1"/>
    <col min="7434" max="7434" width="2" style="604" customWidth="1"/>
    <col min="7435" max="7435" width="40.7265625" style="604" customWidth="1"/>
    <col min="7436" max="7436" width="3.54296875" style="604" customWidth="1"/>
    <col min="7437" max="7437" width="11.08984375" style="604" customWidth="1"/>
    <col min="7438" max="7438" width="2.7265625" style="604" customWidth="1"/>
    <col min="7439" max="7439" width="11.26953125" style="604" customWidth="1"/>
    <col min="7440" max="7440" width="2.7265625" style="604" customWidth="1"/>
    <col min="7441" max="7441" width="11.26953125" style="604" customWidth="1"/>
    <col min="7442" max="7442" width="2.7265625" style="604" customWidth="1"/>
    <col min="7443" max="7443" width="19.08984375" style="604" bestFit="1" customWidth="1"/>
    <col min="7444" max="7444" width="1.81640625" style="604" customWidth="1"/>
    <col min="7445" max="7445" width="6.7265625" style="604" customWidth="1"/>
    <col min="7446" max="7446" width="14.7265625" style="604" customWidth="1"/>
    <col min="7447" max="7447" width="9" style="604" bestFit="1" customWidth="1"/>
    <col min="7448" max="7688" width="5" style="604"/>
    <col min="7689" max="7689" width="4.7265625" style="604" customWidth="1"/>
    <col min="7690" max="7690" width="2" style="604" customWidth="1"/>
    <col min="7691" max="7691" width="40.7265625" style="604" customWidth="1"/>
    <col min="7692" max="7692" width="3.54296875" style="604" customWidth="1"/>
    <col min="7693" max="7693" width="11.08984375" style="604" customWidth="1"/>
    <col min="7694" max="7694" width="2.7265625" style="604" customWidth="1"/>
    <col min="7695" max="7695" width="11.26953125" style="604" customWidth="1"/>
    <col min="7696" max="7696" width="2.7265625" style="604" customWidth="1"/>
    <col min="7697" max="7697" width="11.26953125" style="604" customWidth="1"/>
    <col min="7698" max="7698" width="2.7265625" style="604" customWidth="1"/>
    <col min="7699" max="7699" width="19.08984375" style="604" bestFit="1" customWidth="1"/>
    <col min="7700" max="7700" width="1.81640625" style="604" customWidth="1"/>
    <col min="7701" max="7701" width="6.7265625" style="604" customWidth="1"/>
    <col min="7702" max="7702" width="14.7265625" style="604" customWidth="1"/>
    <col min="7703" max="7703" width="9" style="604" bestFit="1" customWidth="1"/>
    <col min="7704" max="7944" width="5" style="604"/>
    <col min="7945" max="7945" width="4.7265625" style="604" customWidth="1"/>
    <col min="7946" max="7946" width="2" style="604" customWidth="1"/>
    <col min="7947" max="7947" width="40.7265625" style="604" customWidth="1"/>
    <col min="7948" max="7948" width="3.54296875" style="604" customWidth="1"/>
    <col min="7949" max="7949" width="11.08984375" style="604" customWidth="1"/>
    <col min="7950" max="7950" width="2.7265625" style="604" customWidth="1"/>
    <col min="7951" max="7951" width="11.26953125" style="604" customWidth="1"/>
    <col min="7952" max="7952" width="2.7265625" style="604" customWidth="1"/>
    <col min="7953" max="7953" width="11.26953125" style="604" customWidth="1"/>
    <col min="7954" max="7954" width="2.7265625" style="604" customWidth="1"/>
    <col min="7955" max="7955" width="19.08984375" style="604" bestFit="1" customWidth="1"/>
    <col min="7956" max="7956" width="1.81640625" style="604" customWidth="1"/>
    <col min="7957" max="7957" width="6.7265625" style="604" customWidth="1"/>
    <col min="7958" max="7958" width="14.7265625" style="604" customWidth="1"/>
    <col min="7959" max="7959" width="9" style="604" bestFit="1" customWidth="1"/>
    <col min="7960" max="8200" width="5" style="604"/>
    <col min="8201" max="8201" width="4.7265625" style="604" customWidth="1"/>
    <col min="8202" max="8202" width="2" style="604" customWidth="1"/>
    <col min="8203" max="8203" width="40.7265625" style="604" customWidth="1"/>
    <col min="8204" max="8204" width="3.54296875" style="604" customWidth="1"/>
    <col min="8205" max="8205" width="11.08984375" style="604" customWidth="1"/>
    <col min="8206" max="8206" width="2.7265625" style="604" customWidth="1"/>
    <col min="8207" max="8207" width="11.26953125" style="604" customWidth="1"/>
    <col min="8208" max="8208" width="2.7265625" style="604" customWidth="1"/>
    <col min="8209" max="8209" width="11.26953125" style="604" customWidth="1"/>
    <col min="8210" max="8210" width="2.7265625" style="604" customWidth="1"/>
    <col min="8211" max="8211" width="19.08984375" style="604" bestFit="1" customWidth="1"/>
    <col min="8212" max="8212" width="1.81640625" style="604" customWidth="1"/>
    <col min="8213" max="8213" width="6.7265625" style="604" customWidth="1"/>
    <col min="8214" max="8214" width="14.7265625" style="604" customWidth="1"/>
    <col min="8215" max="8215" width="9" style="604" bestFit="1" customWidth="1"/>
    <col min="8216" max="8456" width="5" style="604"/>
    <col min="8457" max="8457" width="4.7265625" style="604" customWidth="1"/>
    <col min="8458" max="8458" width="2" style="604" customWidth="1"/>
    <col min="8459" max="8459" width="40.7265625" style="604" customWidth="1"/>
    <col min="8460" max="8460" width="3.54296875" style="604" customWidth="1"/>
    <col min="8461" max="8461" width="11.08984375" style="604" customWidth="1"/>
    <col min="8462" max="8462" width="2.7265625" style="604" customWidth="1"/>
    <col min="8463" max="8463" width="11.26953125" style="604" customWidth="1"/>
    <col min="8464" max="8464" width="2.7265625" style="604" customWidth="1"/>
    <col min="8465" max="8465" width="11.26953125" style="604" customWidth="1"/>
    <col min="8466" max="8466" width="2.7265625" style="604" customWidth="1"/>
    <col min="8467" max="8467" width="19.08984375" style="604" bestFit="1" customWidth="1"/>
    <col min="8468" max="8468" width="1.81640625" style="604" customWidth="1"/>
    <col min="8469" max="8469" width="6.7265625" style="604" customWidth="1"/>
    <col min="8470" max="8470" width="14.7265625" style="604" customWidth="1"/>
    <col min="8471" max="8471" width="9" style="604" bestFit="1" customWidth="1"/>
    <col min="8472" max="8712" width="5" style="604"/>
    <col min="8713" max="8713" width="4.7265625" style="604" customWidth="1"/>
    <col min="8714" max="8714" width="2" style="604" customWidth="1"/>
    <col min="8715" max="8715" width="40.7265625" style="604" customWidth="1"/>
    <col min="8716" max="8716" width="3.54296875" style="604" customWidth="1"/>
    <col min="8717" max="8717" width="11.08984375" style="604" customWidth="1"/>
    <col min="8718" max="8718" width="2.7265625" style="604" customWidth="1"/>
    <col min="8719" max="8719" width="11.26953125" style="604" customWidth="1"/>
    <col min="8720" max="8720" width="2.7265625" style="604" customWidth="1"/>
    <col min="8721" max="8721" width="11.26953125" style="604" customWidth="1"/>
    <col min="8722" max="8722" width="2.7265625" style="604" customWidth="1"/>
    <col min="8723" max="8723" width="19.08984375" style="604" bestFit="1" customWidth="1"/>
    <col min="8724" max="8724" width="1.81640625" style="604" customWidth="1"/>
    <col min="8725" max="8725" width="6.7265625" style="604" customWidth="1"/>
    <col min="8726" max="8726" width="14.7265625" style="604" customWidth="1"/>
    <col min="8727" max="8727" width="9" style="604" bestFit="1" customWidth="1"/>
    <col min="8728" max="8968" width="5" style="604"/>
    <col min="8969" max="8969" width="4.7265625" style="604" customWidth="1"/>
    <col min="8970" max="8970" width="2" style="604" customWidth="1"/>
    <col min="8971" max="8971" width="40.7265625" style="604" customWidth="1"/>
    <col min="8972" max="8972" width="3.54296875" style="604" customWidth="1"/>
    <col min="8973" max="8973" width="11.08984375" style="604" customWidth="1"/>
    <col min="8974" max="8974" width="2.7265625" style="604" customWidth="1"/>
    <col min="8975" max="8975" width="11.26953125" style="604" customWidth="1"/>
    <col min="8976" max="8976" width="2.7265625" style="604" customWidth="1"/>
    <col min="8977" max="8977" width="11.26953125" style="604" customWidth="1"/>
    <col min="8978" max="8978" width="2.7265625" style="604" customWidth="1"/>
    <col min="8979" max="8979" width="19.08984375" style="604" bestFit="1" customWidth="1"/>
    <col min="8980" max="8980" width="1.81640625" style="604" customWidth="1"/>
    <col min="8981" max="8981" width="6.7265625" style="604" customWidth="1"/>
    <col min="8982" max="8982" width="14.7265625" style="604" customWidth="1"/>
    <col min="8983" max="8983" width="9" style="604" bestFit="1" customWidth="1"/>
    <col min="8984" max="9224" width="5" style="604"/>
    <col min="9225" max="9225" width="4.7265625" style="604" customWidth="1"/>
    <col min="9226" max="9226" width="2" style="604" customWidth="1"/>
    <col min="9227" max="9227" width="40.7265625" style="604" customWidth="1"/>
    <col min="9228" max="9228" width="3.54296875" style="604" customWidth="1"/>
    <col min="9229" max="9229" width="11.08984375" style="604" customWidth="1"/>
    <col min="9230" max="9230" width="2.7265625" style="604" customWidth="1"/>
    <col min="9231" max="9231" width="11.26953125" style="604" customWidth="1"/>
    <col min="9232" max="9232" width="2.7265625" style="604" customWidth="1"/>
    <col min="9233" max="9233" width="11.26953125" style="604" customWidth="1"/>
    <col min="9234" max="9234" width="2.7265625" style="604" customWidth="1"/>
    <col min="9235" max="9235" width="19.08984375" style="604" bestFit="1" customWidth="1"/>
    <col min="9236" max="9236" width="1.81640625" style="604" customWidth="1"/>
    <col min="9237" max="9237" width="6.7265625" style="604" customWidth="1"/>
    <col min="9238" max="9238" width="14.7265625" style="604" customWidth="1"/>
    <col min="9239" max="9239" width="9" style="604" bestFit="1" customWidth="1"/>
    <col min="9240" max="9480" width="5" style="604"/>
    <col min="9481" max="9481" width="4.7265625" style="604" customWidth="1"/>
    <col min="9482" max="9482" width="2" style="604" customWidth="1"/>
    <col min="9483" max="9483" width="40.7265625" style="604" customWidth="1"/>
    <col min="9484" max="9484" width="3.54296875" style="604" customWidth="1"/>
    <col min="9485" max="9485" width="11.08984375" style="604" customWidth="1"/>
    <col min="9486" max="9486" width="2.7265625" style="604" customWidth="1"/>
    <col min="9487" max="9487" width="11.26953125" style="604" customWidth="1"/>
    <col min="9488" max="9488" width="2.7265625" style="604" customWidth="1"/>
    <col min="9489" max="9489" width="11.26953125" style="604" customWidth="1"/>
    <col min="9490" max="9490" width="2.7265625" style="604" customWidth="1"/>
    <col min="9491" max="9491" width="19.08984375" style="604" bestFit="1" customWidth="1"/>
    <col min="9492" max="9492" width="1.81640625" style="604" customWidth="1"/>
    <col min="9493" max="9493" width="6.7265625" style="604" customWidth="1"/>
    <col min="9494" max="9494" width="14.7265625" style="604" customWidth="1"/>
    <col min="9495" max="9495" width="9" style="604" bestFit="1" customWidth="1"/>
    <col min="9496" max="9736" width="5" style="604"/>
    <col min="9737" max="9737" width="4.7265625" style="604" customWidth="1"/>
    <col min="9738" max="9738" width="2" style="604" customWidth="1"/>
    <col min="9739" max="9739" width="40.7265625" style="604" customWidth="1"/>
    <col min="9740" max="9740" width="3.54296875" style="604" customWidth="1"/>
    <col min="9741" max="9741" width="11.08984375" style="604" customWidth="1"/>
    <col min="9742" max="9742" width="2.7265625" style="604" customWidth="1"/>
    <col min="9743" max="9743" width="11.26953125" style="604" customWidth="1"/>
    <col min="9744" max="9744" width="2.7265625" style="604" customWidth="1"/>
    <col min="9745" max="9745" width="11.26953125" style="604" customWidth="1"/>
    <col min="9746" max="9746" width="2.7265625" style="604" customWidth="1"/>
    <col min="9747" max="9747" width="19.08984375" style="604" bestFit="1" customWidth="1"/>
    <col min="9748" max="9748" width="1.81640625" style="604" customWidth="1"/>
    <col min="9749" max="9749" width="6.7265625" style="604" customWidth="1"/>
    <col min="9750" max="9750" width="14.7265625" style="604" customWidth="1"/>
    <col min="9751" max="9751" width="9" style="604" bestFit="1" customWidth="1"/>
    <col min="9752" max="9992" width="5" style="604"/>
    <col min="9993" max="9993" width="4.7265625" style="604" customWidth="1"/>
    <col min="9994" max="9994" width="2" style="604" customWidth="1"/>
    <col min="9995" max="9995" width="40.7265625" style="604" customWidth="1"/>
    <col min="9996" max="9996" width="3.54296875" style="604" customWidth="1"/>
    <col min="9997" max="9997" width="11.08984375" style="604" customWidth="1"/>
    <col min="9998" max="9998" width="2.7265625" style="604" customWidth="1"/>
    <col min="9999" max="9999" width="11.26953125" style="604" customWidth="1"/>
    <col min="10000" max="10000" width="2.7265625" style="604" customWidth="1"/>
    <col min="10001" max="10001" width="11.26953125" style="604" customWidth="1"/>
    <col min="10002" max="10002" width="2.7265625" style="604" customWidth="1"/>
    <col min="10003" max="10003" width="19.08984375" style="604" bestFit="1" customWidth="1"/>
    <col min="10004" max="10004" width="1.81640625" style="604" customWidth="1"/>
    <col min="10005" max="10005" width="6.7265625" style="604" customWidth="1"/>
    <col min="10006" max="10006" width="14.7265625" style="604" customWidth="1"/>
    <col min="10007" max="10007" width="9" style="604" bestFit="1" customWidth="1"/>
    <col min="10008" max="10248" width="5" style="604"/>
    <col min="10249" max="10249" width="4.7265625" style="604" customWidth="1"/>
    <col min="10250" max="10250" width="2" style="604" customWidth="1"/>
    <col min="10251" max="10251" width="40.7265625" style="604" customWidth="1"/>
    <col min="10252" max="10252" width="3.54296875" style="604" customWidth="1"/>
    <col min="10253" max="10253" width="11.08984375" style="604" customWidth="1"/>
    <col min="10254" max="10254" width="2.7265625" style="604" customWidth="1"/>
    <col min="10255" max="10255" width="11.26953125" style="604" customWidth="1"/>
    <col min="10256" max="10256" width="2.7265625" style="604" customWidth="1"/>
    <col min="10257" max="10257" width="11.26953125" style="604" customWidth="1"/>
    <col min="10258" max="10258" width="2.7265625" style="604" customWidth="1"/>
    <col min="10259" max="10259" width="19.08984375" style="604" bestFit="1" customWidth="1"/>
    <col min="10260" max="10260" width="1.81640625" style="604" customWidth="1"/>
    <col min="10261" max="10261" width="6.7265625" style="604" customWidth="1"/>
    <col min="10262" max="10262" width="14.7265625" style="604" customWidth="1"/>
    <col min="10263" max="10263" width="9" style="604" bestFit="1" customWidth="1"/>
    <col min="10264" max="10504" width="5" style="604"/>
    <col min="10505" max="10505" width="4.7265625" style="604" customWidth="1"/>
    <col min="10506" max="10506" width="2" style="604" customWidth="1"/>
    <col min="10507" max="10507" width="40.7265625" style="604" customWidth="1"/>
    <col min="10508" max="10508" width="3.54296875" style="604" customWidth="1"/>
    <col min="10509" max="10509" width="11.08984375" style="604" customWidth="1"/>
    <col min="10510" max="10510" width="2.7265625" style="604" customWidth="1"/>
    <col min="10511" max="10511" width="11.26953125" style="604" customWidth="1"/>
    <col min="10512" max="10512" width="2.7265625" style="604" customWidth="1"/>
    <col min="10513" max="10513" width="11.26953125" style="604" customWidth="1"/>
    <col min="10514" max="10514" width="2.7265625" style="604" customWidth="1"/>
    <col min="10515" max="10515" width="19.08984375" style="604" bestFit="1" customWidth="1"/>
    <col min="10516" max="10516" width="1.81640625" style="604" customWidth="1"/>
    <col min="10517" max="10517" width="6.7265625" style="604" customWidth="1"/>
    <col min="10518" max="10518" width="14.7265625" style="604" customWidth="1"/>
    <col min="10519" max="10519" width="9" style="604" bestFit="1" customWidth="1"/>
    <col min="10520" max="10760" width="5" style="604"/>
    <col min="10761" max="10761" width="4.7265625" style="604" customWidth="1"/>
    <col min="10762" max="10762" width="2" style="604" customWidth="1"/>
    <col min="10763" max="10763" width="40.7265625" style="604" customWidth="1"/>
    <col min="10764" max="10764" width="3.54296875" style="604" customWidth="1"/>
    <col min="10765" max="10765" width="11.08984375" style="604" customWidth="1"/>
    <col min="10766" max="10766" width="2.7265625" style="604" customWidth="1"/>
    <col min="10767" max="10767" width="11.26953125" style="604" customWidth="1"/>
    <col min="10768" max="10768" width="2.7265625" style="604" customWidth="1"/>
    <col min="10769" max="10769" width="11.26953125" style="604" customWidth="1"/>
    <col min="10770" max="10770" width="2.7265625" style="604" customWidth="1"/>
    <col min="10771" max="10771" width="19.08984375" style="604" bestFit="1" customWidth="1"/>
    <col min="10772" max="10772" width="1.81640625" style="604" customWidth="1"/>
    <col min="10773" max="10773" width="6.7265625" style="604" customWidth="1"/>
    <col min="10774" max="10774" width="14.7265625" style="604" customWidth="1"/>
    <col min="10775" max="10775" width="9" style="604" bestFit="1" customWidth="1"/>
    <col min="10776" max="11016" width="5" style="604"/>
    <col min="11017" max="11017" width="4.7265625" style="604" customWidth="1"/>
    <col min="11018" max="11018" width="2" style="604" customWidth="1"/>
    <col min="11019" max="11019" width="40.7265625" style="604" customWidth="1"/>
    <col min="11020" max="11020" width="3.54296875" style="604" customWidth="1"/>
    <col min="11021" max="11021" width="11.08984375" style="604" customWidth="1"/>
    <col min="11022" max="11022" width="2.7265625" style="604" customWidth="1"/>
    <col min="11023" max="11023" width="11.26953125" style="604" customWidth="1"/>
    <col min="11024" max="11024" width="2.7265625" style="604" customWidth="1"/>
    <col min="11025" max="11025" width="11.26953125" style="604" customWidth="1"/>
    <col min="11026" max="11026" width="2.7265625" style="604" customWidth="1"/>
    <col min="11027" max="11027" width="19.08984375" style="604" bestFit="1" customWidth="1"/>
    <col min="11028" max="11028" width="1.81640625" style="604" customWidth="1"/>
    <col min="11029" max="11029" width="6.7265625" style="604" customWidth="1"/>
    <col min="11030" max="11030" width="14.7265625" style="604" customWidth="1"/>
    <col min="11031" max="11031" width="9" style="604" bestFit="1" customWidth="1"/>
    <col min="11032" max="11272" width="5" style="604"/>
    <col min="11273" max="11273" width="4.7265625" style="604" customWidth="1"/>
    <col min="11274" max="11274" width="2" style="604" customWidth="1"/>
    <col min="11275" max="11275" width="40.7265625" style="604" customWidth="1"/>
    <col min="11276" max="11276" width="3.54296875" style="604" customWidth="1"/>
    <col min="11277" max="11277" width="11.08984375" style="604" customWidth="1"/>
    <col min="11278" max="11278" width="2.7265625" style="604" customWidth="1"/>
    <col min="11279" max="11279" width="11.26953125" style="604" customWidth="1"/>
    <col min="11280" max="11280" width="2.7265625" style="604" customWidth="1"/>
    <col min="11281" max="11281" width="11.26953125" style="604" customWidth="1"/>
    <col min="11282" max="11282" width="2.7265625" style="604" customWidth="1"/>
    <col min="11283" max="11283" width="19.08984375" style="604" bestFit="1" customWidth="1"/>
    <col min="11284" max="11284" width="1.81640625" style="604" customWidth="1"/>
    <col min="11285" max="11285" width="6.7265625" style="604" customWidth="1"/>
    <col min="11286" max="11286" width="14.7265625" style="604" customWidth="1"/>
    <col min="11287" max="11287" width="9" style="604" bestFit="1" customWidth="1"/>
    <col min="11288" max="11528" width="5" style="604"/>
    <col min="11529" max="11529" width="4.7265625" style="604" customWidth="1"/>
    <col min="11530" max="11530" width="2" style="604" customWidth="1"/>
    <col min="11531" max="11531" width="40.7265625" style="604" customWidth="1"/>
    <col min="11532" max="11532" width="3.54296875" style="604" customWidth="1"/>
    <col min="11533" max="11533" width="11.08984375" style="604" customWidth="1"/>
    <col min="11534" max="11534" width="2.7265625" style="604" customWidth="1"/>
    <col min="11535" max="11535" width="11.26953125" style="604" customWidth="1"/>
    <col min="11536" max="11536" width="2.7265625" style="604" customWidth="1"/>
    <col min="11537" max="11537" width="11.26953125" style="604" customWidth="1"/>
    <col min="11538" max="11538" width="2.7265625" style="604" customWidth="1"/>
    <col min="11539" max="11539" width="19.08984375" style="604" bestFit="1" customWidth="1"/>
    <col min="11540" max="11540" width="1.81640625" style="604" customWidth="1"/>
    <col min="11541" max="11541" width="6.7265625" style="604" customWidth="1"/>
    <col min="11542" max="11542" width="14.7265625" style="604" customWidth="1"/>
    <col min="11543" max="11543" width="9" style="604" bestFit="1" customWidth="1"/>
    <col min="11544" max="11784" width="5" style="604"/>
    <col min="11785" max="11785" width="4.7265625" style="604" customWidth="1"/>
    <col min="11786" max="11786" width="2" style="604" customWidth="1"/>
    <col min="11787" max="11787" width="40.7265625" style="604" customWidth="1"/>
    <col min="11788" max="11788" width="3.54296875" style="604" customWidth="1"/>
    <col min="11789" max="11789" width="11.08984375" style="604" customWidth="1"/>
    <col min="11790" max="11790" width="2.7265625" style="604" customWidth="1"/>
    <col min="11791" max="11791" width="11.26953125" style="604" customWidth="1"/>
    <col min="11792" max="11792" width="2.7265625" style="604" customWidth="1"/>
    <col min="11793" max="11793" width="11.26953125" style="604" customWidth="1"/>
    <col min="11794" max="11794" width="2.7265625" style="604" customWidth="1"/>
    <col min="11795" max="11795" width="19.08984375" style="604" bestFit="1" customWidth="1"/>
    <col min="11796" max="11796" width="1.81640625" style="604" customWidth="1"/>
    <col min="11797" max="11797" width="6.7265625" style="604" customWidth="1"/>
    <col min="11798" max="11798" width="14.7265625" style="604" customWidth="1"/>
    <col min="11799" max="11799" width="9" style="604" bestFit="1" customWidth="1"/>
    <col min="11800" max="12040" width="5" style="604"/>
    <col min="12041" max="12041" width="4.7265625" style="604" customWidth="1"/>
    <col min="12042" max="12042" width="2" style="604" customWidth="1"/>
    <col min="12043" max="12043" width="40.7265625" style="604" customWidth="1"/>
    <col min="12044" max="12044" width="3.54296875" style="604" customWidth="1"/>
    <col min="12045" max="12045" width="11.08984375" style="604" customWidth="1"/>
    <col min="12046" max="12046" width="2.7265625" style="604" customWidth="1"/>
    <col min="12047" max="12047" width="11.26953125" style="604" customWidth="1"/>
    <col min="12048" max="12048" width="2.7265625" style="604" customWidth="1"/>
    <col min="12049" max="12049" width="11.26953125" style="604" customWidth="1"/>
    <col min="12050" max="12050" width="2.7265625" style="604" customWidth="1"/>
    <col min="12051" max="12051" width="19.08984375" style="604" bestFit="1" customWidth="1"/>
    <col min="12052" max="12052" width="1.81640625" style="604" customWidth="1"/>
    <col min="12053" max="12053" width="6.7265625" style="604" customWidth="1"/>
    <col min="12054" max="12054" width="14.7265625" style="604" customWidth="1"/>
    <col min="12055" max="12055" width="9" style="604" bestFit="1" customWidth="1"/>
    <col min="12056" max="12296" width="5" style="604"/>
    <col min="12297" max="12297" width="4.7265625" style="604" customWidth="1"/>
    <col min="12298" max="12298" width="2" style="604" customWidth="1"/>
    <col min="12299" max="12299" width="40.7265625" style="604" customWidth="1"/>
    <col min="12300" max="12300" width="3.54296875" style="604" customWidth="1"/>
    <col min="12301" max="12301" width="11.08984375" style="604" customWidth="1"/>
    <col min="12302" max="12302" width="2.7265625" style="604" customWidth="1"/>
    <col min="12303" max="12303" width="11.26953125" style="604" customWidth="1"/>
    <col min="12304" max="12304" width="2.7265625" style="604" customWidth="1"/>
    <col min="12305" max="12305" width="11.26953125" style="604" customWidth="1"/>
    <col min="12306" max="12306" width="2.7265625" style="604" customWidth="1"/>
    <col min="12307" max="12307" width="19.08984375" style="604" bestFit="1" customWidth="1"/>
    <col min="12308" max="12308" width="1.81640625" style="604" customWidth="1"/>
    <col min="12309" max="12309" width="6.7265625" style="604" customWidth="1"/>
    <col min="12310" max="12310" width="14.7265625" style="604" customWidth="1"/>
    <col min="12311" max="12311" width="9" style="604" bestFit="1" customWidth="1"/>
    <col min="12312" max="12552" width="5" style="604"/>
    <col min="12553" max="12553" width="4.7265625" style="604" customWidth="1"/>
    <col min="12554" max="12554" width="2" style="604" customWidth="1"/>
    <col min="12555" max="12555" width="40.7265625" style="604" customWidth="1"/>
    <col min="12556" max="12556" width="3.54296875" style="604" customWidth="1"/>
    <col min="12557" max="12557" width="11.08984375" style="604" customWidth="1"/>
    <col min="12558" max="12558" width="2.7265625" style="604" customWidth="1"/>
    <col min="12559" max="12559" width="11.26953125" style="604" customWidth="1"/>
    <col min="12560" max="12560" width="2.7265625" style="604" customWidth="1"/>
    <col min="12561" max="12561" width="11.26953125" style="604" customWidth="1"/>
    <col min="12562" max="12562" width="2.7265625" style="604" customWidth="1"/>
    <col min="12563" max="12563" width="19.08984375" style="604" bestFit="1" customWidth="1"/>
    <col min="12564" max="12564" width="1.81640625" style="604" customWidth="1"/>
    <col min="12565" max="12565" width="6.7265625" style="604" customWidth="1"/>
    <col min="12566" max="12566" width="14.7265625" style="604" customWidth="1"/>
    <col min="12567" max="12567" width="9" style="604" bestFit="1" customWidth="1"/>
    <col min="12568" max="12808" width="5" style="604"/>
    <col min="12809" max="12809" width="4.7265625" style="604" customWidth="1"/>
    <col min="12810" max="12810" width="2" style="604" customWidth="1"/>
    <col min="12811" max="12811" width="40.7265625" style="604" customWidth="1"/>
    <col min="12812" max="12812" width="3.54296875" style="604" customWidth="1"/>
    <col min="12813" max="12813" width="11.08984375" style="604" customWidth="1"/>
    <col min="12814" max="12814" width="2.7265625" style="604" customWidth="1"/>
    <col min="12815" max="12815" width="11.26953125" style="604" customWidth="1"/>
    <col min="12816" max="12816" width="2.7265625" style="604" customWidth="1"/>
    <col min="12817" max="12817" width="11.26953125" style="604" customWidth="1"/>
    <col min="12818" max="12818" width="2.7265625" style="604" customWidth="1"/>
    <col min="12819" max="12819" width="19.08984375" style="604" bestFit="1" customWidth="1"/>
    <col min="12820" max="12820" width="1.81640625" style="604" customWidth="1"/>
    <col min="12821" max="12821" width="6.7265625" style="604" customWidth="1"/>
    <col min="12822" max="12822" width="14.7265625" style="604" customWidth="1"/>
    <col min="12823" max="12823" width="9" style="604" bestFit="1" customWidth="1"/>
    <col min="12824" max="13064" width="5" style="604"/>
    <col min="13065" max="13065" width="4.7265625" style="604" customWidth="1"/>
    <col min="13066" max="13066" width="2" style="604" customWidth="1"/>
    <col min="13067" max="13067" width="40.7265625" style="604" customWidth="1"/>
    <col min="13068" max="13068" width="3.54296875" style="604" customWidth="1"/>
    <col min="13069" max="13069" width="11.08984375" style="604" customWidth="1"/>
    <col min="13070" max="13070" width="2.7265625" style="604" customWidth="1"/>
    <col min="13071" max="13071" width="11.26953125" style="604" customWidth="1"/>
    <col min="13072" max="13072" width="2.7265625" style="604" customWidth="1"/>
    <col min="13073" max="13073" width="11.26953125" style="604" customWidth="1"/>
    <col min="13074" max="13074" width="2.7265625" style="604" customWidth="1"/>
    <col min="13075" max="13075" width="19.08984375" style="604" bestFit="1" customWidth="1"/>
    <col min="13076" max="13076" width="1.81640625" style="604" customWidth="1"/>
    <col min="13077" max="13077" width="6.7265625" style="604" customWidth="1"/>
    <col min="13078" max="13078" width="14.7265625" style="604" customWidth="1"/>
    <col min="13079" max="13079" width="9" style="604" bestFit="1" customWidth="1"/>
    <col min="13080" max="13320" width="5" style="604"/>
    <col min="13321" max="13321" width="4.7265625" style="604" customWidth="1"/>
    <col min="13322" max="13322" width="2" style="604" customWidth="1"/>
    <col min="13323" max="13323" width="40.7265625" style="604" customWidth="1"/>
    <col min="13324" max="13324" width="3.54296875" style="604" customWidth="1"/>
    <col min="13325" max="13325" width="11.08984375" style="604" customWidth="1"/>
    <col min="13326" max="13326" width="2.7265625" style="604" customWidth="1"/>
    <col min="13327" max="13327" width="11.26953125" style="604" customWidth="1"/>
    <col min="13328" max="13328" width="2.7265625" style="604" customWidth="1"/>
    <col min="13329" max="13329" width="11.26953125" style="604" customWidth="1"/>
    <col min="13330" max="13330" width="2.7265625" style="604" customWidth="1"/>
    <col min="13331" max="13331" width="19.08984375" style="604" bestFit="1" customWidth="1"/>
    <col min="13332" max="13332" width="1.81640625" style="604" customWidth="1"/>
    <col min="13333" max="13333" width="6.7265625" style="604" customWidth="1"/>
    <col min="13334" max="13334" width="14.7265625" style="604" customWidth="1"/>
    <col min="13335" max="13335" width="9" style="604" bestFit="1" customWidth="1"/>
    <col min="13336" max="13576" width="5" style="604"/>
    <col min="13577" max="13577" width="4.7265625" style="604" customWidth="1"/>
    <col min="13578" max="13578" width="2" style="604" customWidth="1"/>
    <col min="13579" max="13579" width="40.7265625" style="604" customWidth="1"/>
    <col min="13580" max="13580" width="3.54296875" style="604" customWidth="1"/>
    <col min="13581" max="13581" width="11.08984375" style="604" customWidth="1"/>
    <col min="13582" max="13582" width="2.7265625" style="604" customWidth="1"/>
    <col min="13583" max="13583" width="11.26953125" style="604" customWidth="1"/>
    <col min="13584" max="13584" width="2.7265625" style="604" customWidth="1"/>
    <col min="13585" max="13585" width="11.26953125" style="604" customWidth="1"/>
    <col min="13586" max="13586" width="2.7265625" style="604" customWidth="1"/>
    <col min="13587" max="13587" width="19.08984375" style="604" bestFit="1" customWidth="1"/>
    <col min="13588" max="13588" width="1.81640625" style="604" customWidth="1"/>
    <col min="13589" max="13589" width="6.7265625" style="604" customWidth="1"/>
    <col min="13590" max="13590" width="14.7265625" style="604" customWidth="1"/>
    <col min="13591" max="13591" width="9" style="604" bestFit="1" customWidth="1"/>
    <col min="13592" max="13832" width="5" style="604"/>
    <col min="13833" max="13833" width="4.7265625" style="604" customWidth="1"/>
    <col min="13834" max="13834" width="2" style="604" customWidth="1"/>
    <col min="13835" max="13835" width="40.7265625" style="604" customWidth="1"/>
    <col min="13836" max="13836" width="3.54296875" style="604" customWidth="1"/>
    <col min="13837" max="13837" width="11.08984375" style="604" customWidth="1"/>
    <col min="13838" max="13838" width="2.7265625" style="604" customWidth="1"/>
    <col min="13839" max="13839" width="11.26953125" style="604" customWidth="1"/>
    <col min="13840" max="13840" width="2.7265625" style="604" customWidth="1"/>
    <col min="13841" max="13841" width="11.26953125" style="604" customWidth="1"/>
    <col min="13842" max="13842" width="2.7265625" style="604" customWidth="1"/>
    <col min="13843" max="13843" width="19.08984375" style="604" bestFit="1" customWidth="1"/>
    <col min="13844" max="13844" width="1.81640625" style="604" customWidth="1"/>
    <col min="13845" max="13845" width="6.7265625" style="604" customWidth="1"/>
    <col min="13846" max="13846" width="14.7265625" style="604" customWidth="1"/>
    <col min="13847" max="13847" width="9" style="604" bestFit="1" customWidth="1"/>
    <col min="13848" max="14088" width="5" style="604"/>
    <col min="14089" max="14089" width="4.7265625" style="604" customWidth="1"/>
    <col min="14090" max="14090" width="2" style="604" customWidth="1"/>
    <col min="14091" max="14091" width="40.7265625" style="604" customWidth="1"/>
    <col min="14092" max="14092" width="3.54296875" style="604" customWidth="1"/>
    <col min="14093" max="14093" width="11.08984375" style="604" customWidth="1"/>
    <col min="14094" max="14094" width="2.7265625" style="604" customWidth="1"/>
    <col min="14095" max="14095" width="11.26953125" style="604" customWidth="1"/>
    <col min="14096" max="14096" width="2.7265625" style="604" customWidth="1"/>
    <col min="14097" max="14097" width="11.26953125" style="604" customWidth="1"/>
    <col min="14098" max="14098" width="2.7265625" style="604" customWidth="1"/>
    <col min="14099" max="14099" width="19.08984375" style="604" bestFit="1" customWidth="1"/>
    <col min="14100" max="14100" width="1.81640625" style="604" customWidth="1"/>
    <col min="14101" max="14101" width="6.7265625" style="604" customWidth="1"/>
    <col min="14102" max="14102" width="14.7265625" style="604" customWidth="1"/>
    <col min="14103" max="14103" width="9" style="604" bestFit="1" customWidth="1"/>
    <col min="14104" max="14344" width="5" style="604"/>
    <col min="14345" max="14345" width="4.7265625" style="604" customWidth="1"/>
    <col min="14346" max="14346" width="2" style="604" customWidth="1"/>
    <col min="14347" max="14347" width="40.7265625" style="604" customWidth="1"/>
    <col min="14348" max="14348" width="3.54296875" style="604" customWidth="1"/>
    <col min="14349" max="14349" width="11.08984375" style="604" customWidth="1"/>
    <col min="14350" max="14350" width="2.7265625" style="604" customWidth="1"/>
    <col min="14351" max="14351" width="11.26953125" style="604" customWidth="1"/>
    <col min="14352" max="14352" width="2.7265625" style="604" customWidth="1"/>
    <col min="14353" max="14353" width="11.26953125" style="604" customWidth="1"/>
    <col min="14354" max="14354" width="2.7265625" style="604" customWidth="1"/>
    <col min="14355" max="14355" width="19.08984375" style="604" bestFit="1" customWidth="1"/>
    <col min="14356" max="14356" width="1.81640625" style="604" customWidth="1"/>
    <col min="14357" max="14357" width="6.7265625" style="604" customWidth="1"/>
    <col min="14358" max="14358" width="14.7265625" style="604" customWidth="1"/>
    <col min="14359" max="14359" width="9" style="604" bestFit="1" customWidth="1"/>
    <col min="14360" max="14600" width="5" style="604"/>
    <col min="14601" max="14601" width="4.7265625" style="604" customWidth="1"/>
    <col min="14602" max="14602" width="2" style="604" customWidth="1"/>
    <col min="14603" max="14603" width="40.7265625" style="604" customWidth="1"/>
    <col min="14604" max="14604" width="3.54296875" style="604" customWidth="1"/>
    <col min="14605" max="14605" width="11.08984375" style="604" customWidth="1"/>
    <col min="14606" max="14606" width="2.7265625" style="604" customWidth="1"/>
    <col min="14607" max="14607" width="11.26953125" style="604" customWidth="1"/>
    <col min="14608" max="14608" width="2.7265625" style="604" customWidth="1"/>
    <col min="14609" max="14609" width="11.26953125" style="604" customWidth="1"/>
    <col min="14610" max="14610" width="2.7265625" style="604" customWidth="1"/>
    <col min="14611" max="14611" width="19.08984375" style="604" bestFit="1" customWidth="1"/>
    <col min="14612" max="14612" width="1.81640625" style="604" customWidth="1"/>
    <col min="14613" max="14613" width="6.7265625" style="604" customWidth="1"/>
    <col min="14614" max="14614" width="14.7265625" style="604" customWidth="1"/>
    <col min="14615" max="14615" width="9" style="604" bestFit="1" customWidth="1"/>
    <col min="14616" max="14856" width="5" style="604"/>
    <col min="14857" max="14857" width="4.7265625" style="604" customWidth="1"/>
    <col min="14858" max="14858" width="2" style="604" customWidth="1"/>
    <col min="14859" max="14859" width="40.7265625" style="604" customWidth="1"/>
    <col min="14860" max="14860" width="3.54296875" style="604" customWidth="1"/>
    <col min="14861" max="14861" width="11.08984375" style="604" customWidth="1"/>
    <col min="14862" max="14862" width="2.7265625" style="604" customWidth="1"/>
    <col min="14863" max="14863" width="11.26953125" style="604" customWidth="1"/>
    <col min="14864" max="14864" width="2.7265625" style="604" customWidth="1"/>
    <col min="14865" max="14865" width="11.26953125" style="604" customWidth="1"/>
    <col min="14866" max="14866" width="2.7265625" style="604" customWidth="1"/>
    <col min="14867" max="14867" width="19.08984375" style="604" bestFit="1" customWidth="1"/>
    <col min="14868" max="14868" width="1.81640625" style="604" customWidth="1"/>
    <col min="14869" max="14869" width="6.7265625" style="604" customWidth="1"/>
    <col min="14870" max="14870" width="14.7265625" style="604" customWidth="1"/>
    <col min="14871" max="14871" width="9" style="604" bestFit="1" customWidth="1"/>
    <col min="14872" max="15112" width="5" style="604"/>
    <col min="15113" max="15113" width="4.7265625" style="604" customWidth="1"/>
    <col min="15114" max="15114" width="2" style="604" customWidth="1"/>
    <col min="15115" max="15115" width="40.7265625" style="604" customWidth="1"/>
    <col min="15116" max="15116" width="3.54296875" style="604" customWidth="1"/>
    <col min="15117" max="15117" width="11.08984375" style="604" customWidth="1"/>
    <col min="15118" max="15118" width="2.7265625" style="604" customWidth="1"/>
    <col min="15119" max="15119" width="11.26953125" style="604" customWidth="1"/>
    <col min="15120" max="15120" width="2.7265625" style="604" customWidth="1"/>
    <col min="15121" max="15121" width="11.26953125" style="604" customWidth="1"/>
    <col min="15122" max="15122" width="2.7265625" style="604" customWidth="1"/>
    <col min="15123" max="15123" width="19.08984375" style="604" bestFit="1" customWidth="1"/>
    <col min="15124" max="15124" width="1.81640625" style="604" customWidth="1"/>
    <col min="15125" max="15125" width="6.7265625" style="604" customWidth="1"/>
    <col min="15126" max="15126" width="14.7265625" style="604" customWidth="1"/>
    <col min="15127" max="15127" width="9" style="604" bestFit="1" customWidth="1"/>
    <col min="15128" max="15368" width="5" style="604"/>
    <col min="15369" max="15369" width="4.7265625" style="604" customWidth="1"/>
    <col min="15370" max="15370" width="2" style="604" customWidth="1"/>
    <col min="15371" max="15371" width="40.7265625" style="604" customWidth="1"/>
    <col min="15372" max="15372" width="3.54296875" style="604" customWidth="1"/>
    <col min="15373" max="15373" width="11.08984375" style="604" customWidth="1"/>
    <col min="15374" max="15374" width="2.7265625" style="604" customWidth="1"/>
    <col min="15375" max="15375" width="11.26953125" style="604" customWidth="1"/>
    <col min="15376" max="15376" width="2.7265625" style="604" customWidth="1"/>
    <col min="15377" max="15377" width="11.26953125" style="604" customWidth="1"/>
    <col min="15378" max="15378" width="2.7265625" style="604" customWidth="1"/>
    <col min="15379" max="15379" width="19.08984375" style="604" bestFit="1" customWidth="1"/>
    <col min="15380" max="15380" width="1.81640625" style="604" customWidth="1"/>
    <col min="15381" max="15381" width="6.7265625" style="604" customWidth="1"/>
    <col min="15382" max="15382" width="14.7265625" style="604" customWidth="1"/>
    <col min="15383" max="15383" width="9" style="604" bestFit="1" customWidth="1"/>
    <col min="15384" max="15624" width="5" style="604"/>
    <col min="15625" max="15625" width="4.7265625" style="604" customWidth="1"/>
    <col min="15626" max="15626" width="2" style="604" customWidth="1"/>
    <col min="15627" max="15627" width="40.7265625" style="604" customWidth="1"/>
    <col min="15628" max="15628" width="3.54296875" style="604" customWidth="1"/>
    <col min="15629" max="15629" width="11.08984375" style="604" customWidth="1"/>
    <col min="15630" max="15630" width="2.7265625" style="604" customWidth="1"/>
    <col min="15631" max="15631" width="11.26953125" style="604" customWidth="1"/>
    <col min="15632" max="15632" width="2.7265625" style="604" customWidth="1"/>
    <col min="15633" max="15633" width="11.26953125" style="604" customWidth="1"/>
    <col min="15634" max="15634" width="2.7265625" style="604" customWidth="1"/>
    <col min="15635" max="15635" width="19.08984375" style="604" bestFit="1" customWidth="1"/>
    <col min="15636" max="15636" width="1.81640625" style="604" customWidth="1"/>
    <col min="15637" max="15637" width="6.7265625" style="604" customWidth="1"/>
    <col min="15638" max="15638" width="14.7265625" style="604" customWidth="1"/>
    <col min="15639" max="15639" width="9" style="604" bestFit="1" customWidth="1"/>
    <col min="15640" max="15880" width="5" style="604"/>
    <col min="15881" max="15881" width="4.7265625" style="604" customWidth="1"/>
    <col min="15882" max="15882" width="2" style="604" customWidth="1"/>
    <col min="15883" max="15883" width="40.7265625" style="604" customWidth="1"/>
    <col min="15884" max="15884" width="3.54296875" style="604" customWidth="1"/>
    <col min="15885" max="15885" width="11.08984375" style="604" customWidth="1"/>
    <col min="15886" max="15886" width="2.7265625" style="604" customWidth="1"/>
    <col min="15887" max="15887" width="11.26953125" style="604" customWidth="1"/>
    <col min="15888" max="15888" width="2.7265625" style="604" customWidth="1"/>
    <col min="15889" max="15889" width="11.26953125" style="604" customWidth="1"/>
    <col min="15890" max="15890" width="2.7265625" style="604" customWidth="1"/>
    <col min="15891" max="15891" width="19.08984375" style="604" bestFit="1" customWidth="1"/>
    <col min="15892" max="15892" width="1.81640625" style="604" customWidth="1"/>
    <col min="15893" max="15893" width="6.7265625" style="604" customWidth="1"/>
    <col min="15894" max="15894" width="14.7265625" style="604" customWidth="1"/>
    <col min="15895" max="15895" width="9" style="604" bestFit="1" customWidth="1"/>
    <col min="15896" max="16136" width="5" style="604"/>
    <col min="16137" max="16137" width="4.7265625" style="604" customWidth="1"/>
    <col min="16138" max="16138" width="2" style="604" customWidth="1"/>
    <col min="16139" max="16139" width="40.7265625" style="604" customWidth="1"/>
    <col min="16140" max="16140" width="3.54296875" style="604" customWidth="1"/>
    <col min="16141" max="16141" width="11.08984375" style="604" customWidth="1"/>
    <col min="16142" max="16142" width="2.7265625" style="604" customWidth="1"/>
    <col min="16143" max="16143" width="11.26953125" style="604" customWidth="1"/>
    <col min="16144" max="16144" width="2.7265625" style="604" customWidth="1"/>
    <col min="16145" max="16145" width="11.26953125" style="604" customWidth="1"/>
    <col min="16146" max="16146" width="2.7265625" style="604" customWidth="1"/>
    <col min="16147" max="16147" width="19.08984375" style="604" bestFit="1" customWidth="1"/>
    <col min="16148" max="16148" width="1.81640625" style="604" customWidth="1"/>
    <col min="16149" max="16149" width="6.7265625" style="604" customWidth="1"/>
    <col min="16150" max="16150" width="14.7265625" style="604" customWidth="1"/>
    <col min="16151" max="16151" width="9" style="604" bestFit="1" customWidth="1"/>
    <col min="16152" max="16384" width="5" style="604"/>
  </cols>
  <sheetData>
    <row r="1" spans="1:53">
      <c r="AW1" s="604"/>
      <c r="AX1" s="605"/>
      <c r="AY1"/>
      <c r="AZ1" s="860" t="s">
        <v>990</v>
      </c>
    </row>
    <row r="2" spans="1:53">
      <c r="AW2" s="604"/>
      <c r="AX2" s="605"/>
      <c r="AY2"/>
      <c r="AZ2" s="860" t="s">
        <v>144</v>
      </c>
    </row>
    <row r="3" spans="1:53">
      <c r="AW3" s="604"/>
      <c r="AX3" s="605"/>
      <c r="AY3"/>
      <c r="AZ3" s="3" t="str">
        <f>'Attachment 18 - Rev Creds'!I3</f>
        <v>For the 12 months ended 12/31/2022</v>
      </c>
    </row>
    <row r="5" spans="1:53">
      <c r="B5" s="604"/>
      <c r="C5" s="624" t="s">
        <v>627</v>
      </c>
      <c r="E5" s="624" t="str">
        <f>"("&amp;CHAR(CODE(MID(C5,2,1))+1)&amp;")"</f>
        <v>(B)</v>
      </c>
      <c r="G5" s="624" t="str">
        <f>"("&amp;CHAR(CODE(MID(E5,2,1))+1)&amp;")"</f>
        <v>(C)</v>
      </c>
      <c r="I5" s="624" t="str">
        <f>"("&amp;CHAR(CODE(MID(G5,2,1))+1)&amp;")"</f>
        <v>(D)</v>
      </c>
      <c r="K5" s="624" t="str">
        <f>"("&amp;CHAR(CODE(MID(I5,2,1))+1)&amp;")"</f>
        <v>(E)</v>
      </c>
      <c r="M5" s="624" t="str">
        <f>"("&amp;CHAR(CODE(MID(K5,2,1))+1)&amp;")"</f>
        <v>(F)</v>
      </c>
      <c r="O5" s="624" t="str">
        <f>"("&amp;CHAR(CODE(MID(M5,2,1))+1)&amp;")"</f>
        <v>(G)</v>
      </c>
      <c r="Q5" s="624" t="str">
        <f>"("&amp;CHAR(CODE(MID(O5,2,1))+1)&amp;")"</f>
        <v>(H)</v>
      </c>
      <c r="S5" s="624" t="str">
        <f>"("&amp;CHAR(CODE(MID(Q5,2,1))+1)&amp;")"</f>
        <v>(I)</v>
      </c>
      <c r="U5" s="624" t="str">
        <f>"("&amp;CHAR(CODE(MID(S5,2,1))+1)&amp;")"</f>
        <v>(J)</v>
      </c>
      <c r="W5" s="624" t="str">
        <f>"("&amp;CHAR(CODE(MID(U5,2,1))+1)&amp;")"</f>
        <v>(K)</v>
      </c>
      <c r="Y5" s="624" t="str">
        <f>"("&amp;CHAR(CODE(MID(W5,2,1))+1)&amp;")"</f>
        <v>(L)</v>
      </c>
      <c r="AA5" s="624" t="str">
        <f>"("&amp;CHAR(CODE(MID(Y5,2,1))+1)&amp;")"</f>
        <v>(M)</v>
      </c>
      <c r="AC5" s="624" t="str">
        <f>"("&amp;CHAR(CODE(MID(AA5,2,1))+1)&amp;")"</f>
        <v>(N)</v>
      </c>
      <c r="AE5" s="624" t="str">
        <f>"("&amp;CHAR(CODE(MID(AC5,2,1))+1)&amp;")"</f>
        <v>(O)</v>
      </c>
      <c r="AG5" s="624" t="str">
        <f>"("&amp;CHAR(CODE(MID(AE5,2,1))+1)&amp;")"</f>
        <v>(P)</v>
      </c>
      <c r="AI5" s="624" t="str">
        <f>"("&amp;CHAR(CODE(MID(AG5,2,1))+1)&amp;")"</f>
        <v>(Q)</v>
      </c>
      <c r="AK5" s="624" t="str">
        <f>"("&amp;CHAR(CODE(MID(AI5,2,1))+1)&amp;")"</f>
        <v>(R)</v>
      </c>
      <c r="AM5" s="624" t="str">
        <f>"("&amp;CHAR(CODE(MID(AK5,2,1))+1)&amp;")"</f>
        <v>(S)</v>
      </c>
      <c r="AO5" s="624" t="str">
        <f>"("&amp;CHAR(CODE(MID(AM5,2,1))+1)&amp;")"</f>
        <v>(T)</v>
      </c>
      <c r="AQ5" s="624" t="str">
        <f>"("&amp;CHAR(CODE(MID(AO5,2,1))+1)&amp;")"</f>
        <v>(U)</v>
      </c>
      <c r="AR5" s="604"/>
      <c r="AS5" s="624" t="str">
        <f>"("&amp;CHAR(CODE(MID(AQ5,2,1))+1)&amp;")"</f>
        <v>(V)</v>
      </c>
      <c r="AU5" s="624" t="str">
        <f>"("&amp;CHAR(CODE(MID(AS5,2,1))+1)&amp;")"</f>
        <v>(W)</v>
      </c>
      <c r="AW5" s="624" t="str">
        <f>"("&amp;CHAR(CODE(MID(AU5,2,1))+1)&amp;")"</f>
        <v>(X)</v>
      </c>
      <c r="AY5" s="624" t="str">
        <f>"("&amp;CHAR(CODE(MID(AW5,2,1))+1)&amp;")"</f>
        <v>(Y)</v>
      </c>
      <c r="BA5" s="670" t="str">
        <f>"("&amp;CHAR(CODE(MID(AY5,2,1))+1)&amp;")"</f>
        <v>(Z)</v>
      </c>
    </row>
    <row r="6" spans="1:53">
      <c r="B6" s="604"/>
      <c r="E6" s="624"/>
      <c r="G6" s="624"/>
      <c r="I6" s="624"/>
      <c r="K6" s="624"/>
      <c r="M6" s="624"/>
      <c r="O6" s="624"/>
      <c r="Q6" s="624"/>
      <c r="S6" s="624"/>
      <c r="U6" s="624"/>
      <c r="W6" s="624"/>
      <c r="Y6" s="624"/>
      <c r="AA6" s="624"/>
      <c r="AC6" s="624"/>
      <c r="AE6" s="624"/>
      <c r="AG6" s="624"/>
      <c r="AI6" s="624"/>
      <c r="AJ6" s="605"/>
      <c r="AK6" s="624"/>
      <c r="AL6" s="605"/>
      <c r="AN6" s="605"/>
      <c r="AP6" s="605"/>
      <c r="AT6" s="605"/>
      <c r="AV6" s="605"/>
      <c r="AX6" s="605"/>
      <c r="AZ6" s="605"/>
    </row>
    <row r="7" spans="1:53">
      <c r="B7" s="604"/>
      <c r="E7" s="604"/>
      <c r="G7" s="605"/>
      <c r="I7" s="604"/>
      <c r="K7" s="604"/>
      <c r="M7" s="604"/>
      <c r="O7" s="604"/>
      <c r="Q7" s="623">
        <f>'Attachment 4 - Accum Depr'!C8</f>
        <v>2021</v>
      </c>
      <c r="S7" s="623">
        <f>$Q$7+1</f>
        <v>2022</v>
      </c>
      <c r="U7" s="623">
        <f>$Q$7+1</f>
        <v>2022</v>
      </c>
      <c r="W7" s="623">
        <f>$Q$7+1</f>
        <v>2022</v>
      </c>
      <c r="Y7" s="623">
        <f>$Q$7+1</f>
        <v>2022</v>
      </c>
      <c r="AA7" s="623">
        <f>$Q$7+1</f>
        <v>2022</v>
      </c>
      <c r="AC7" s="623">
        <f>$Q$7+1</f>
        <v>2022</v>
      </c>
      <c r="AE7" s="623">
        <f>$Q$7+1</f>
        <v>2022</v>
      </c>
      <c r="AG7" s="623">
        <f>$Q$7+1</f>
        <v>2022</v>
      </c>
      <c r="AI7" s="623">
        <f>$Q$7+1</f>
        <v>2022</v>
      </c>
      <c r="AK7" s="623">
        <f>$Q$7+1</f>
        <v>2022</v>
      </c>
      <c r="AM7" s="623">
        <f>$Q$7+1</f>
        <v>2022</v>
      </c>
      <c r="AO7" s="623">
        <f>$Q$7+1</f>
        <v>2022</v>
      </c>
      <c r="AP7" s="605"/>
      <c r="AT7" s="605"/>
      <c r="AV7" s="605"/>
      <c r="AX7" s="605"/>
      <c r="AZ7" s="605"/>
    </row>
    <row r="8" spans="1:53" s="615" customFormat="1" ht="46.8">
      <c r="A8" s="622" t="s">
        <v>630</v>
      </c>
      <c r="B8" s="630"/>
      <c r="C8" s="744" t="s">
        <v>626</v>
      </c>
      <c r="D8" s="630"/>
      <c r="E8" s="631" t="s">
        <v>8</v>
      </c>
      <c r="F8" s="630"/>
      <c r="G8" s="631" t="s">
        <v>637</v>
      </c>
      <c r="H8" s="630"/>
      <c r="I8" s="631" t="s">
        <v>632</v>
      </c>
      <c r="J8" s="630"/>
      <c r="K8" s="631" t="s">
        <v>633</v>
      </c>
      <c r="L8" s="630"/>
      <c r="M8" s="631" t="s">
        <v>217</v>
      </c>
      <c r="N8" s="630"/>
      <c r="O8" s="631" t="s">
        <v>634</v>
      </c>
      <c r="P8" s="630"/>
      <c r="Q8" s="619" t="s">
        <v>188</v>
      </c>
      <c r="R8" s="630"/>
      <c r="S8" s="619" t="s">
        <v>623</v>
      </c>
      <c r="T8" s="630"/>
      <c r="U8" s="619" t="s">
        <v>622</v>
      </c>
      <c r="V8" s="630"/>
      <c r="W8" s="619" t="s">
        <v>621</v>
      </c>
      <c r="X8" s="630"/>
      <c r="Y8" s="619" t="s">
        <v>620</v>
      </c>
      <c r="Z8" s="630"/>
      <c r="AA8" s="619" t="s">
        <v>619</v>
      </c>
      <c r="AB8" s="630"/>
      <c r="AC8" s="619" t="s">
        <v>618</v>
      </c>
      <c r="AD8" s="630"/>
      <c r="AE8" s="619" t="s">
        <v>617</v>
      </c>
      <c r="AF8" s="630"/>
      <c r="AG8" s="619" t="s">
        <v>616</v>
      </c>
      <c r="AH8" s="630"/>
      <c r="AI8" s="619" t="s">
        <v>615</v>
      </c>
      <c r="AJ8" s="630"/>
      <c r="AK8" s="619" t="s">
        <v>614</v>
      </c>
      <c r="AL8" s="630"/>
      <c r="AM8" s="619" t="s">
        <v>613</v>
      </c>
      <c r="AN8" s="630"/>
      <c r="AO8" s="619" t="s">
        <v>188</v>
      </c>
      <c r="AP8" s="629"/>
      <c r="AQ8" s="619" t="s">
        <v>629</v>
      </c>
      <c r="AR8" s="629"/>
      <c r="AS8" s="638" t="s">
        <v>10</v>
      </c>
      <c r="AT8" s="612"/>
      <c r="AU8" s="619" t="s">
        <v>636</v>
      </c>
      <c r="AV8" s="612"/>
      <c r="AW8" s="619" t="s">
        <v>635</v>
      </c>
      <c r="AX8" s="612"/>
      <c r="AY8" s="892" t="s">
        <v>816</v>
      </c>
      <c r="AZ8" s="612"/>
      <c r="BA8" s="623" t="s">
        <v>624</v>
      </c>
    </row>
    <row r="9" spans="1:53">
      <c r="A9" s="615"/>
      <c r="B9" s="613"/>
      <c r="C9" s="614"/>
      <c r="D9" s="613"/>
      <c r="E9" s="613"/>
      <c r="F9" s="613"/>
      <c r="G9" s="633"/>
      <c r="H9" s="613"/>
      <c r="I9" s="613"/>
      <c r="J9" s="613"/>
      <c r="K9" s="613"/>
      <c r="L9" s="613"/>
      <c r="M9" s="613"/>
      <c r="N9" s="613"/>
      <c r="O9" s="613"/>
      <c r="P9" s="613"/>
      <c r="Q9" s="612"/>
      <c r="R9" s="613"/>
      <c r="S9" s="612"/>
      <c r="T9" s="613"/>
      <c r="U9" s="612"/>
      <c r="V9" s="613"/>
      <c r="W9" s="612"/>
      <c r="X9" s="613"/>
      <c r="Y9" s="612"/>
      <c r="Z9" s="613"/>
      <c r="AA9" s="612"/>
      <c r="AB9" s="613"/>
      <c r="AC9" s="612"/>
      <c r="AD9" s="613"/>
      <c r="AE9" s="612"/>
      <c r="AF9" s="613"/>
      <c r="AG9" s="612"/>
      <c r="AH9" s="613"/>
      <c r="AI9" s="612"/>
      <c r="AJ9" s="613"/>
      <c r="AK9" s="612"/>
      <c r="AL9" s="613"/>
      <c r="AM9" s="612"/>
      <c r="AN9" s="613"/>
      <c r="AO9" s="612"/>
      <c r="AP9" s="611"/>
      <c r="AQ9" s="612"/>
      <c r="AR9" s="611"/>
      <c r="AS9" s="639"/>
      <c r="AT9" s="617"/>
      <c r="AU9" s="612"/>
      <c r="AV9" s="617"/>
      <c r="AW9" s="612"/>
      <c r="AX9" s="617"/>
      <c r="AY9" s="612"/>
      <c r="AZ9" s="617"/>
      <c r="BA9" s="671"/>
    </row>
    <row r="10" spans="1:53">
      <c r="A10" s="615">
        <v>1</v>
      </c>
      <c r="B10" s="613"/>
      <c r="C10" s="758" t="s">
        <v>978</v>
      </c>
      <c r="D10" s="613"/>
      <c r="E10" s="613"/>
      <c r="F10" s="613"/>
      <c r="G10" s="633"/>
      <c r="H10" s="613"/>
      <c r="I10" s="613"/>
      <c r="J10" s="613"/>
      <c r="K10" s="613"/>
      <c r="L10" s="613"/>
      <c r="M10" s="613"/>
      <c r="N10" s="613"/>
      <c r="O10" s="613"/>
      <c r="P10" s="613"/>
      <c r="Q10" s="612"/>
      <c r="R10" s="613"/>
      <c r="S10" s="612"/>
      <c r="T10" s="613"/>
      <c r="U10" s="612"/>
      <c r="V10" s="613"/>
      <c r="W10" s="612"/>
      <c r="X10" s="613"/>
      <c r="Y10" s="612"/>
      <c r="Z10" s="613"/>
      <c r="AA10" s="612"/>
      <c r="AB10" s="613"/>
      <c r="AC10" s="612"/>
      <c r="AD10" s="613"/>
      <c r="AE10" s="612"/>
      <c r="AF10" s="613"/>
      <c r="AG10" s="612"/>
      <c r="AH10" s="613"/>
      <c r="AI10" s="612"/>
      <c r="AJ10" s="613"/>
      <c r="AK10" s="612"/>
      <c r="AL10" s="613"/>
      <c r="AM10" s="612"/>
      <c r="AN10" s="613"/>
      <c r="AO10" s="612"/>
      <c r="AP10" s="611"/>
      <c r="AQ10" s="612"/>
      <c r="AR10" s="611"/>
      <c r="AS10" s="639"/>
      <c r="AT10" s="612"/>
      <c r="AU10" s="612"/>
      <c r="AV10" s="612"/>
      <c r="AW10" s="612"/>
      <c r="AX10" s="612"/>
      <c r="AY10" s="612"/>
      <c r="AZ10" s="612"/>
      <c r="BA10" s="671"/>
    </row>
    <row r="11" spans="1:53">
      <c r="C11" s="605"/>
      <c r="D11" s="605"/>
      <c r="E11" s="605"/>
      <c r="F11" s="605"/>
      <c r="G11" s="632"/>
      <c r="H11" s="605"/>
      <c r="I11" s="605"/>
      <c r="J11" s="605"/>
      <c r="K11" s="605"/>
      <c r="L11" s="605"/>
      <c r="M11" s="605"/>
      <c r="N11" s="605"/>
      <c r="O11" s="605"/>
      <c r="P11" s="605"/>
      <c r="Q11" s="605"/>
      <c r="R11" s="605"/>
      <c r="S11" s="605"/>
      <c r="T11" s="605"/>
      <c r="U11" s="605"/>
      <c r="V11" s="605"/>
      <c r="W11" s="605"/>
      <c r="X11" s="605"/>
      <c r="Y11" s="605"/>
      <c r="Z11" s="605"/>
      <c r="AA11" s="605"/>
      <c r="AB11" s="605"/>
      <c r="AC11" s="605"/>
      <c r="AD11" s="605"/>
      <c r="AE11" s="605"/>
      <c r="AF11" s="605"/>
      <c r="AG11" s="605"/>
      <c r="AH11" s="605"/>
      <c r="AI11" s="605"/>
      <c r="AJ11" s="605"/>
      <c r="AK11" s="605"/>
      <c r="AL11" s="605"/>
      <c r="AN11" s="605"/>
      <c r="AP11" s="605"/>
      <c r="AT11" s="605"/>
      <c r="AV11" s="605"/>
      <c r="AX11" s="605"/>
      <c r="AY11" s="637"/>
      <c r="AZ11" s="605"/>
    </row>
    <row r="12" spans="1:53">
      <c r="A12" s="740">
        <f>A10+0.01</f>
        <v>1.01</v>
      </c>
      <c r="B12" s="604"/>
      <c r="C12" s="659" t="s">
        <v>1021</v>
      </c>
      <c r="E12" s="663">
        <v>0</v>
      </c>
      <c r="G12" s="663"/>
      <c r="I12" s="669"/>
      <c r="K12" s="669"/>
      <c r="M12" s="628" t="str">
        <f>IF(ISBLANK(I12)=TRUE,"",DATEDIF(I12,K12,"m")+1)</f>
        <v/>
      </c>
      <c r="O12" s="628">
        <f>IFERROR(E12/M12,0)</f>
        <v>0</v>
      </c>
      <c r="Q12" s="606">
        <f>E12-((DATEDIF(I12,DATE($Q$7,12,31),"M")+1)*O12)</f>
        <v>0</v>
      </c>
      <c r="S12" s="606">
        <f>IF(Q12-$O$12&gt;=0,Q12-$O$12,0)</f>
        <v>0</v>
      </c>
      <c r="U12" s="606">
        <f>IF(S12-$O$12&gt;=0,S12-$O$12,0)</f>
        <v>0</v>
      </c>
      <c r="W12" s="606">
        <f>IF(U12-$O$12&gt;=0,U12-$O$12,0)</f>
        <v>0</v>
      </c>
      <c r="Y12" s="606">
        <f>IF(W12-$O$12&gt;=0,W12-$O$12,0)</f>
        <v>0</v>
      </c>
      <c r="AA12" s="606">
        <f>IF(Y12-$O$12&gt;=0,Y12-$O$12,0)</f>
        <v>0</v>
      </c>
      <c r="AC12" s="606">
        <f>IF(AA12-$O$12&gt;=0,AA12-$O$12,0)</f>
        <v>0</v>
      </c>
      <c r="AE12" s="606">
        <f>IF(AC12-$O$12&gt;=0,AC12-$O$12,0)</f>
        <v>0</v>
      </c>
      <c r="AG12" s="606">
        <f>IF(AE12-$O$12&gt;=0,AE12-$O$12,0)</f>
        <v>0</v>
      </c>
      <c r="AI12" s="606">
        <f>IF(AG12-$O$12&gt;=0,AG12-$O$12,0)</f>
        <v>0</v>
      </c>
      <c r="AK12" s="606">
        <f>IF(AI12-$O$12&gt;=0,AI12-$O$12,0)</f>
        <v>0</v>
      </c>
      <c r="AM12" s="606">
        <f>IF(AK12-$O$12&gt;=0,AK12-$O$12,0)</f>
        <v>0</v>
      </c>
      <c r="AO12" s="606">
        <f>IF(AM12-$O$12&gt;=0,AM12-$O$12,0)</f>
        <v>0</v>
      </c>
      <c r="AQ12" s="606">
        <f>SUM(Q12:AO12)/13</f>
        <v>0</v>
      </c>
      <c r="AR12" s="604"/>
      <c r="AS12" s="664">
        <v>0</v>
      </c>
      <c r="AU12" s="606">
        <f>AQ12*AS12</f>
        <v>0</v>
      </c>
      <c r="AW12" s="606">
        <f>Q12-AO12</f>
        <v>0</v>
      </c>
      <c r="AY12" s="606">
        <f>AS12*AW12</f>
        <v>0</v>
      </c>
      <c r="BA12" s="672"/>
    </row>
    <row r="13" spans="1:53">
      <c r="A13" s="739">
        <f>A12+0.01</f>
        <v>1.02</v>
      </c>
      <c r="B13" s="604"/>
      <c r="C13" s="659" t="s">
        <v>1022</v>
      </c>
      <c r="E13" s="663"/>
      <c r="G13" s="663"/>
      <c r="I13" s="669"/>
      <c r="K13" s="669"/>
      <c r="M13" s="628" t="str">
        <f>IF(ISBLANK(I13)=TRUE,"",DATEDIF(I13,K13,"m")+1)</f>
        <v/>
      </c>
      <c r="O13" s="628">
        <f>IFERROR(E13/M13,0)</f>
        <v>0</v>
      </c>
      <c r="Q13" s="606">
        <f>E13-((DATEDIF(I13,DATE($Q$7,12,31),"M")+1)*O13)</f>
        <v>0</v>
      </c>
      <c r="S13" s="606">
        <f>IF(Q13-$O$13&gt;=0,Q13-$O$13,0)</f>
        <v>0</v>
      </c>
      <c r="U13" s="606">
        <f>IF(S13-$O$13&gt;=0,S13-$O$13,0)</f>
        <v>0</v>
      </c>
      <c r="W13" s="606">
        <f>IF(U13-$O$13&gt;=0,U13-$O$13,0)</f>
        <v>0</v>
      </c>
      <c r="X13" s="604">
        <f t="shared" ref="X13:AN13" si="0">IF(V13-$O$13&gt;=0,V13-$O$13,0)</f>
        <v>0</v>
      </c>
      <c r="Y13" s="606">
        <f>IF(W13-$O$13&gt;=0,W13-$O$13,0)</f>
        <v>0</v>
      </c>
      <c r="Z13" s="604">
        <f t="shared" si="0"/>
        <v>0</v>
      </c>
      <c r="AA13" s="606">
        <f>IF(Y13-$O$13&gt;=0,Y13-$O$13,0)</f>
        <v>0</v>
      </c>
      <c r="AB13" s="604">
        <f t="shared" si="0"/>
        <v>0</v>
      </c>
      <c r="AC13" s="606">
        <f>IF(AA13-$O$13&gt;=0,AA13-$O$13,0)</f>
        <v>0</v>
      </c>
      <c r="AD13" s="604">
        <f t="shared" si="0"/>
        <v>0</v>
      </c>
      <c r="AE13" s="606">
        <f t="shared" si="0"/>
        <v>0</v>
      </c>
      <c r="AF13" s="604">
        <f t="shared" si="0"/>
        <v>0</v>
      </c>
      <c r="AG13" s="606">
        <f t="shared" si="0"/>
        <v>0</v>
      </c>
      <c r="AH13" s="604">
        <f t="shared" si="0"/>
        <v>0</v>
      </c>
      <c r="AI13" s="606">
        <f t="shared" si="0"/>
        <v>0</v>
      </c>
      <c r="AJ13" s="604">
        <f t="shared" si="0"/>
        <v>0</v>
      </c>
      <c r="AK13" s="606">
        <f t="shared" si="0"/>
        <v>0</v>
      </c>
      <c r="AL13" s="604">
        <f t="shared" si="0"/>
        <v>0</v>
      </c>
      <c r="AM13" s="606">
        <f t="shared" si="0"/>
        <v>0</v>
      </c>
      <c r="AN13" s="604">
        <f t="shared" si="0"/>
        <v>0</v>
      </c>
      <c r="AO13" s="606">
        <f>IF(AM13-$O$13&gt;=0,AM13-$O$13,0)</f>
        <v>0</v>
      </c>
      <c r="AQ13" s="606">
        <f>SUM(Q13:AO13)/13</f>
        <v>0</v>
      </c>
      <c r="AR13" s="604"/>
      <c r="AS13" s="664"/>
      <c r="AU13" s="606">
        <f>AQ13*AS13</f>
        <v>0</v>
      </c>
      <c r="AW13" s="606">
        <f>Q13-AO13</f>
        <v>0</v>
      </c>
      <c r="AY13" s="606">
        <f>AS13*AW13</f>
        <v>0</v>
      </c>
      <c r="BA13" s="672"/>
    </row>
    <row r="14" spans="1:53">
      <c r="A14" s="739" t="s">
        <v>1052</v>
      </c>
      <c r="B14" s="604"/>
      <c r="C14" s="659"/>
      <c r="E14" s="663"/>
      <c r="G14" s="663"/>
      <c r="I14" s="669"/>
      <c r="K14" s="669"/>
      <c r="M14" s="628"/>
      <c r="O14" s="628"/>
      <c r="AM14" s="606"/>
      <c r="AO14" s="606"/>
      <c r="AQ14" s="606"/>
      <c r="AR14" s="604"/>
      <c r="AS14" s="664"/>
      <c r="AU14" s="606"/>
      <c r="AW14" s="606"/>
      <c r="AY14" s="606"/>
      <c r="BA14" s="672"/>
    </row>
    <row r="15" spans="1:53">
      <c r="A15" s="605">
        <f>A10+1</f>
        <v>2</v>
      </c>
      <c r="B15" s="604"/>
      <c r="C15" s="604" t="str">
        <f ca="1">"Sum of Lines "&amp;A12&amp;" through "&amp;OFFSET(A15,-1,0)</f>
        <v>Sum of Lines 1.01 through 1.XX</v>
      </c>
      <c r="E15" s="608">
        <f>SUM(E12:E13)</f>
        <v>0</v>
      </c>
      <c r="G15" s="632"/>
      <c r="I15" s="604"/>
      <c r="K15" s="604"/>
      <c r="M15" s="604"/>
      <c r="O15" s="608">
        <f>SUM(O12:O13)</f>
        <v>0</v>
      </c>
      <c r="Q15" s="609">
        <f>SUM(Q12:Q13)</f>
        <v>0</v>
      </c>
      <c r="S15" s="609">
        <f>SUM(S12:S13)</f>
        <v>0</v>
      </c>
      <c r="U15" s="609">
        <f>SUM(U12:U13)</f>
        <v>0</v>
      </c>
      <c r="W15" s="609">
        <f>SUM(W12:W13)</f>
        <v>0</v>
      </c>
      <c r="Y15" s="609">
        <f>SUM(Y12:Y13)</f>
        <v>0</v>
      </c>
      <c r="AA15" s="609">
        <f>SUM(AA12:AA13)</f>
        <v>0</v>
      </c>
      <c r="AC15" s="609">
        <f>SUM(AC12:AC13)</f>
        <v>0</v>
      </c>
      <c r="AE15" s="609">
        <f>SUM(AE12:AE13)</f>
        <v>0</v>
      </c>
      <c r="AG15" s="609">
        <f>SUM(AG12:AG13)</f>
        <v>0</v>
      </c>
      <c r="AI15" s="609">
        <f>SUM(AI12:AI13)</f>
        <v>0</v>
      </c>
      <c r="AK15" s="609">
        <f>SUM(AK12:AK13)</f>
        <v>0</v>
      </c>
      <c r="AM15" s="609">
        <f>SUM(AM12:AM13)</f>
        <v>0</v>
      </c>
      <c r="AO15" s="609">
        <f>SUM(AO12:AO13)</f>
        <v>0</v>
      </c>
      <c r="AQ15" s="609">
        <f>SUM(AQ12:AQ13)</f>
        <v>0</v>
      </c>
      <c r="AR15" s="604"/>
      <c r="AU15" s="609">
        <f>SUM(AU12:AU13)</f>
        <v>0</v>
      </c>
      <c r="AW15" s="609">
        <f>SUM(AW12:AW13)</f>
        <v>0</v>
      </c>
      <c r="AY15" s="609">
        <f>SUM(AY12:AY13)</f>
        <v>0</v>
      </c>
    </row>
    <row r="16" spans="1:53">
      <c r="A16" s="605">
        <f>A15+1</f>
        <v>3</v>
      </c>
      <c r="B16" s="604"/>
      <c r="C16" s="604" t="s">
        <v>777</v>
      </c>
      <c r="E16" s="604"/>
      <c r="G16" s="632"/>
      <c r="I16" s="604"/>
      <c r="K16" s="604"/>
      <c r="M16" s="604"/>
      <c r="O16" s="625"/>
      <c r="Q16" s="660"/>
      <c r="AM16" s="625"/>
      <c r="AO16" s="660"/>
      <c r="AQ16" s="606"/>
      <c r="AR16" s="604"/>
      <c r="AU16" s="606"/>
      <c r="AW16" s="606"/>
      <c r="AY16" s="606"/>
    </row>
    <row r="19" spans="1:53">
      <c r="A19" s="615">
        <f>A16+1</f>
        <v>4</v>
      </c>
      <c r="B19" s="613"/>
      <c r="C19" s="614" t="s">
        <v>979</v>
      </c>
      <c r="D19" s="613"/>
      <c r="E19" s="613"/>
      <c r="F19" s="613"/>
      <c r="G19" s="668"/>
      <c r="H19" s="613"/>
      <c r="I19" s="668"/>
      <c r="J19" s="613"/>
      <c r="K19" s="613"/>
      <c r="L19" s="613"/>
      <c r="M19" s="613"/>
      <c r="N19" s="613"/>
      <c r="O19" s="612"/>
      <c r="P19" s="613"/>
      <c r="Q19" s="612"/>
      <c r="R19" s="613"/>
      <c r="S19" s="612"/>
      <c r="T19" s="613"/>
      <c r="U19" s="612"/>
      <c r="V19" s="613"/>
      <c r="W19" s="612"/>
      <c r="X19" s="613"/>
      <c r="Y19" s="612"/>
      <c r="Z19" s="613"/>
      <c r="AA19" s="612"/>
      <c r="AB19" s="613"/>
      <c r="AC19" s="612"/>
      <c r="AD19" s="613"/>
      <c r="AE19" s="612"/>
      <c r="AF19" s="613"/>
      <c r="AG19" s="612"/>
      <c r="AH19" s="613"/>
      <c r="AI19" s="612"/>
      <c r="AJ19" s="613"/>
      <c r="AK19" s="612"/>
      <c r="AL19" s="613"/>
      <c r="AM19" s="612"/>
      <c r="AN19" s="611"/>
      <c r="AO19" s="612"/>
      <c r="AP19" s="611"/>
      <c r="AQ19" s="639"/>
      <c r="AR19" s="612"/>
      <c r="AS19" s="612"/>
      <c r="AT19" s="612"/>
      <c r="AU19" s="612"/>
      <c r="AV19" s="612"/>
      <c r="AW19" s="612"/>
      <c r="AX19" s="612"/>
      <c r="AY19" s="671"/>
      <c r="BA19" s="604"/>
    </row>
    <row r="20" spans="1:53">
      <c r="C20" s="605"/>
      <c r="D20" s="605"/>
      <c r="E20" s="605"/>
      <c r="F20" s="605"/>
      <c r="G20" s="667"/>
      <c r="H20" s="605"/>
      <c r="I20" s="667"/>
      <c r="J20" s="605"/>
      <c r="K20" s="605"/>
      <c r="L20" s="605"/>
      <c r="M20" s="605"/>
      <c r="N20" s="605"/>
      <c r="O20" s="605"/>
      <c r="P20" s="605"/>
      <c r="Q20" s="605"/>
      <c r="R20" s="605"/>
      <c r="S20" s="605"/>
      <c r="T20" s="605"/>
      <c r="U20" s="605"/>
      <c r="V20" s="605"/>
      <c r="W20" s="605"/>
      <c r="X20" s="605"/>
      <c r="Y20" s="605"/>
      <c r="Z20" s="605"/>
      <c r="AA20" s="605"/>
      <c r="AB20" s="605"/>
      <c r="AC20" s="605"/>
      <c r="AD20" s="605"/>
      <c r="AE20" s="605"/>
      <c r="AF20" s="605"/>
      <c r="AG20" s="605"/>
      <c r="AH20" s="605"/>
      <c r="AI20" s="605"/>
      <c r="AJ20" s="605"/>
      <c r="AK20" s="605"/>
      <c r="AL20" s="605"/>
      <c r="AN20" s="605"/>
      <c r="AP20" s="605"/>
      <c r="AQ20" s="636"/>
      <c r="AS20" s="605"/>
      <c r="AT20" s="605"/>
      <c r="AV20" s="605"/>
      <c r="AW20" s="637"/>
      <c r="AX20" s="605"/>
      <c r="BA20" s="604"/>
    </row>
    <row r="21" spans="1:53">
      <c r="A21" s="740">
        <f>A19+0.01</f>
        <v>4.01</v>
      </c>
      <c r="B21" s="604"/>
      <c r="C21" s="659" t="s">
        <v>772</v>
      </c>
      <c r="E21" s="663"/>
      <c r="G21" s="669"/>
      <c r="I21" s="669"/>
      <c r="K21" s="669"/>
      <c r="M21" s="628" t="str">
        <f>IF(ISBLANK(I21)=TRUE,"",DATEDIF(I21,K21,"m")+1)</f>
        <v/>
      </c>
      <c r="O21" s="628">
        <f>IFERROR(E21/M21,0)</f>
        <v>0</v>
      </c>
      <c r="Q21" s="741">
        <f>E21-((DATEDIF(I21,DATE($Q$7,12,31),"M")+1)*O21)</f>
        <v>0</v>
      </c>
      <c r="S21" s="657">
        <f>IF(Q21-$O$21&gt;=0,Q21-$O$21,0)</f>
        <v>0</v>
      </c>
      <c r="U21" s="657">
        <f>IF(S21-$O$21&gt;=0,S21-$O$21,0)</f>
        <v>0</v>
      </c>
      <c r="V21" s="604">
        <f t="shared" ref="V21:AO21" si="1">IF(T21-$O$21&gt;=0,T21-$O$21,0)</f>
        <v>0</v>
      </c>
      <c r="W21" s="657">
        <f>IF(U21-$O$21&gt;=0,U21-$O$21,0)</f>
        <v>0</v>
      </c>
      <c r="X21" s="604">
        <f t="shared" si="1"/>
        <v>0</v>
      </c>
      <c r="Y21" s="657">
        <f>IF(W21-$O$21&gt;=0,W21-$O$21,0)</f>
        <v>0</v>
      </c>
      <c r="Z21" s="604">
        <f t="shared" si="1"/>
        <v>0</v>
      </c>
      <c r="AA21" s="657">
        <f t="shared" si="1"/>
        <v>0</v>
      </c>
      <c r="AB21" s="604">
        <f t="shared" si="1"/>
        <v>0</v>
      </c>
      <c r="AC21" s="657">
        <f t="shared" si="1"/>
        <v>0</v>
      </c>
      <c r="AD21" s="604">
        <f t="shared" si="1"/>
        <v>0</v>
      </c>
      <c r="AE21" s="657">
        <f t="shared" si="1"/>
        <v>0</v>
      </c>
      <c r="AF21" s="604">
        <f t="shared" si="1"/>
        <v>0</v>
      </c>
      <c r="AG21" s="657">
        <f t="shared" si="1"/>
        <v>0</v>
      </c>
      <c r="AH21" s="604">
        <f t="shared" si="1"/>
        <v>0</v>
      </c>
      <c r="AI21" s="657">
        <f t="shared" si="1"/>
        <v>0</v>
      </c>
      <c r="AJ21" s="604">
        <f t="shared" si="1"/>
        <v>0</v>
      </c>
      <c r="AK21" s="657">
        <f t="shared" si="1"/>
        <v>0</v>
      </c>
      <c r="AL21" s="604">
        <f t="shared" si="1"/>
        <v>0</v>
      </c>
      <c r="AM21" s="657">
        <f t="shared" si="1"/>
        <v>0</v>
      </c>
      <c r="AN21" s="604">
        <f t="shared" si="1"/>
        <v>0</v>
      </c>
      <c r="AO21" s="657">
        <f t="shared" si="1"/>
        <v>0</v>
      </c>
      <c r="AQ21" s="606">
        <f>SUM(Q21:AO21)/13</f>
        <v>0</v>
      </c>
      <c r="AR21" s="604"/>
      <c r="AS21" s="664"/>
      <c r="AU21" s="741">
        <f>AQ21*AS21</f>
        <v>0</v>
      </c>
      <c r="AW21" s="741">
        <f>Q21-AO21</f>
        <v>0</v>
      </c>
      <c r="AY21" s="741">
        <f>AS21*AW21</f>
        <v>0</v>
      </c>
      <c r="BA21" s="672"/>
    </row>
    <row r="22" spans="1:53">
      <c r="A22" s="739">
        <f>A21+0.01</f>
        <v>4.0199999999999996</v>
      </c>
      <c r="B22" s="604"/>
      <c r="C22" s="659" t="s">
        <v>687</v>
      </c>
      <c r="E22" s="663"/>
      <c r="G22" s="669"/>
      <c r="I22" s="669"/>
      <c r="K22" s="669"/>
      <c r="M22" s="628" t="str">
        <f>IF(ISBLANK(I22)=TRUE,"",DATEDIF(I22,K22,"m")+1)</f>
        <v/>
      </c>
      <c r="O22" s="628">
        <f>IFERROR(E22/M22,0)</f>
        <v>0</v>
      </c>
      <c r="Q22" s="741">
        <f>E22-((DATEDIF(I22,DATE($Q$7,12,31),"M")+1)*O22)</f>
        <v>0</v>
      </c>
      <c r="S22" s="657">
        <f>IF(Q22-$O$22&gt;=0,Q22-$O$22,0)</f>
        <v>0</v>
      </c>
      <c r="U22" s="657">
        <f>IF(S22-$O$22&gt;=0,S22-$O$22,0)</f>
        <v>0</v>
      </c>
      <c r="V22" s="604">
        <f t="shared" ref="V22:AN22" si="2">IF(T22-$O$22&gt;=0,T22-$O$22,0)</f>
        <v>0</v>
      </c>
      <c r="W22" s="657">
        <f>IF(U22-$O$22&gt;=0,U22-$O$22,0)</f>
        <v>0</v>
      </c>
      <c r="X22" s="604">
        <f t="shared" si="2"/>
        <v>0</v>
      </c>
      <c r="Y22" s="657">
        <f t="shared" si="2"/>
        <v>0</v>
      </c>
      <c r="Z22" s="604">
        <f t="shared" si="2"/>
        <v>0</v>
      </c>
      <c r="AA22" s="657">
        <f>IF(Y22-$O$22&gt;=0,Y22-$O$22,0)</f>
        <v>0</v>
      </c>
      <c r="AB22" s="604">
        <f t="shared" si="2"/>
        <v>0</v>
      </c>
      <c r="AC22" s="657">
        <f t="shared" si="2"/>
        <v>0</v>
      </c>
      <c r="AD22" s="604">
        <f t="shared" si="2"/>
        <v>0</v>
      </c>
      <c r="AE22" s="657">
        <f t="shared" si="2"/>
        <v>0</v>
      </c>
      <c r="AF22" s="604">
        <f t="shared" si="2"/>
        <v>0</v>
      </c>
      <c r="AG22" s="657">
        <f>IF(AE22-$O$22&gt;=0,AE22-$O$22,0)</f>
        <v>0</v>
      </c>
      <c r="AH22" s="604">
        <f t="shared" si="2"/>
        <v>0</v>
      </c>
      <c r="AI22" s="657">
        <f t="shared" si="2"/>
        <v>0</v>
      </c>
      <c r="AJ22" s="604">
        <f t="shared" si="2"/>
        <v>0</v>
      </c>
      <c r="AK22" s="657">
        <f t="shared" si="2"/>
        <v>0</v>
      </c>
      <c r="AL22" s="604">
        <f t="shared" si="2"/>
        <v>0</v>
      </c>
      <c r="AM22" s="657">
        <f>IF(AK22-$O$22&gt;=0,AK22-$O$22,0)</f>
        <v>0</v>
      </c>
      <c r="AN22" s="604">
        <f t="shared" si="2"/>
        <v>0</v>
      </c>
      <c r="AO22" s="657">
        <f>IF(AM22-$O$22&gt;=0,AM22-$O$22,0)</f>
        <v>0</v>
      </c>
      <c r="AQ22" s="606">
        <f>SUM(Q22:AO22)/13</f>
        <v>0</v>
      </c>
      <c r="AR22" s="604"/>
      <c r="AS22" s="664"/>
      <c r="AU22" s="606">
        <f>AQ22*AS22</f>
        <v>0</v>
      </c>
      <c r="AW22" s="606">
        <f>Q22-AO22</f>
        <v>0</v>
      </c>
      <c r="AY22" s="606">
        <f>AS22*AW22</f>
        <v>0</v>
      </c>
      <c r="BA22" s="672"/>
    </row>
    <row r="23" spans="1:53">
      <c r="A23" s="739" t="s">
        <v>1056</v>
      </c>
      <c r="B23" s="604"/>
      <c r="C23" s="659"/>
      <c r="E23" s="663"/>
      <c r="G23" s="669"/>
      <c r="I23" s="669"/>
      <c r="K23" s="669"/>
      <c r="M23" s="628"/>
      <c r="O23" s="628"/>
      <c r="Q23" s="741"/>
      <c r="S23" s="657"/>
      <c r="U23" s="657"/>
      <c r="W23" s="657"/>
      <c r="Y23" s="657"/>
      <c r="AA23" s="657"/>
      <c r="AC23" s="657"/>
      <c r="AE23" s="657"/>
      <c r="AG23" s="657"/>
      <c r="AI23" s="657"/>
      <c r="AK23" s="657"/>
      <c r="AM23" s="657"/>
      <c r="AO23" s="657"/>
      <c r="AQ23" s="606"/>
      <c r="AR23" s="604"/>
      <c r="AS23" s="664"/>
      <c r="AU23" s="606"/>
      <c r="AW23" s="606"/>
      <c r="AY23" s="606"/>
      <c r="BA23" s="672"/>
    </row>
    <row r="24" spans="1:53">
      <c r="A24" s="605">
        <f>A19+1</f>
        <v>5</v>
      </c>
      <c r="B24" s="604"/>
      <c r="C24" s="604" t="str">
        <f ca="1">"Sum of Lines "&amp;A21&amp;" through "&amp;OFFSET(A24,-1,0)</f>
        <v>Sum of Lines 4.01 through 4.XX</v>
      </c>
      <c r="E24" s="608">
        <f>SUM(E21:E22)</f>
        <v>0</v>
      </c>
      <c r="G24" s="604"/>
      <c r="I24" s="627"/>
      <c r="K24" s="627"/>
      <c r="M24" s="604"/>
      <c r="O24" s="608">
        <f>SUM(O21:O22)</f>
        <v>0</v>
      </c>
      <c r="Q24" s="609">
        <f>SUM(Q21:Q22)</f>
        <v>0</v>
      </c>
      <c r="S24" s="609">
        <f>SUM(S21:S22)</f>
        <v>0</v>
      </c>
      <c r="U24" s="609">
        <f>SUM(U21:U22)</f>
        <v>0</v>
      </c>
      <c r="W24" s="609">
        <f>SUM(W21:W22)</f>
        <v>0</v>
      </c>
      <c r="Y24" s="609">
        <f>SUM(Y21:Y22)</f>
        <v>0</v>
      </c>
      <c r="AA24" s="609">
        <f>SUM(AA21:AA22)</f>
        <v>0</v>
      </c>
      <c r="AC24" s="609">
        <f>SUM(AC21:AC22)</f>
        <v>0</v>
      </c>
      <c r="AE24" s="609">
        <f>SUM(AE21:AE22)</f>
        <v>0</v>
      </c>
      <c r="AG24" s="609">
        <f>SUM(AG21:AG22)</f>
        <v>0</v>
      </c>
      <c r="AI24" s="609">
        <f>SUM(AI21:AI22)</f>
        <v>0</v>
      </c>
      <c r="AK24" s="609">
        <f>SUM(AK21:AK22)</f>
        <v>0</v>
      </c>
      <c r="AM24" s="609">
        <f>SUM(AM21:AM22)</f>
        <v>0</v>
      </c>
      <c r="AO24" s="609">
        <f>SUM(AO21:AO22)</f>
        <v>0</v>
      </c>
      <c r="AQ24" s="609">
        <f>SUM(AQ21:AQ22)</f>
        <v>0</v>
      </c>
      <c r="AR24" s="604"/>
      <c r="AU24" s="609">
        <f>SUM(AU21:AU22)</f>
        <v>0</v>
      </c>
      <c r="AW24" s="609">
        <f>SUM(AW21:AW22)</f>
        <v>0</v>
      </c>
      <c r="AY24" s="609">
        <f>SUM(AY21:AY22)</f>
        <v>0</v>
      </c>
    </row>
    <row r="25" spans="1:53">
      <c r="A25" s="605">
        <f>A24+1</f>
        <v>6</v>
      </c>
      <c r="B25" s="604"/>
      <c r="C25" s="604" t="s">
        <v>778</v>
      </c>
      <c r="E25" s="604"/>
      <c r="G25" s="604"/>
      <c r="I25" s="627"/>
      <c r="K25" s="627"/>
      <c r="M25" s="604"/>
      <c r="O25" s="625"/>
      <c r="Q25" s="660"/>
      <c r="AM25" s="625"/>
      <c r="AO25" s="660"/>
      <c r="AQ25" s="606"/>
      <c r="AR25" s="604"/>
      <c r="AU25" s="606"/>
      <c r="AW25" s="606"/>
      <c r="AY25" s="606"/>
    </row>
    <row r="27" spans="1:53" ht="15.6" customHeight="1">
      <c r="A27" s="605">
        <f>A25+1</f>
        <v>7</v>
      </c>
      <c r="C27" s="604" t="str">
        <f>"Totals (Sum of Lines "&amp;A15&amp;" and "&amp;A24&amp;")"</f>
        <v>Totals (Sum of Lines 2 and 5)</v>
      </c>
      <c r="Y27" s="786"/>
      <c r="Z27" s="786"/>
      <c r="AA27" s="786"/>
      <c r="AB27" s="786"/>
      <c r="AC27" s="786"/>
      <c r="AQ27" s="635">
        <f>AQ15+AQ24</f>
        <v>0</v>
      </c>
      <c r="AU27" s="635">
        <f>AU15+AU24</f>
        <v>0</v>
      </c>
      <c r="AW27" s="635">
        <f>AW15+AW24</f>
        <v>0</v>
      </c>
      <c r="AY27" s="635">
        <f>AY15+AY24</f>
        <v>0</v>
      </c>
    </row>
    <row r="28" spans="1:53">
      <c r="C28" s="851"/>
      <c r="O28" s="850"/>
      <c r="Y28" s="786"/>
      <c r="Z28" s="786"/>
      <c r="AA28" s="786"/>
      <c r="AB28" s="786"/>
      <c r="AC28" s="786"/>
    </row>
    <row r="29" spans="1:53">
      <c r="C29" s="604" t="s">
        <v>153</v>
      </c>
      <c r="O29" s="850"/>
      <c r="Y29" s="786"/>
      <c r="Z29" s="786"/>
      <c r="AA29" s="786"/>
      <c r="AB29" s="786"/>
      <c r="AC29" s="786"/>
      <c r="AO29" s="747" t="s">
        <v>183</v>
      </c>
    </row>
    <row r="30" spans="1:53" ht="15.6" customHeight="1">
      <c r="C30" s="989" t="s">
        <v>842</v>
      </c>
      <c r="D30" s="989"/>
      <c r="E30" s="989"/>
      <c r="F30" s="989"/>
      <c r="G30" s="989"/>
      <c r="H30" s="989"/>
      <c r="I30" s="989"/>
      <c r="J30" s="989"/>
      <c r="K30" s="989"/>
      <c r="L30" s="989"/>
      <c r="M30" s="989"/>
      <c r="N30" s="989"/>
      <c r="Y30" s="786"/>
      <c r="Z30" s="786"/>
      <c r="AA30" s="786"/>
      <c r="AB30" s="786"/>
      <c r="AC30" s="786"/>
      <c r="AO30" s="999" t="s">
        <v>761</v>
      </c>
      <c r="AP30" s="999"/>
      <c r="AQ30" s="999"/>
      <c r="AR30" s="999"/>
      <c r="AS30" s="999"/>
      <c r="AT30" s="999"/>
      <c r="AU30" s="999"/>
      <c r="AV30" s="999"/>
      <c r="AW30" s="999"/>
      <c r="AX30" s="999"/>
      <c r="AY30" s="999"/>
      <c r="AZ30" s="999"/>
      <c r="BA30" s="999"/>
    </row>
    <row r="31" spans="1:53">
      <c r="C31" s="989"/>
      <c r="D31" s="989"/>
      <c r="E31" s="989"/>
      <c r="F31" s="989"/>
      <c r="G31" s="989"/>
      <c r="H31" s="989"/>
      <c r="I31" s="989"/>
      <c r="J31" s="989"/>
      <c r="K31" s="989"/>
      <c r="L31" s="989"/>
      <c r="M31" s="989"/>
      <c r="N31" s="989"/>
      <c r="O31" s="822"/>
      <c r="Q31" s="822"/>
      <c r="Y31" s="786"/>
      <c r="Z31" s="786"/>
      <c r="AA31" s="786"/>
      <c r="AB31" s="786"/>
      <c r="AC31" s="786"/>
      <c r="AO31" s="999"/>
      <c r="AP31" s="999"/>
      <c r="AQ31" s="999"/>
      <c r="AR31" s="999"/>
      <c r="AS31" s="999"/>
      <c r="AT31" s="999"/>
      <c r="AU31" s="999"/>
      <c r="AV31" s="999"/>
      <c r="AW31" s="999"/>
      <c r="AX31" s="999"/>
      <c r="AY31" s="999"/>
      <c r="AZ31" s="999"/>
      <c r="BA31" s="999"/>
    </row>
    <row r="32" spans="1:53">
      <c r="C32" s="989"/>
      <c r="D32" s="989"/>
      <c r="E32" s="989"/>
      <c r="F32" s="989"/>
      <c r="G32" s="989"/>
      <c r="H32" s="989"/>
      <c r="I32" s="989"/>
      <c r="J32" s="989"/>
      <c r="K32" s="989"/>
      <c r="L32" s="989"/>
      <c r="M32" s="989"/>
      <c r="N32" s="989"/>
      <c r="O32" s="850"/>
      <c r="Q32" s="822"/>
      <c r="W32" s="828"/>
      <c r="Y32" s="786"/>
      <c r="Z32" s="786"/>
      <c r="AA32" s="786"/>
      <c r="AB32" s="786"/>
      <c r="AC32" s="786"/>
    </row>
    <row r="33" spans="3:29" ht="15.75" customHeight="1">
      <c r="C33" s="989" t="s">
        <v>776</v>
      </c>
      <c r="D33" s="989"/>
      <c r="E33" s="989"/>
      <c r="F33" s="989"/>
      <c r="G33" s="989"/>
      <c r="H33" s="989"/>
      <c r="I33" s="989"/>
      <c r="J33" s="989"/>
      <c r="K33" s="989"/>
      <c r="L33" s="989"/>
      <c r="M33" s="989"/>
      <c r="N33" s="989"/>
      <c r="Q33" s="604"/>
      <c r="S33" s="604"/>
      <c r="U33" s="604"/>
      <c r="Y33" s="786"/>
      <c r="Z33" s="786"/>
      <c r="AA33" s="786"/>
      <c r="AB33" s="786"/>
      <c r="AC33" s="786"/>
    </row>
    <row r="34" spans="3:29">
      <c r="C34" s="989"/>
      <c r="D34" s="989"/>
      <c r="E34" s="989"/>
      <c r="F34" s="989"/>
      <c r="G34" s="989"/>
      <c r="H34" s="989"/>
      <c r="I34" s="989"/>
      <c r="J34" s="989"/>
      <c r="K34" s="989"/>
      <c r="L34" s="989"/>
      <c r="M34" s="989"/>
      <c r="N34" s="989"/>
      <c r="Y34" s="786"/>
      <c r="Z34" s="786"/>
      <c r="AA34" s="786"/>
      <c r="AB34" s="786"/>
      <c r="AC34" s="786"/>
    </row>
    <row r="35" spans="3:29" ht="15.6" customHeight="1">
      <c r="C35" s="989"/>
      <c r="D35" s="989"/>
      <c r="E35" s="989"/>
      <c r="F35" s="989"/>
      <c r="G35" s="989"/>
      <c r="H35" s="989"/>
      <c r="I35" s="989"/>
      <c r="J35" s="989"/>
      <c r="K35" s="989"/>
      <c r="L35" s="989"/>
      <c r="M35" s="989"/>
      <c r="N35" s="989"/>
      <c r="Y35" s="786"/>
      <c r="Z35" s="786"/>
      <c r="AA35" s="786"/>
      <c r="AB35" s="786"/>
      <c r="AC35" s="786"/>
    </row>
    <row r="36" spans="3:29" ht="15.6" customHeight="1">
      <c r="C36" s="788" t="s">
        <v>1048</v>
      </c>
      <c r="D36" s="788"/>
      <c r="E36" s="788"/>
      <c r="F36" s="788"/>
      <c r="G36" s="788"/>
      <c r="H36" s="788"/>
      <c r="I36" s="788"/>
      <c r="J36" s="788"/>
      <c r="K36" s="788"/>
      <c r="L36" s="788"/>
      <c r="M36" s="788"/>
      <c r="N36" s="788"/>
      <c r="O36" s="741"/>
    </row>
    <row r="37" spans="3:29">
      <c r="C37" s="788" t="s">
        <v>999</v>
      </c>
      <c r="D37" s="788"/>
      <c r="E37" s="788"/>
      <c r="F37" s="788"/>
      <c r="G37" s="788"/>
      <c r="H37" s="788"/>
      <c r="I37" s="788"/>
      <c r="J37" s="788"/>
      <c r="K37" s="788"/>
      <c r="L37" s="788"/>
      <c r="M37" s="788"/>
      <c r="N37" s="788"/>
      <c r="O37" s="741"/>
    </row>
    <row r="38" spans="3:29">
      <c r="C38" s="604" t="s">
        <v>1011</v>
      </c>
      <c r="E38" s="741"/>
      <c r="G38" s="695"/>
      <c r="I38" s="741"/>
      <c r="K38" s="741"/>
      <c r="M38" s="741"/>
      <c r="O38" s="741"/>
    </row>
  </sheetData>
  <mergeCells count="3">
    <mergeCell ref="C33:N35"/>
    <mergeCell ref="AO30:BA31"/>
    <mergeCell ref="C30:N32"/>
  </mergeCells>
  <phoneticPr fontId="114" type="noConversion"/>
  <pageMargins left="0" right="0" top="1" bottom="0.5" header="0" footer="0"/>
  <pageSetup scale="26" fitToHeight="0" orientation="landscape" r:id="rId1"/>
  <headerFooter>
    <oddHeader xml:space="preserve">&amp;R&amp;"Times New Roman,Regular"
</oddHeader>
    <oddFooter xml:space="preserve">&amp;L&amp;"Times New Roman,Bold"&amp;10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BC75"/>
  <sheetViews>
    <sheetView showWhiteSpace="0" zoomScale="70" zoomScaleNormal="70" zoomScalePageLayoutView="80" workbookViewId="0">
      <selection activeCell="E2" sqref="E2"/>
    </sheetView>
  </sheetViews>
  <sheetFormatPr defaultColWidth="8.81640625" defaultRowHeight="15.6"/>
  <cols>
    <col min="1" max="1" width="4.453125" style="1" customWidth="1"/>
    <col min="2" max="2" width="3" style="2" customWidth="1"/>
    <col min="3" max="3" width="8.7265625" style="1" customWidth="1"/>
    <col min="4" max="4" width="2.08984375" style="1" customWidth="1"/>
    <col min="5" max="5" width="41.453125" style="1" bestFit="1" customWidth="1"/>
    <col min="6" max="6" width="2.08984375" style="1" customWidth="1"/>
    <col min="7" max="7" width="13.453125" style="1" bestFit="1" customWidth="1"/>
    <col min="8" max="8" width="2.08984375" style="1" customWidth="1"/>
    <col min="9" max="9" width="14.453125" style="1" customWidth="1"/>
    <col min="10" max="10" width="2.08984375" style="1" customWidth="1"/>
    <col min="11" max="11" width="12" style="1" customWidth="1"/>
    <col min="12" max="12" width="2.26953125" style="1" customWidth="1"/>
    <col min="13" max="13" width="13.453125" style="1" customWidth="1"/>
    <col min="14" max="14" width="2.453125" style="1" customWidth="1"/>
    <col min="15" max="15" width="12" style="1" customWidth="1"/>
    <col min="16" max="16" width="2.26953125" style="1" customWidth="1"/>
    <col min="17" max="17" width="11.81640625" style="1" customWidth="1"/>
    <col min="18" max="18" width="2" style="1" customWidth="1"/>
    <col min="19" max="19" width="11.81640625" style="1" customWidth="1"/>
    <col min="20" max="20" width="2.08984375" style="1" customWidth="1"/>
    <col min="21" max="21" width="12.7265625" style="1" customWidth="1"/>
    <col min="22" max="22" width="2.08984375" style="1" customWidth="1"/>
    <col min="23" max="23" width="12.26953125" style="1" bestFit="1" customWidth="1"/>
    <col min="24" max="24" width="11.7265625" style="1" bestFit="1" customWidth="1"/>
    <col min="25" max="25" width="9.26953125" style="1" bestFit="1" customWidth="1"/>
    <col min="26" max="16384" width="8.81640625" style="1"/>
  </cols>
  <sheetData>
    <row r="1" spans="1:53">
      <c r="S1" s="604"/>
      <c r="T1" s="605"/>
      <c r="U1"/>
      <c r="V1" s="860" t="s">
        <v>991</v>
      </c>
    </row>
    <row r="2" spans="1:53">
      <c r="S2" s="604"/>
      <c r="T2" s="605"/>
      <c r="U2"/>
      <c r="V2" s="860" t="s">
        <v>144</v>
      </c>
    </row>
    <row r="3" spans="1:53">
      <c r="S3" s="604"/>
      <c r="T3" s="605"/>
      <c r="U3"/>
      <c r="V3" s="3" t="str">
        <f>'Attachment 19 - Reg Asset-Liab'!AZ3</f>
        <v>For the 12 months ended 12/31/2022</v>
      </c>
    </row>
    <row r="5" spans="1:53">
      <c r="E5" s="624" t="s">
        <v>627</v>
      </c>
      <c r="F5" s="624"/>
      <c r="G5" s="624" t="str">
        <f>"("&amp;CHAR(CODE(MID(E5,2,1))+1)&amp;")"</f>
        <v>(B)</v>
      </c>
      <c r="I5" s="624" t="str">
        <f t="shared" ref="I5" si="0">"("&amp;CHAR(CODE(MID(G5,2,1))+1)&amp;")"</f>
        <v>(C)</v>
      </c>
      <c r="J5" s="624"/>
      <c r="K5" s="624" t="str">
        <f t="shared" ref="K5" si="1">"("&amp;CHAR(CODE(MID(I5,2,1))+1)&amp;")"</f>
        <v>(D)</v>
      </c>
      <c r="L5" s="624"/>
      <c r="M5" s="624" t="str">
        <f t="shared" ref="M5" si="2">"("&amp;CHAR(CODE(MID(K5,2,1))+1)&amp;")"</f>
        <v>(E)</v>
      </c>
      <c r="N5" s="624"/>
      <c r="O5" s="624" t="str">
        <f t="shared" ref="O5" si="3">"("&amp;CHAR(CODE(MID(M5,2,1))+1)&amp;")"</f>
        <v>(F)</v>
      </c>
      <c r="P5" s="624"/>
      <c r="Q5" s="624" t="str">
        <f t="shared" ref="Q5" si="4">"("&amp;CHAR(CODE(MID(O5,2,1))+1)&amp;")"</f>
        <v>(G)</v>
      </c>
      <c r="R5" s="624"/>
      <c r="S5" s="624" t="str">
        <f t="shared" ref="S5" si="5">"("&amp;CHAR(CODE(MID(Q5,2,1))+1)&amp;")"</f>
        <v>(H)</v>
      </c>
      <c r="T5" s="624"/>
      <c r="U5" s="624" t="str">
        <f t="shared" ref="U5" si="6">"("&amp;CHAR(CODE(MID(S5,2,1))+1)&amp;")"</f>
        <v>(I)</v>
      </c>
      <c r="V5" s="624"/>
      <c r="W5" s="624" t="str">
        <f t="shared" ref="W5" si="7">"("&amp;CHAR(CODE(MID(U5,2,1))+1)&amp;")"</f>
        <v>(J)</v>
      </c>
    </row>
    <row r="6" spans="1:53" s="642" customFormat="1" ht="31.2">
      <c r="A6" s="622" t="s">
        <v>5</v>
      </c>
      <c r="B6" s="615"/>
      <c r="C6" s="622" t="s">
        <v>638</v>
      </c>
      <c r="D6" s="615"/>
      <c r="E6" s="648" t="s">
        <v>639</v>
      </c>
      <c r="F6" s="649"/>
      <c r="G6" s="618" t="s">
        <v>643</v>
      </c>
      <c r="H6" s="615"/>
      <c r="I6" s="618" t="s">
        <v>640</v>
      </c>
      <c r="J6" s="840" t="s">
        <v>823</v>
      </c>
      <c r="K6" s="893" t="s">
        <v>1012</v>
      </c>
      <c r="L6" s="921" t="s">
        <v>60</v>
      </c>
      <c r="M6" s="893" t="s">
        <v>822</v>
      </c>
      <c r="N6" s="893" t="s">
        <v>641</v>
      </c>
      <c r="O6" s="893" t="s">
        <v>824</v>
      </c>
      <c r="P6" s="840" t="s">
        <v>60</v>
      </c>
      <c r="Q6" s="893" t="s">
        <v>825</v>
      </c>
      <c r="R6" s="839"/>
      <c r="S6" s="839"/>
      <c r="T6" s="840"/>
      <c r="U6" s="839"/>
      <c r="W6" s="643"/>
      <c r="Y6" s="643"/>
      <c r="AA6" s="643"/>
      <c r="AC6" s="643"/>
      <c r="AE6" s="643"/>
      <c r="AG6" s="643"/>
      <c r="AI6" s="643"/>
      <c r="AK6" s="643"/>
      <c r="AM6" s="615"/>
      <c r="AO6" s="615"/>
      <c r="AQ6" s="615"/>
      <c r="AR6" s="615"/>
      <c r="AS6" s="644"/>
      <c r="AU6" s="615"/>
      <c r="AW6" s="643"/>
      <c r="AY6" s="615"/>
      <c r="BA6" s="615"/>
    </row>
    <row r="7" spans="1:53" s="604" customFormat="1">
      <c r="A7" s="605">
        <v>1</v>
      </c>
      <c r="B7" s="605"/>
      <c r="C7" s="640">
        <v>560</v>
      </c>
      <c r="D7" s="605"/>
      <c r="E7" s="1" t="s">
        <v>565</v>
      </c>
      <c r="F7" s="1"/>
      <c r="G7" s="1" t="s">
        <v>644</v>
      </c>
      <c r="H7" s="605"/>
      <c r="I7" s="645">
        <v>396864</v>
      </c>
      <c r="J7" s="1036"/>
      <c r="K7" s="944">
        <f>'Attachment H-4A JCP&amp;L '!$I$184</f>
        <v>0.97255398377554059</v>
      </c>
      <c r="L7" s="605"/>
      <c r="M7" s="726">
        <f>I7*K7</f>
        <v>385971.66421709611</v>
      </c>
      <c r="N7" s="606"/>
      <c r="O7" s="645"/>
      <c r="P7" s="605"/>
      <c r="Q7" s="606">
        <f>M7-O7</f>
        <v>385971.66421709611</v>
      </c>
      <c r="R7" s="794"/>
      <c r="S7" s="794"/>
      <c r="T7" s="605"/>
      <c r="U7" s="794"/>
      <c r="W7" s="606"/>
      <c r="Y7" s="606"/>
      <c r="AA7" s="606"/>
      <c r="AC7" s="606"/>
      <c r="AE7" s="606"/>
      <c r="AG7" s="606"/>
      <c r="AI7" s="606"/>
      <c r="AK7" s="606"/>
      <c r="AM7" s="605"/>
      <c r="AO7" s="605"/>
      <c r="AQ7" s="605"/>
      <c r="AR7" s="605"/>
      <c r="AS7" s="636"/>
      <c r="AU7" s="605"/>
      <c r="AW7" s="606"/>
      <c r="AY7" s="605"/>
      <c r="BA7" s="605"/>
    </row>
    <row r="8" spans="1:53" s="604" customFormat="1" ht="15.6" customHeight="1">
      <c r="A8" s="605">
        <f>MAX($A$7:A7)+1</f>
        <v>2</v>
      </c>
      <c r="B8" s="605"/>
      <c r="C8" s="640">
        <v>561.1</v>
      </c>
      <c r="D8" s="605"/>
      <c r="E8" s="1" t="s">
        <v>566</v>
      </c>
      <c r="F8" s="1"/>
      <c r="G8" s="1" t="s">
        <v>645</v>
      </c>
      <c r="H8" s="605"/>
      <c r="I8" s="645">
        <v>1600056</v>
      </c>
      <c r="J8" s="1036"/>
      <c r="K8" s="944">
        <f>'Attachment H-4A JCP&amp;L '!$I$184</f>
        <v>0.97255398377554059</v>
      </c>
      <c r="L8" s="605"/>
      <c r="M8" s="726">
        <f>I8*K8</f>
        <v>1556140.8370639563</v>
      </c>
      <c r="N8" s="606"/>
      <c r="O8" s="645"/>
      <c r="P8" s="605"/>
      <c r="Q8" s="606">
        <f t="shared" ref="Q8:Q31" si="8">M8-O8</f>
        <v>1556140.8370639563</v>
      </c>
      <c r="R8" s="794"/>
      <c r="W8" s="930"/>
      <c r="X8" s="930"/>
      <c r="Y8" s="930"/>
      <c r="Z8" s="930"/>
      <c r="AA8" s="606"/>
      <c r="AC8" s="606"/>
      <c r="AE8" s="606"/>
      <c r="AG8" s="606"/>
      <c r="AI8" s="606"/>
      <c r="AK8" s="606"/>
      <c r="AM8" s="605"/>
      <c r="AO8" s="605"/>
      <c r="AQ8" s="605"/>
      <c r="AR8" s="605"/>
      <c r="AS8" s="636"/>
      <c r="AU8" s="605"/>
      <c r="AW8" s="605"/>
      <c r="AY8" s="605"/>
      <c r="BA8" s="605"/>
    </row>
    <row r="9" spans="1:53" s="604" customFormat="1">
      <c r="A9" s="605">
        <f>MAX($A$7:A8)+1</f>
        <v>3</v>
      </c>
      <c r="B9" s="605"/>
      <c r="C9" s="640">
        <v>561.20000000000005</v>
      </c>
      <c r="D9" s="605"/>
      <c r="E9" s="1" t="s">
        <v>567</v>
      </c>
      <c r="F9" s="1"/>
      <c r="G9" s="1" t="s">
        <v>646</v>
      </c>
      <c r="H9" s="605"/>
      <c r="I9" s="645">
        <v>224890</v>
      </c>
      <c r="J9" s="1036"/>
      <c r="K9" s="944">
        <f>'Attachment H-4A JCP&amp;L '!$I$184</f>
        <v>0.97255398377554059</v>
      </c>
      <c r="L9" s="605"/>
      <c r="M9" s="726">
        <f t="shared" ref="M9:M31" si="9">I9*K9</f>
        <v>218717.66541128131</v>
      </c>
      <c r="N9" s="606"/>
      <c r="O9" s="645"/>
      <c r="P9" s="605"/>
      <c r="Q9" s="606">
        <f t="shared" si="8"/>
        <v>218717.66541128131</v>
      </c>
      <c r="R9" s="794"/>
      <c r="W9" s="930"/>
      <c r="X9" s="930"/>
      <c r="Y9" s="930"/>
      <c r="Z9" s="930"/>
      <c r="AA9" s="606"/>
      <c r="AC9" s="606"/>
      <c r="AE9" s="606"/>
      <c r="AG9" s="606"/>
      <c r="AI9" s="606"/>
      <c r="AK9" s="606"/>
      <c r="AM9" s="605"/>
      <c r="AO9" s="605"/>
      <c r="AQ9" s="605"/>
      <c r="AR9" s="605"/>
      <c r="AS9" s="636"/>
      <c r="AU9" s="605"/>
      <c r="AW9" s="605"/>
      <c r="AY9" s="605"/>
      <c r="BA9" s="605"/>
    </row>
    <row r="10" spans="1:53" s="604" customFormat="1">
      <c r="A10" s="605">
        <f>MAX($A$7:A9)+1</f>
        <v>4</v>
      </c>
      <c r="B10" s="605"/>
      <c r="C10" s="640">
        <v>561.29999999999995</v>
      </c>
      <c r="D10" s="605"/>
      <c r="E10" s="1" t="s">
        <v>568</v>
      </c>
      <c r="F10" s="1"/>
      <c r="G10" s="1" t="s">
        <v>647</v>
      </c>
      <c r="H10" s="605"/>
      <c r="I10" s="645"/>
      <c r="J10" s="1036"/>
      <c r="K10" s="944">
        <f>'Attachment H-4A JCP&amp;L '!$I$184</f>
        <v>0.97255398377554059</v>
      </c>
      <c r="L10" s="605"/>
      <c r="M10" s="726">
        <f>I10*K10</f>
        <v>0</v>
      </c>
      <c r="N10" s="606"/>
      <c r="O10" s="645"/>
      <c r="P10" s="605"/>
      <c r="Q10" s="606">
        <f t="shared" si="8"/>
        <v>0</v>
      </c>
      <c r="R10" s="794"/>
      <c r="W10" s="930"/>
      <c r="X10" s="930"/>
      <c r="Y10" s="930"/>
      <c r="Z10" s="930"/>
      <c r="AA10" s="606"/>
      <c r="AC10" s="606"/>
      <c r="AE10" s="606"/>
      <c r="AG10" s="606"/>
      <c r="AI10" s="606"/>
      <c r="AK10" s="606"/>
      <c r="AM10" s="605"/>
      <c r="AO10" s="605"/>
      <c r="AQ10" s="605"/>
      <c r="AR10" s="605"/>
      <c r="AS10" s="636"/>
      <c r="AU10" s="605"/>
      <c r="AW10" s="605"/>
      <c r="AY10" s="605"/>
      <c r="BA10" s="605"/>
    </row>
    <row r="11" spans="1:53" s="604" customFormat="1" ht="15.6" customHeight="1">
      <c r="A11" s="605">
        <f>MAX($A$7:A10)+1</f>
        <v>5</v>
      </c>
      <c r="B11" s="605"/>
      <c r="C11" s="640">
        <v>561.4</v>
      </c>
      <c r="D11" s="605"/>
      <c r="E11" s="1" t="s">
        <v>569</v>
      </c>
      <c r="F11" s="1"/>
      <c r="G11" s="1" t="s">
        <v>648</v>
      </c>
      <c r="H11" s="605"/>
      <c r="I11" s="645">
        <v>-1339</v>
      </c>
      <c r="J11" s="1036"/>
      <c r="K11" s="944">
        <f>'Attachment H-4A JCP&amp;L '!$I$184</f>
        <v>0.97255398377554059</v>
      </c>
      <c r="L11" s="605"/>
      <c r="M11" s="726">
        <f>I11*K11</f>
        <v>-1302.2497842754487</v>
      </c>
      <c r="N11" s="606"/>
      <c r="O11" s="645">
        <v>-1302.2497842754487</v>
      </c>
      <c r="P11" s="1036"/>
      <c r="Q11" s="606">
        <f t="shared" si="8"/>
        <v>0</v>
      </c>
      <c r="R11" s="794"/>
      <c r="W11" s="930"/>
      <c r="X11" s="930"/>
      <c r="Y11" s="930"/>
      <c r="Z11" s="930"/>
      <c r="AA11" s="606"/>
      <c r="AC11" s="606"/>
      <c r="AE11" s="606"/>
      <c r="AG11" s="606"/>
      <c r="AI11" s="606"/>
      <c r="AK11" s="606"/>
      <c r="AM11" s="605"/>
      <c r="AO11" s="605"/>
      <c r="AQ11" s="605"/>
      <c r="AR11" s="605"/>
      <c r="AS11" s="636"/>
      <c r="AU11" s="605"/>
      <c r="AW11" s="605"/>
      <c r="AY11" s="605"/>
      <c r="BA11" s="605"/>
    </row>
    <row r="12" spans="1:53" s="604" customFormat="1">
      <c r="A12" s="605">
        <f>MAX($A$7:A11)+1</f>
        <v>6</v>
      </c>
      <c r="B12" s="605"/>
      <c r="C12" s="640">
        <v>561.5</v>
      </c>
      <c r="D12" s="605"/>
      <c r="E12" s="1" t="s">
        <v>570</v>
      </c>
      <c r="F12" s="1"/>
      <c r="G12" s="1" t="s">
        <v>649</v>
      </c>
      <c r="H12" s="605"/>
      <c r="I12" s="645">
        <v>424616</v>
      </c>
      <c r="J12" s="1036"/>
      <c r="K12" s="944">
        <f>'Attachment H-4A JCP&amp;L '!$I$184</f>
        <v>0.97255398377554059</v>
      </c>
      <c r="L12" s="605"/>
      <c r="M12" s="726">
        <f t="shared" si="9"/>
        <v>412961.98237483494</v>
      </c>
      <c r="N12" s="606"/>
      <c r="O12" s="645"/>
      <c r="P12" s="1036"/>
      <c r="Q12" s="606">
        <f>M12-O12</f>
        <v>412961.98237483494</v>
      </c>
      <c r="R12" s="794"/>
      <c r="W12" s="930"/>
      <c r="X12" s="930"/>
      <c r="Y12" s="930"/>
      <c r="Z12" s="930"/>
      <c r="AA12" s="606"/>
      <c r="AC12" s="606"/>
      <c r="AE12" s="606"/>
      <c r="AG12" s="606"/>
      <c r="AI12" s="606"/>
      <c r="AK12" s="606"/>
      <c r="AM12" s="605"/>
      <c r="AO12" s="605"/>
      <c r="AQ12" s="605"/>
      <c r="AR12" s="605"/>
      <c r="AS12" s="636"/>
      <c r="AU12" s="605"/>
      <c r="AW12" s="605"/>
      <c r="AY12" s="605"/>
      <c r="BA12" s="605"/>
    </row>
    <row r="13" spans="1:53" s="604" customFormat="1">
      <c r="A13" s="605">
        <f>MAX($A$7:A12)+1</f>
        <v>7</v>
      </c>
      <c r="B13" s="605"/>
      <c r="C13" s="640">
        <v>561.6</v>
      </c>
      <c r="D13" s="605"/>
      <c r="E13" s="1" t="s">
        <v>571</v>
      </c>
      <c r="F13" s="1"/>
      <c r="G13" s="1" t="s">
        <v>650</v>
      </c>
      <c r="H13" s="605"/>
      <c r="I13" s="645">
        <v>-19758</v>
      </c>
      <c r="J13" s="1036"/>
      <c r="K13" s="944">
        <f>'Attachment H-4A JCP&amp;L '!$I$184</f>
        <v>0.97255398377554059</v>
      </c>
      <c r="L13" s="605"/>
      <c r="M13" s="726">
        <f t="shared" si="9"/>
        <v>-19215.721611437129</v>
      </c>
      <c r="N13" s="606"/>
      <c r="O13" s="645"/>
      <c r="P13" s="1036"/>
      <c r="Q13" s="606">
        <f t="shared" si="8"/>
        <v>-19215.721611437129</v>
      </c>
      <c r="R13" s="794"/>
      <c r="W13" s="930"/>
      <c r="X13" s="930"/>
      <c r="Y13" s="930"/>
      <c r="Z13" s="930"/>
      <c r="AA13" s="606"/>
      <c r="AC13" s="606"/>
      <c r="AE13" s="606"/>
      <c r="AG13" s="606"/>
      <c r="AI13" s="606"/>
      <c r="AK13" s="606"/>
      <c r="AM13" s="605"/>
      <c r="AO13" s="605"/>
      <c r="AQ13" s="605"/>
      <c r="AR13" s="605"/>
      <c r="AS13" s="636"/>
      <c r="AU13" s="605"/>
      <c r="AW13" s="605"/>
      <c r="AY13" s="605"/>
      <c r="BA13" s="605"/>
    </row>
    <row r="14" spans="1:53" s="604" customFormat="1">
      <c r="A14" s="605">
        <f>MAX($A$7:A13)+1</f>
        <v>8</v>
      </c>
      <c r="B14" s="605"/>
      <c r="C14" s="640">
        <v>561.70000000000005</v>
      </c>
      <c r="D14" s="605"/>
      <c r="E14" s="1" t="s">
        <v>572</v>
      </c>
      <c r="F14" s="1"/>
      <c r="G14" s="1" t="s">
        <v>651</v>
      </c>
      <c r="H14" s="605"/>
      <c r="I14" s="645">
        <v>10920</v>
      </c>
      <c r="J14" s="1036"/>
      <c r="K14" s="944">
        <f>'Attachment H-4A JCP&amp;L '!$I$184</f>
        <v>0.97255398377554059</v>
      </c>
      <c r="L14" s="605"/>
      <c r="M14" s="726">
        <f t="shared" si="9"/>
        <v>10620.289502828904</v>
      </c>
      <c r="N14" s="606"/>
      <c r="O14" s="645"/>
      <c r="P14" s="1036"/>
      <c r="Q14" s="606">
        <f t="shared" si="8"/>
        <v>10620.289502828904</v>
      </c>
      <c r="R14" s="794"/>
      <c r="W14" s="930"/>
      <c r="X14" s="930"/>
      <c r="Y14" s="930"/>
      <c r="Z14" s="930"/>
      <c r="AA14" s="606"/>
      <c r="AC14" s="606"/>
      <c r="AE14" s="606"/>
      <c r="AG14" s="606"/>
      <c r="AI14" s="606"/>
      <c r="AK14" s="606"/>
      <c r="AM14" s="605"/>
      <c r="AO14" s="605"/>
      <c r="AQ14" s="605"/>
      <c r="AR14" s="605"/>
      <c r="AS14" s="636"/>
      <c r="AU14" s="605"/>
      <c r="AW14" s="605"/>
      <c r="AY14" s="605"/>
      <c r="BA14" s="605"/>
    </row>
    <row r="15" spans="1:53" s="604" customFormat="1">
      <c r="A15" s="605">
        <f>MAX($A$7:A14)+1</f>
        <v>9</v>
      </c>
      <c r="B15" s="605"/>
      <c r="C15" s="640">
        <v>561.79999999999995</v>
      </c>
      <c r="D15" s="605"/>
      <c r="E15" s="1" t="s">
        <v>573</v>
      </c>
      <c r="F15" s="1"/>
      <c r="G15" s="1" t="s">
        <v>652</v>
      </c>
      <c r="H15" s="605"/>
      <c r="I15" s="645">
        <v>0</v>
      </c>
      <c r="J15" s="1036"/>
      <c r="K15" s="944">
        <f>'Attachment H-4A JCP&amp;L '!$I$184</f>
        <v>0.97255398377554059</v>
      </c>
      <c r="L15" s="605"/>
      <c r="M15" s="726">
        <f>I15*K15</f>
        <v>0</v>
      </c>
      <c r="N15" s="606"/>
      <c r="O15" s="645"/>
      <c r="P15" s="1036"/>
      <c r="Q15" s="606">
        <f t="shared" si="8"/>
        <v>0</v>
      </c>
      <c r="R15" s="794"/>
      <c r="W15" s="930"/>
      <c r="X15" s="930"/>
      <c r="Y15" s="930"/>
      <c r="Z15" s="930"/>
      <c r="AA15" s="606"/>
      <c r="AC15" s="606"/>
      <c r="AE15" s="606"/>
      <c r="AG15" s="606"/>
      <c r="AI15" s="606"/>
      <c r="AK15" s="606"/>
      <c r="AM15" s="605"/>
      <c r="AO15" s="605"/>
      <c r="AQ15" s="605"/>
      <c r="AR15" s="605"/>
      <c r="AS15" s="636"/>
      <c r="AU15" s="605"/>
      <c r="AW15" s="605"/>
      <c r="AY15" s="605"/>
      <c r="BA15" s="605"/>
    </row>
    <row r="16" spans="1:53" s="604" customFormat="1">
      <c r="A16" s="605">
        <f>MAX($A$7:A15)+1</f>
        <v>10</v>
      </c>
      <c r="B16" s="605"/>
      <c r="C16" s="640">
        <v>562</v>
      </c>
      <c r="D16" s="605"/>
      <c r="E16" s="1" t="s">
        <v>574</v>
      </c>
      <c r="F16" s="1"/>
      <c r="G16" s="1" t="s">
        <v>653</v>
      </c>
      <c r="H16" s="605"/>
      <c r="I16" s="645">
        <v>625887</v>
      </c>
      <c r="J16" s="1036"/>
      <c r="K16" s="944">
        <f>'Attachment H-4A JCP&amp;L '!$I$184</f>
        <v>0.97255398377554059</v>
      </c>
      <c r="L16" s="605"/>
      <c r="M16" s="726">
        <f t="shared" si="9"/>
        <v>608708.89524332178</v>
      </c>
      <c r="N16" s="606"/>
      <c r="O16" s="645"/>
      <c r="P16" s="1036"/>
      <c r="Q16" s="606">
        <f t="shared" si="8"/>
        <v>608708.89524332178</v>
      </c>
      <c r="R16" s="794"/>
      <c r="W16" s="930"/>
      <c r="X16" s="930"/>
      <c r="Y16" s="930"/>
      <c r="Z16" s="930"/>
      <c r="AA16" s="606"/>
      <c r="AC16" s="606"/>
      <c r="AE16" s="606"/>
      <c r="AG16" s="606"/>
      <c r="AI16" s="606"/>
      <c r="AK16" s="606"/>
      <c r="AM16" s="605"/>
      <c r="AO16" s="605"/>
      <c r="AQ16" s="605"/>
      <c r="AR16" s="605"/>
      <c r="AS16" s="636"/>
      <c r="AU16" s="605"/>
      <c r="AW16" s="605"/>
      <c r="AY16" s="605"/>
      <c r="BA16" s="605"/>
    </row>
    <row r="17" spans="1:53" s="604" customFormat="1">
      <c r="A17" s="605">
        <f>MAX($A$7:A16)+1</f>
        <v>11</v>
      </c>
      <c r="B17" s="605"/>
      <c r="C17" s="640">
        <v>563</v>
      </c>
      <c r="D17" s="605"/>
      <c r="E17" s="1" t="s">
        <v>575</v>
      </c>
      <c r="F17" s="1"/>
      <c r="G17" s="1" t="s">
        <v>654</v>
      </c>
      <c r="H17" s="605"/>
      <c r="I17" s="645">
        <v>1682486</v>
      </c>
      <c r="J17" s="1036"/>
      <c r="K17" s="944">
        <f>'Attachment H-4A JCP&amp;L '!$I$184</f>
        <v>0.97255398377554059</v>
      </c>
      <c r="L17" s="605"/>
      <c r="M17" s="726">
        <f>I17*K17</f>
        <v>1636308.4619465743</v>
      </c>
      <c r="N17" s="606"/>
      <c r="O17" s="645"/>
      <c r="P17" s="1036"/>
      <c r="Q17" s="606">
        <f>M17-O17</f>
        <v>1636308.4619465743</v>
      </c>
      <c r="R17" s="794"/>
      <c r="W17" s="930"/>
      <c r="X17" s="930"/>
      <c r="Y17" s="930"/>
      <c r="Z17" s="930"/>
      <c r="AA17" s="606"/>
      <c r="AC17" s="606"/>
      <c r="AE17" s="606"/>
      <c r="AG17" s="606"/>
      <c r="AI17" s="606"/>
      <c r="AK17" s="606"/>
      <c r="AM17" s="605"/>
      <c r="AO17" s="605"/>
      <c r="AQ17" s="605"/>
      <c r="AR17" s="605"/>
      <c r="AS17" s="636"/>
      <c r="AU17" s="605"/>
      <c r="AW17" s="605"/>
      <c r="AY17" s="605"/>
      <c r="BA17" s="605"/>
    </row>
    <row r="18" spans="1:53" s="604" customFormat="1">
      <c r="A18" s="605">
        <f>MAX($A$7:A17)+1</f>
        <v>12</v>
      </c>
      <c r="B18" s="605"/>
      <c r="C18" s="640">
        <v>564</v>
      </c>
      <c r="D18" s="605"/>
      <c r="E18" s="1" t="s">
        <v>576</v>
      </c>
      <c r="F18" s="1"/>
      <c r="G18" s="1" t="s">
        <v>655</v>
      </c>
      <c r="H18" s="605"/>
      <c r="I18" s="645"/>
      <c r="J18" s="1036"/>
      <c r="K18" s="944">
        <f>'Attachment H-4A JCP&amp;L '!$I$184</f>
        <v>0.97255398377554059</v>
      </c>
      <c r="L18" s="605"/>
      <c r="M18" s="726">
        <f t="shared" si="9"/>
        <v>0</v>
      </c>
      <c r="N18" s="606"/>
      <c r="O18" s="645"/>
      <c r="P18" s="1036"/>
      <c r="Q18" s="606">
        <f t="shared" si="8"/>
        <v>0</v>
      </c>
      <c r="R18" s="794"/>
      <c r="W18" s="930"/>
      <c r="X18" s="930"/>
      <c r="Y18" s="930"/>
      <c r="Z18" s="930"/>
      <c r="AA18" s="606"/>
      <c r="AC18" s="606"/>
      <c r="AE18" s="606"/>
      <c r="AG18" s="606"/>
      <c r="AI18" s="606"/>
      <c r="AK18" s="606"/>
      <c r="AM18" s="605"/>
      <c r="AO18" s="605"/>
      <c r="AQ18" s="605"/>
      <c r="AR18" s="605"/>
      <c r="AS18" s="636"/>
      <c r="AU18" s="605"/>
      <c r="AW18" s="605"/>
      <c r="AY18" s="605"/>
      <c r="BA18" s="605"/>
    </row>
    <row r="19" spans="1:53" s="604" customFormat="1">
      <c r="A19" s="605">
        <f>MAX($A$7:A18)+1</f>
        <v>13</v>
      </c>
      <c r="B19" s="605"/>
      <c r="C19" s="640">
        <v>565</v>
      </c>
      <c r="D19" s="605"/>
      <c r="E19" s="1" t="s">
        <v>577</v>
      </c>
      <c r="F19" s="1"/>
      <c r="G19" s="1" t="s">
        <v>656</v>
      </c>
      <c r="H19" s="605"/>
      <c r="I19" s="645">
        <v>4635</v>
      </c>
      <c r="J19" s="1036"/>
      <c r="K19" s="944">
        <f>'Attachment H-4A JCP&amp;L '!$I$184</f>
        <v>0.97255398377554059</v>
      </c>
      <c r="L19" s="605"/>
      <c r="M19" s="726">
        <f>I19*K19</f>
        <v>4507.7877147996305</v>
      </c>
      <c r="N19" s="606"/>
      <c r="O19" s="645">
        <v>4507.7877147996305</v>
      </c>
      <c r="P19" s="1036"/>
      <c r="Q19" s="606">
        <f t="shared" si="8"/>
        <v>0</v>
      </c>
      <c r="R19" s="794"/>
      <c r="W19" s="930"/>
      <c r="X19" s="930"/>
      <c r="Y19" s="930"/>
      <c r="Z19" s="930"/>
      <c r="AA19" s="606"/>
      <c r="AC19" s="606"/>
      <c r="AE19" s="606"/>
      <c r="AG19" s="606"/>
      <c r="AI19" s="606"/>
      <c r="AK19" s="606"/>
      <c r="AM19" s="605"/>
      <c r="AO19" s="605"/>
      <c r="AQ19" s="605"/>
      <c r="AR19" s="605"/>
      <c r="AS19" s="636"/>
      <c r="AU19" s="605"/>
      <c r="AW19" s="605"/>
      <c r="AY19" s="605"/>
      <c r="BA19" s="605"/>
    </row>
    <row r="20" spans="1:53" s="604" customFormat="1">
      <c r="A20" s="605">
        <f>MAX($A$7:A19)+1</f>
        <v>14</v>
      </c>
      <c r="B20" s="605"/>
      <c r="C20" s="640">
        <v>566</v>
      </c>
      <c r="D20" s="605"/>
      <c r="E20" s="1" t="s">
        <v>578</v>
      </c>
      <c r="F20" s="1"/>
      <c r="G20" s="1" t="s">
        <v>657</v>
      </c>
      <c r="H20" s="605"/>
      <c r="I20" s="645">
        <v>21099049</v>
      </c>
      <c r="J20" s="1036"/>
      <c r="K20" s="944">
        <f>'Attachment H-4A JCP&amp;L '!$I$184</f>
        <v>0.97255398377554059</v>
      </c>
      <c r="L20" s="605"/>
      <c r="M20" s="726">
        <f t="shared" si="9"/>
        <v>20519964.158825334</v>
      </c>
      <c r="N20" s="606"/>
      <c r="O20" s="645">
        <v>5004</v>
      </c>
      <c r="P20" s="1036"/>
      <c r="Q20" s="606">
        <f t="shared" si="8"/>
        <v>20514960.158825334</v>
      </c>
      <c r="R20" s="794"/>
      <c r="S20" s="794"/>
      <c r="T20" s="605"/>
      <c r="U20" s="794"/>
      <c r="W20" s="606"/>
      <c r="Y20" s="606"/>
      <c r="AA20" s="606"/>
      <c r="AC20" s="606"/>
      <c r="AE20" s="606"/>
      <c r="AG20" s="606"/>
      <c r="AI20" s="606"/>
      <c r="AK20" s="606"/>
      <c r="AM20" s="605"/>
      <c r="AO20" s="605"/>
      <c r="AQ20" s="605"/>
      <c r="AR20" s="605"/>
      <c r="AS20" s="636"/>
      <c r="AU20" s="605"/>
      <c r="AW20" s="605"/>
      <c r="AY20" s="605"/>
      <c r="BA20" s="605"/>
    </row>
    <row r="21" spans="1:53" s="604" customFormat="1">
      <c r="A21" s="605">
        <f>MAX($A$7:A20)+1</f>
        <v>15</v>
      </c>
      <c r="B21" s="605"/>
      <c r="C21" s="640">
        <v>567</v>
      </c>
      <c r="D21" s="605"/>
      <c r="E21" s="1" t="s">
        <v>579</v>
      </c>
      <c r="F21" s="1"/>
      <c r="G21" s="1" t="s">
        <v>658</v>
      </c>
      <c r="H21" s="605"/>
      <c r="I21" s="645">
        <v>14459780</v>
      </c>
      <c r="J21" s="1036"/>
      <c r="K21" s="944">
        <f>'Attachment H-4A JCP&amp;L '!$I$184</f>
        <v>0.97255398377554059</v>
      </c>
      <c r="L21" s="605"/>
      <c r="M21" s="726">
        <f t="shared" si="9"/>
        <v>14062916.643517885</v>
      </c>
      <c r="N21" s="606"/>
      <c r="O21" s="645"/>
      <c r="P21" s="605"/>
      <c r="Q21" s="606">
        <f t="shared" si="8"/>
        <v>14062916.643517885</v>
      </c>
      <c r="R21" s="794"/>
      <c r="S21" s="794"/>
      <c r="T21" s="605"/>
      <c r="U21" s="794"/>
      <c r="W21" s="606"/>
      <c r="Y21" s="606"/>
      <c r="AA21" s="606"/>
      <c r="AC21" s="606"/>
      <c r="AE21" s="606"/>
      <c r="AG21" s="606"/>
      <c r="AI21" s="606"/>
      <c r="AK21" s="606"/>
      <c r="AM21" s="605"/>
      <c r="AO21" s="605"/>
      <c r="AQ21" s="605"/>
      <c r="AR21" s="605"/>
      <c r="AS21" s="636"/>
      <c r="AU21" s="605"/>
      <c r="AW21" s="605"/>
      <c r="AY21" s="605"/>
      <c r="BA21" s="605"/>
    </row>
    <row r="22" spans="1:53" s="604" customFormat="1">
      <c r="A22" s="605">
        <f>MAX($A$7:A21)+1</f>
        <v>16</v>
      </c>
      <c r="B22" s="605"/>
      <c r="C22" s="640">
        <v>568</v>
      </c>
      <c r="D22" s="605"/>
      <c r="E22" s="1" t="s">
        <v>580</v>
      </c>
      <c r="F22" s="1"/>
      <c r="G22" s="1" t="s">
        <v>659</v>
      </c>
      <c r="H22" s="605"/>
      <c r="I22" s="645">
        <v>3275904</v>
      </c>
      <c r="J22" s="1036"/>
      <c r="K22" s="944">
        <f>'Attachment H-4A JCP&amp;L '!$I$184</f>
        <v>0.97255398377554059</v>
      </c>
      <c r="L22" s="605"/>
      <c r="M22" s="726">
        <f t="shared" si="9"/>
        <v>3185993.4856662285</v>
      </c>
      <c r="N22" s="606"/>
      <c r="O22" s="645"/>
      <c r="P22" s="605"/>
      <c r="Q22" s="606">
        <f t="shared" si="8"/>
        <v>3185993.4856662285</v>
      </c>
      <c r="R22" s="794"/>
      <c r="S22" s="794"/>
      <c r="T22" s="605"/>
      <c r="U22" s="794"/>
      <c r="W22" s="606"/>
      <c r="Y22" s="606"/>
      <c r="AA22" s="606"/>
      <c r="AC22" s="606"/>
      <c r="AE22" s="606"/>
      <c r="AG22" s="606"/>
      <c r="AI22" s="606"/>
      <c r="AK22" s="606"/>
      <c r="AM22" s="605"/>
      <c r="AO22" s="605"/>
      <c r="AQ22" s="605"/>
      <c r="AR22" s="605"/>
      <c r="AS22" s="636"/>
      <c r="AU22" s="605"/>
      <c r="AW22" s="605"/>
      <c r="AY22" s="605"/>
      <c r="BA22" s="605"/>
    </row>
    <row r="23" spans="1:53" s="604" customFormat="1">
      <c r="A23" s="605">
        <f>MAX($A$7:A22)+1</f>
        <v>17</v>
      </c>
      <c r="B23" s="605"/>
      <c r="C23" s="640">
        <v>569</v>
      </c>
      <c r="D23" s="605"/>
      <c r="E23" s="1" t="s">
        <v>581</v>
      </c>
      <c r="F23" s="1"/>
      <c r="G23" s="1" t="s">
        <v>660</v>
      </c>
      <c r="H23" s="605"/>
      <c r="I23" s="645"/>
      <c r="J23" s="1036"/>
      <c r="K23" s="944">
        <f>'Attachment H-4A JCP&amp;L '!$I$184</f>
        <v>0.97255398377554059</v>
      </c>
      <c r="L23" s="605"/>
      <c r="M23" s="726">
        <f t="shared" si="9"/>
        <v>0</v>
      </c>
      <c r="N23" s="606"/>
      <c r="O23" s="645"/>
      <c r="P23" s="605"/>
      <c r="Q23" s="606">
        <f t="shared" si="8"/>
        <v>0</v>
      </c>
      <c r="R23" s="794"/>
      <c r="S23" s="794"/>
      <c r="T23" s="605"/>
      <c r="U23" s="794"/>
      <c r="W23" s="606"/>
      <c r="Y23" s="606"/>
      <c r="AA23" s="606"/>
      <c r="AC23" s="606"/>
      <c r="AE23" s="606"/>
      <c r="AG23" s="606"/>
      <c r="AI23" s="606"/>
      <c r="AK23" s="606"/>
      <c r="AM23" s="605"/>
      <c r="AO23" s="605"/>
      <c r="AQ23" s="605"/>
      <c r="AR23" s="605"/>
      <c r="AS23" s="636"/>
      <c r="AU23" s="605"/>
      <c r="AW23" s="605"/>
      <c r="AY23" s="605"/>
      <c r="BA23" s="605"/>
    </row>
    <row r="24" spans="1:53" s="604" customFormat="1">
      <c r="A24" s="605">
        <f>MAX($A$7:A23)+1</f>
        <v>18</v>
      </c>
      <c r="B24" s="605"/>
      <c r="C24" s="640">
        <v>569.1</v>
      </c>
      <c r="D24" s="605"/>
      <c r="E24" s="1" t="s">
        <v>582</v>
      </c>
      <c r="F24" s="1"/>
      <c r="G24" s="1" t="s">
        <v>661</v>
      </c>
      <c r="H24" s="605"/>
      <c r="I24" s="645">
        <v>44051</v>
      </c>
      <c r="J24" s="1036"/>
      <c r="K24" s="944">
        <f>'Attachment H-4A JCP&amp;L '!$I$184</f>
        <v>0.97255398377554059</v>
      </c>
      <c r="L24" s="605"/>
      <c r="M24" s="726">
        <f>I24*K24</f>
        <v>42841.975539296342</v>
      </c>
      <c r="N24" s="606"/>
      <c r="O24" s="645"/>
      <c r="P24" s="605"/>
      <c r="Q24" s="606">
        <f t="shared" si="8"/>
        <v>42841.975539296342</v>
      </c>
      <c r="R24" s="794"/>
      <c r="S24" s="794"/>
      <c r="T24" s="605"/>
      <c r="U24" s="794"/>
      <c r="W24" s="606"/>
      <c r="Y24" s="606"/>
      <c r="AA24" s="606"/>
      <c r="AC24" s="606"/>
      <c r="AE24" s="606"/>
      <c r="AG24" s="606"/>
      <c r="AI24" s="606"/>
      <c r="AK24" s="606"/>
      <c r="AM24" s="605"/>
      <c r="AO24" s="605"/>
      <c r="AQ24" s="605"/>
      <c r="AR24" s="605"/>
      <c r="AS24" s="636"/>
      <c r="AU24" s="605"/>
      <c r="AW24" s="605"/>
      <c r="AY24" s="605"/>
      <c r="BA24" s="605"/>
    </row>
    <row r="25" spans="1:53" s="604" customFormat="1">
      <c r="A25" s="605">
        <f>MAX($A$7:A24)+1</f>
        <v>19</v>
      </c>
      <c r="B25" s="605"/>
      <c r="C25" s="640">
        <v>569.20000000000005</v>
      </c>
      <c r="D25" s="605"/>
      <c r="E25" s="1" t="s">
        <v>583</v>
      </c>
      <c r="F25" s="1"/>
      <c r="G25" s="1" t="s">
        <v>662</v>
      </c>
      <c r="H25" s="605"/>
      <c r="I25" s="645">
        <v>109351</v>
      </c>
      <c r="J25" s="1036"/>
      <c r="K25" s="944">
        <f>'Attachment H-4A JCP&amp;L '!$I$184</f>
        <v>0.97255398377554059</v>
      </c>
      <c r="L25" s="605"/>
      <c r="M25" s="726">
        <f t="shared" si="9"/>
        <v>106349.75067983914</v>
      </c>
      <c r="N25" s="606"/>
      <c r="O25" s="645"/>
      <c r="P25" s="605"/>
      <c r="Q25" s="606">
        <f t="shared" si="8"/>
        <v>106349.75067983914</v>
      </c>
      <c r="R25" s="794"/>
      <c r="S25" s="794"/>
      <c r="T25" s="605"/>
      <c r="U25" s="794"/>
      <c r="W25" s="606"/>
      <c r="Y25" s="606"/>
      <c r="AA25" s="606"/>
      <c r="AC25" s="606"/>
      <c r="AE25" s="606"/>
      <c r="AG25" s="606"/>
      <c r="AI25" s="606"/>
      <c r="AK25" s="606"/>
      <c r="AM25" s="605"/>
      <c r="AO25" s="605"/>
      <c r="AQ25" s="605"/>
      <c r="AR25" s="605"/>
      <c r="AS25" s="636"/>
      <c r="AU25" s="605"/>
      <c r="AW25" s="605"/>
      <c r="AY25" s="605"/>
      <c r="BA25" s="605"/>
    </row>
    <row r="26" spans="1:53" s="604" customFormat="1">
      <c r="A26" s="605">
        <f>MAX($A$7:A25)+1</f>
        <v>20</v>
      </c>
      <c r="B26" s="605"/>
      <c r="C26" s="640">
        <v>569.29999999999995</v>
      </c>
      <c r="D26" s="605"/>
      <c r="E26" s="1" t="s">
        <v>584</v>
      </c>
      <c r="F26" s="1"/>
      <c r="G26" s="1" t="s">
        <v>663</v>
      </c>
      <c r="H26" s="605"/>
      <c r="I26" s="645">
        <v>181283</v>
      </c>
      <c r="J26" s="1036"/>
      <c r="K26" s="944">
        <f>'Attachment H-4A JCP&amp;L '!$I$184</f>
        <v>0.97255398377554059</v>
      </c>
      <c r="L26" s="605"/>
      <c r="M26" s="726">
        <f t="shared" si="9"/>
        <v>176307.50384078131</v>
      </c>
      <c r="N26" s="606"/>
      <c r="O26" s="645"/>
      <c r="P26" s="605"/>
      <c r="Q26" s="606">
        <f t="shared" si="8"/>
        <v>176307.50384078131</v>
      </c>
      <c r="R26" s="794"/>
      <c r="S26" s="794"/>
      <c r="T26" s="605"/>
      <c r="U26" s="794"/>
      <c r="W26" s="606"/>
      <c r="Y26" s="606"/>
      <c r="AA26" s="606"/>
      <c r="AC26" s="606"/>
      <c r="AE26" s="606"/>
      <c r="AG26" s="606"/>
      <c r="AI26" s="606"/>
      <c r="AK26" s="606"/>
      <c r="AM26" s="605"/>
      <c r="AO26" s="605"/>
      <c r="AQ26" s="605"/>
      <c r="AR26" s="605"/>
      <c r="AS26" s="636"/>
      <c r="AU26" s="605"/>
      <c r="AW26" s="605"/>
      <c r="AY26" s="605"/>
      <c r="BA26" s="605"/>
    </row>
    <row r="27" spans="1:53" s="604" customFormat="1">
      <c r="A27" s="605">
        <f>MAX($A$7:A26)+1</f>
        <v>21</v>
      </c>
      <c r="B27" s="605"/>
      <c r="C27" s="640">
        <v>569.4</v>
      </c>
      <c r="D27" s="605"/>
      <c r="E27" s="1" t="s">
        <v>585</v>
      </c>
      <c r="F27" s="1"/>
      <c r="G27" s="1" t="s">
        <v>664</v>
      </c>
      <c r="H27" s="605"/>
      <c r="I27" s="645"/>
      <c r="J27" s="1036"/>
      <c r="K27" s="944">
        <f>'Attachment H-4A JCP&amp;L '!$I$184</f>
        <v>0.97255398377554059</v>
      </c>
      <c r="L27" s="605"/>
      <c r="M27" s="726">
        <f t="shared" si="9"/>
        <v>0</v>
      </c>
      <c r="N27" s="606"/>
      <c r="O27" s="645"/>
      <c r="P27" s="605"/>
      <c r="Q27" s="606">
        <f t="shared" si="8"/>
        <v>0</v>
      </c>
      <c r="R27" s="794"/>
      <c r="S27" s="794"/>
      <c r="T27" s="605"/>
      <c r="U27" s="794"/>
      <c r="W27" s="606"/>
      <c r="Y27" s="606"/>
      <c r="AA27" s="606"/>
      <c r="AC27" s="606"/>
      <c r="AE27" s="606"/>
      <c r="AG27" s="606"/>
      <c r="AI27" s="606"/>
      <c r="AK27" s="606"/>
      <c r="AM27" s="605"/>
      <c r="AO27" s="605"/>
      <c r="AQ27" s="605"/>
      <c r="AR27" s="605"/>
      <c r="AS27" s="636"/>
      <c r="AU27" s="605"/>
      <c r="AW27" s="605"/>
      <c r="AY27" s="605"/>
      <c r="BA27" s="605"/>
    </row>
    <row r="28" spans="1:53" s="604" customFormat="1">
      <c r="A28" s="605">
        <f>MAX($A$7:A27)+1</f>
        <v>22</v>
      </c>
      <c r="B28" s="605"/>
      <c r="C28" s="640">
        <v>570</v>
      </c>
      <c r="D28" s="605"/>
      <c r="E28" s="1" t="s">
        <v>586</v>
      </c>
      <c r="F28" s="1"/>
      <c r="G28" s="1" t="s">
        <v>665</v>
      </c>
      <c r="H28" s="605"/>
      <c r="I28" s="645">
        <v>5122354</v>
      </c>
      <c r="J28" s="1036"/>
      <c r="K28" s="944">
        <f>'Attachment H-4A JCP&amp;L '!$I$184</f>
        <v>0.97255398377554059</v>
      </c>
      <c r="L28" s="605"/>
      <c r="M28" s="726">
        <f t="shared" si="9"/>
        <v>4981765.7890085755</v>
      </c>
      <c r="N28" s="606"/>
      <c r="O28" s="645"/>
      <c r="P28" s="605"/>
      <c r="Q28" s="606">
        <f t="shared" si="8"/>
        <v>4981765.7890085755</v>
      </c>
      <c r="R28" s="794"/>
      <c r="S28" s="794"/>
      <c r="T28" s="605"/>
      <c r="U28" s="794"/>
      <c r="W28" s="606"/>
      <c r="Y28" s="606"/>
      <c r="AA28" s="606"/>
      <c r="AC28" s="606"/>
      <c r="AE28" s="606"/>
      <c r="AG28" s="606"/>
      <c r="AI28" s="606"/>
      <c r="AK28" s="606"/>
      <c r="AM28" s="605"/>
      <c r="AO28" s="605"/>
      <c r="AQ28" s="605"/>
      <c r="AR28" s="605"/>
      <c r="AS28" s="636"/>
      <c r="AU28" s="605"/>
      <c r="AW28" s="605"/>
      <c r="AY28" s="605"/>
      <c r="BA28" s="605"/>
    </row>
    <row r="29" spans="1:53" s="604" customFormat="1">
      <c r="A29" s="605">
        <f>MAX($A$7:A28)+1</f>
        <v>23</v>
      </c>
      <c r="B29" s="605"/>
      <c r="C29" s="640">
        <v>571</v>
      </c>
      <c r="D29" s="605"/>
      <c r="E29" s="1" t="s">
        <v>587</v>
      </c>
      <c r="F29" s="1"/>
      <c r="G29" s="1" t="s">
        <v>666</v>
      </c>
      <c r="H29" s="605"/>
      <c r="I29" s="645">
        <v>16810069</v>
      </c>
      <c r="J29" s="1036"/>
      <c r="K29" s="944">
        <f>'Attachment H-4A JCP&amp;L '!$I$184</f>
        <v>0.97255398377554059</v>
      </c>
      <c r="L29" s="605"/>
      <c r="M29" s="726">
        <f t="shared" si="9"/>
        <v>16348699.573491719</v>
      </c>
      <c r="N29" s="606"/>
      <c r="O29" s="645"/>
      <c r="P29" s="605"/>
      <c r="Q29" s="606">
        <f t="shared" si="8"/>
        <v>16348699.573491719</v>
      </c>
      <c r="R29" s="794"/>
      <c r="S29" s="794"/>
      <c r="T29" s="605"/>
      <c r="U29" s="794"/>
      <c r="W29" s="606"/>
      <c r="Y29" s="606"/>
      <c r="AA29" s="606"/>
      <c r="AC29" s="606"/>
      <c r="AE29" s="606"/>
      <c r="AG29" s="606"/>
      <c r="AI29" s="606"/>
      <c r="AK29" s="606"/>
      <c r="AM29" s="605"/>
      <c r="AO29" s="605"/>
      <c r="AQ29" s="605"/>
      <c r="AR29" s="605"/>
      <c r="AS29" s="636"/>
      <c r="AU29" s="605"/>
      <c r="AW29" s="605"/>
      <c r="AY29" s="605"/>
      <c r="BA29" s="605"/>
    </row>
    <row r="30" spans="1:53" s="604" customFormat="1">
      <c r="A30" s="605">
        <f>MAX($A$7:A29)+1</f>
        <v>24</v>
      </c>
      <c r="B30" s="605"/>
      <c r="C30" s="640">
        <v>572</v>
      </c>
      <c r="D30" s="605"/>
      <c r="E30" s="1" t="s">
        <v>588</v>
      </c>
      <c r="F30" s="1"/>
      <c r="G30" s="1" t="s">
        <v>667</v>
      </c>
      <c r="H30" s="605"/>
      <c r="I30" s="645">
        <v>57545</v>
      </c>
      <c r="J30" s="1036"/>
      <c r="K30" s="944">
        <f>'Attachment H-4A JCP&amp;L '!$I$184</f>
        <v>0.97255398377554059</v>
      </c>
      <c r="L30" s="605"/>
      <c r="M30" s="726">
        <f t="shared" si="9"/>
        <v>55965.618996363482</v>
      </c>
      <c r="N30" s="606"/>
      <c r="O30" s="645"/>
      <c r="P30" s="605"/>
      <c r="Q30" s="606">
        <f t="shared" si="8"/>
        <v>55965.618996363482</v>
      </c>
      <c r="R30" s="794"/>
      <c r="S30" s="794"/>
      <c r="T30" s="605"/>
      <c r="U30" s="794"/>
      <c r="W30" s="606"/>
      <c r="Y30" s="606"/>
      <c r="AA30" s="606"/>
      <c r="AC30" s="606"/>
      <c r="AE30" s="606"/>
      <c r="AG30" s="606"/>
      <c r="AI30" s="606"/>
      <c r="AK30" s="606"/>
      <c r="AM30" s="605"/>
      <c r="AO30" s="605"/>
      <c r="AQ30" s="605"/>
      <c r="AR30" s="605"/>
      <c r="AS30" s="636"/>
      <c r="AU30" s="605"/>
      <c r="AW30" s="605"/>
      <c r="AY30" s="605"/>
      <c r="BA30" s="605"/>
    </row>
    <row r="31" spans="1:53" s="604" customFormat="1">
      <c r="A31" s="605">
        <f>MAX($A$7:A30)+1</f>
        <v>25</v>
      </c>
      <c r="B31" s="605"/>
      <c r="C31" s="640">
        <v>573</v>
      </c>
      <c r="D31" s="605"/>
      <c r="E31" s="1" t="s">
        <v>589</v>
      </c>
      <c r="F31" s="1"/>
      <c r="G31" s="1" t="s">
        <v>668</v>
      </c>
      <c r="H31" s="605"/>
      <c r="I31" s="645">
        <v>383557</v>
      </c>
      <c r="J31" s="1036"/>
      <c r="K31" s="944">
        <f>'Attachment H-4A JCP&amp;L '!$I$184</f>
        <v>0.97255398377554059</v>
      </c>
      <c r="L31" s="605"/>
      <c r="M31" s="837">
        <f t="shared" si="9"/>
        <v>373029.888354995</v>
      </c>
      <c r="N31" s="606"/>
      <c r="O31" s="645"/>
      <c r="P31" s="605"/>
      <c r="Q31" s="606">
        <f t="shared" si="8"/>
        <v>373029.888354995</v>
      </c>
      <c r="R31" s="794"/>
      <c r="S31" s="794"/>
      <c r="T31" s="605"/>
      <c r="U31" s="794"/>
      <c r="W31" s="606"/>
      <c r="Y31" s="606"/>
      <c r="AA31" s="606"/>
      <c r="AC31" s="606"/>
      <c r="AE31" s="606"/>
      <c r="AG31" s="606"/>
      <c r="AI31" s="606"/>
      <c r="AK31" s="606"/>
      <c r="AM31" s="605"/>
      <c r="AO31" s="605"/>
      <c r="AQ31" s="605"/>
      <c r="AR31" s="605"/>
      <c r="AS31" s="636"/>
      <c r="AU31" s="605"/>
      <c r="AW31" s="605"/>
      <c r="AY31" s="605"/>
      <c r="BA31" s="605"/>
    </row>
    <row r="32" spans="1:53" s="604" customFormat="1">
      <c r="A32" s="605">
        <f>MAX($A$7:A31)+1</f>
        <v>26</v>
      </c>
      <c r="B32" s="605"/>
      <c r="D32" s="605"/>
      <c r="E32" s="632" t="str">
        <f>"Sum of Lines "&amp;A7&amp;" through "&amp;A31</f>
        <v>Sum of Lines 1 through 25</v>
      </c>
      <c r="F32" s="632"/>
      <c r="G32" s="632"/>
      <c r="H32" s="605"/>
      <c r="I32" s="609">
        <f>SUM(I7:I31)</f>
        <v>66492200</v>
      </c>
      <c r="J32" s="605"/>
      <c r="K32" s="605"/>
      <c r="L32" s="605"/>
      <c r="M32" s="635">
        <f>SUM(M7:M31)</f>
        <v>64667253.999999993</v>
      </c>
      <c r="N32" s="609"/>
      <c r="O32" s="609">
        <f>SUM(O7:O31)</f>
        <v>8209.5379305241822</v>
      </c>
      <c r="P32" s="605"/>
      <c r="Q32" s="609">
        <f>SUM(Q7:Q31)</f>
        <v>64659044.462069474</v>
      </c>
      <c r="R32" s="794"/>
      <c r="S32" s="794"/>
      <c r="T32" s="605"/>
      <c r="U32" s="794"/>
      <c r="W32" s="606"/>
      <c r="Y32" s="606"/>
      <c r="AA32" s="606"/>
      <c r="AC32" s="606"/>
      <c r="AE32" s="606"/>
      <c r="AG32" s="606"/>
      <c r="AI32" s="606"/>
      <c r="AK32" s="606"/>
      <c r="AM32" s="605"/>
      <c r="AO32" s="605"/>
      <c r="AQ32" s="605"/>
      <c r="AR32" s="605"/>
      <c r="AS32" s="636"/>
      <c r="AU32" s="605"/>
      <c r="AW32" s="605"/>
      <c r="AY32" s="605"/>
      <c r="BA32" s="605"/>
    </row>
    <row r="33" spans="1:55" s="604" customFormat="1">
      <c r="A33" s="605"/>
      <c r="B33" s="605"/>
      <c r="C33" s="640"/>
      <c r="D33" s="605"/>
      <c r="E33" s="606"/>
      <c r="F33" s="606"/>
      <c r="G33" s="606"/>
      <c r="H33" s="605"/>
      <c r="I33" s="606"/>
      <c r="J33" s="605"/>
      <c r="K33" s="605"/>
      <c r="L33" s="605"/>
      <c r="M33" s="605"/>
      <c r="N33" s="605"/>
      <c r="O33" s="605"/>
      <c r="P33" s="605"/>
      <c r="Q33" s="605"/>
      <c r="R33" s="605"/>
      <c r="S33" s="606"/>
      <c r="T33" s="606"/>
      <c r="U33" s="606"/>
      <c r="V33" s="605"/>
      <c r="W33" s="606"/>
      <c r="Y33" s="606"/>
      <c r="AA33" s="606"/>
      <c r="AC33" s="606"/>
      <c r="AE33" s="606"/>
      <c r="AG33" s="606"/>
      <c r="AI33" s="606"/>
      <c r="AK33" s="606"/>
      <c r="AM33" s="606"/>
      <c r="AO33" s="605"/>
      <c r="AQ33" s="605"/>
      <c r="AS33" s="605"/>
      <c r="AT33" s="605"/>
      <c r="AU33" s="636"/>
      <c r="AW33" s="605"/>
      <c r="AY33" s="605"/>
      <c r="BA33" s="605"/>
      <c r="BC33" s="605"/>
    </row>
    <row r="34" spans="1:55" s="604" customFormat="1">
      <c r="A34" s="605"/>
      <c r="B34" s="605"/>
      <c r="C34" s="640"/>
      <c r="D34" s="605"/>
      <c r="E34" s="606"/>
      <c r="F34" s="606"/>
      <c r="G34" s="606"/>
      <c r="H34" s="605"/>
      <c r="I34" s="741"/>
      <c r="J34" s="605"/>
      <c r="K34" s="753"/>
      <c r="L34" s="605"/>
      <c r="M34" s="605"/>
      <c r="N34" s="605"/>
      <c r="O34" s="605"/>
      <c r="P34" s="605"/>
      <c r="Q34" s="605"/>
      <c r="R34" s="605"/>
      <c r="S34" s="606"/>
      <c r="T34" s="606"/>
      <c r="U34" s="606"/>
      <c r="V34" s="605"/>
      <c r="W34" s="606"/>
      <c r="Y34" s="606"/>
      <c r="AA34" s="606"/>
      <c r="AC34" s="606"/>
      <c r="AE34" s="606"/>
      <c r="AG34" s="606"/>
      <c r="AI34" s="606"/>
      <c r="AK34" s="606"/>
      <c r="AM34" s="606"/>
      <c r="AO34" s="605"/>
      <c r="AQ34" s="605"/>
      <c r="AS34" s="605"/>
      <c r="AT34" s="605"/>
      <c r="AU34" s="636"/>
      <c r="AW34" s="605"/>
      <c r="AY34" s="605"/>
      <c r="BA34" s="605"/>
      <c r="BC34" s="605"/>
    </row>
    <row r="35" spans="1:55" s="604" customFormat="1">
      <c r="A35" s="605"/>
      <c r="B35" s="605"/>
      <c r="C35" s="640"/>
      <c r="D35" s="605"/>
      <c r="E35" s="606"/>
      <c r="F35" s="606"/>
      <c r="G35" s="606"/>
      <c r="H35" s="605"/>
      <c r="I35" s="606"/>
      <c r="J35" s="605"/>
      <c r="K35" s="605"/>
      <c r="L35" s="605"/>
      <c r="M35" s="605"/>
      <c r="N35" s="605"/>
      <c r="O35" s="605"/>
      <c r="P35" s="605"/>
      <c r="Q35" s="605"/>
      <c r="R35" s="605"/>
      <c r="S35" s="606"/>
      <c r="T35" s="606"/>
      <c r="U35" s="606"/>
      <c r="V35" s="605"/>
      <c r="W35" s="606"/>
      <c r="Y35" s="606"/>
      <c r="AA35" s="606"/>
      <c r="AC35" s="606"/>
      <c r="AE35" s="606"/>
      <c r="AG35" s="606"/>
      <c r="AI35" s="606"/>
      <c r="AK35" s="606"/>
      <c r="AM35" s="606"/>
      <c r="AO35" s="605"/>
      <c r="AQ35" s="605"/>
      <c r="AS35" s="605"/>
      <c r="AT35" s="605"/>
      <c r="AU35" s="636"/>
      <c r="AW35" s="605"/>
      <c r="AY35" s="605"/>
      <c r="BA35" s="605"/>
      <c r="BC35" s="605"/>
    </row>
    <row r="36" spans="1:55" s="604" customFormat="1">
      <c r="A36" s="605"/>
      <c r="B36" s="605"/>
      <c r="C36" s="640"/>
      <c r="D36" s="605"/>
      <c r="E36" s="606"/>
      <c r="F36" s="606"/>
      <c r="G36" s="606"/>
      <c r="H36" s="605"/>
      <c r="I36" s="606"/>
      <c r="J36" s="605"/>
      <c r="K36" s="605"/>
      <c r="L36" s="605"/>
      <c r="M36" s="605"/>
      <c r="N36" s="605"/>
      <c r="O36" s="605"/>
      <c r="P36" s="605"/>
      <c r="Q36" s="605"/>
      <c r="R36" s="605"/>
      <c r="S36" s="606"/>
      <c r="T36" s="606"/>
      <c r="U36" s="606"/>
      <c r="V36" s="605"/>
      <c r="W36" s="606"/>
      <c r="Y36" s="606"/>
      <c r="AA36" s="606"/>
      <c r="AC36" s="606"/>
      <c r="AE36" s="606"/>
      <c r="AG36" s="606"/>
      <c r="AI36" s="606"/>
      <c r="AK36" s="606"/>
      <c r="AM36" s="606"/>
      <c r="AO36" s="605"/>
      <c r="AQ36" s="605"/>
      <c r="AS36" s="605"/>
      <c r="AT36" s="605"/>
      <c r="AU36" s="636"/>
      <c r="AW36" s="605"/>
      <c r="AY36" s="605"/>
      <c r="BA36" s="605"/>
      <c r="BC36" s="605"/>
    </row>
    <row r="37" spans="1:55" s="604" customFormat="1" ht="46.2" customHeight="1">
      <c r="A37" s="622" t="s">
        <v>5</v>
      </c>
      <c r="B37" s="615"/>
      <c r="C37" s="622" t="s">
        <v>638</v>
      </c>
      <c r="D37" s="615"/>
      <c r="E37" s="922" t="s">
        <v>639</v>
      </c>
      <c r="F37" s="923"/>
      <c r="G37" s="893" t="s">
        <v>643</v>
      </c>
      <c r="H37" s="615"/>
      <c r="I37" s="893" t="s">
        <v>640</v>
      </c>
      <c r="J37" s="840" t="s">
        <v>641</v>
      </c>
      <c r="K37" s="921" t="s">
        <v>939</v>
      </c>
      <c r="L37" s="921" t="s">
        <v>60</v>
      </c>
      <c r="M37" s="921" t="s">
        <v>821</v>
      </c>
      <c r="N37" s="615" t="s">
        <v>823</v>
      </c>
      <c r="O37" s="893" t="s">
        <v>10</v>
      </c>
      <c r="P37" s="921" t="s">
        <v>60</v>
      </c>
      <c r="Q37" s="893" t="s">
        <v>822</v>
      </c>
      <c r="R37" s="893" t="s">
        <v>641</v>
      </c>
      <c r="S37" s="893" t="s">
        <v>824</v>
      </c>
      <c r="T37" s="840" t="s">
        <v>60</v>
      </c>
      <c r="U37" s="893" t="s">
        <v>825</v>
      </c>
      <c r="W37" s="606"/>
      <c r="Y37" s="606"/>
      <c r="AA37" s="606"/>
      <c r="AC37" s="606"/>
      <c r="AE37" s="606"/>
      <c r="AG37" s="606"/>
      <c r="AI37" s="606"/>
      <c r="AK37" s="606"/>
      <c r="AM37" s="605"/>
      <c r="AO37" s="605"/>
      <c r="AQ37" s="605"/>
      <c r="AR37" s="605"/>
      <c r="AS37" s="636"/>
      <c r="AU37" s="605"/>
      <c r="AW37" s="605"/>
      <c r="AY37" s="605"/>
      <c r="BA37" s="605"/>
    </row>
    <row r="38" spans="1:55" s="604" customFormat="1">
      <c r="A38" s="605">
        <f>MAX($A$7:A33)+1</f>
        <v>27</v>
      </c>
      <c r="B38" s="605"/>
      <c r="C38" s="640">
        <v>920</v>
      </c>
      <c r="D38" s="605"/>
      <c r="E38" s="1" t="s">
        <v>590</v>
      </c>
      <c r="F38" s="1"/>
      <c r="G38" s="1" t="s">
        <v>669</v>
      </c>
      <c r="H38" s="605"/>
      <c r="I38" s="645">
        <v>34660053</v>
      </c>
      <c r="J38" s="1036"/>
      <c r="K38" s="645"/>
      <c r="L38" s="1036"/>
      <c r="M38" s="635">
        <f>I38-K38</f>
        <v>34660053</v>
      </c>
      <c r="N38" s="635"/>
      <c r="O38" s="789">
        <f>'Attachment H-4A JCP&amp;L '!$I$192</f>
        <v>8.452849912295303E-2</v>
      </c>
      <c r="P38" s="789"/>
      <c r="Q38" s="726">
        <f>M38*O38</f>
        <v>2929762.2596120057</v>
      </c>
      <c r="R38" s="606"/>
      <c r="S38" s="645"/>
      <c r="T38" s="605"/>
      <c r="U38" s="606">
        <f>Q38-S38</f>
        <v>2929762.2596120057</v>
      </c>
      <c r="W38" s="606"/>
      <c r="Y38" s="606"/>
      <c r="AA38" s="606"/>
      <c r="AC38" s="606"/>
      <c r="AE38" s="606"/>
      <c r="AG38" s="606"/>
      <c r="AI38" s="606"/>
      <c r="AK38" s="606"/>
      <c r="AM38" s="605"/>
      <c r="AO38" s="605"/>
      <c r="AQ38" s="605"/>
      <c r="AR38" s="605"/>
      <c r="AS38" s="636"/>
      <c r="AU38" s="605"/>
      <c r="AW38" s="605"/>
      <c r="AY38" s="605"/>
      <c r="BA38" s="605"/>
    </row>
    <row r="39" spans="1:55" s="604" customFormat="1">
      <c r="A39" s="605">
        <f>MAX($A$7:A38)+1</f>
        <v>28</v>
      </c>
      <c r="B39" s="605"/>
      <c r="C39" s="640">
        <v>921</v>
      </c>
      <c r="D39" s="605"/>
      <c r="E39" s="1" t="s">
        <v>591</v>
      </c>
      <c r="F39" s="1"/>
      <c r="G39" s="1" t="s">
        <v>670</v>
      </c>
      <c r="H39" s="605"/>
      <c r="I39" s="645">
        <v>1353653</v>
      </c>
      <c r="J39" s="1036"/>
      <c r="K39" s="645">
        <v>450.59999999999997</v>
      </c>
      <c r="L39" s="1036"/>
      <c r="M39" s="635">
        <f>I39-K39</f>
        <v>1353202.4</v>
      </c>
      <c r="N39" s="635"/>
      <c r="O39" s="789">
        <f>'Attachment H-4A JCP&amp;L '!$I$192</f>
        <v>8.452849912295303E-2</v>
      </c>
      <c r="P39" s="789"/>
      <c r="Q39" s="726">
        <f>M39*O39</f>
        <v>114384.16788157793</v>
      </c>
      <c r="R39" s="606"/>
      <c r="S39" s="645">
        <v>8865</v>
      </c>
      <c r="T39" s="1036"/>
      <c r="U39" s="606">
        <f t="shared" ref="U39:U51" si="10">Q39-S39</f>
        <v>105519.16788157793</v>
      </c>
      <c r="W39" s="606"/>
      <c r="Y39" s="606"/>
      <c r="AA39" s="606"/>
      <c r="AC39" s="606"/>
      <c r="AE39" s="606"/>
      <c r="AG39" s="606"/>
      <c r="AI39" s="606"/>
      <c r="AK39" s="606"/>
      <c r="AM39" s="605"/>
      <c r="AO39" s="605"/>
      <c r="AQ39" s="605"/>
      <c r="AR39" s="605"/>
      <c r="AS39" s="636"/>
      <c r="AU39" s="605"/>
      <c r="AW39" s="605"/>
      <c r="AY39" s="605"/>
      <c r="BA39" s="605"/>
    </row>
    <row r="40" spans="1:55" s="604" customFormat="1">
      <c r="A40" s="605">
        <f>MAX($A$7:A39)+1</f>
        <v>29</v>
      </c>
      <c r="B40" s="605"/>
      <c r="C40" s="640">
        <v>922</v>
      </c>
      <c r="D40" s="605"/>
      <c r="E40" s="1" t="s">
        <v>592</v>
      </c>
      <c r="F40" s="1"/>
      <c r="G40" s="1" t="s">
        <v>671</v>
      </c>
      <c r="H40" s="605"/>
      <c r="I40" s="645">
        <v>-12709470</v>
      </c>
      <c r="J40" s="1036"/>
      <c r="K40" s="645"/>
      <c r="L40" s="1036"/>
      <c r="M40" s="635">
        <f t="shared" ref="M40:M51" si="11">I40-K40</f>
        <v>-12709470</v>
      </c>
      <c r="N40" s="635"/>
      <c r="O40" s="789">
        <f>'Attachment H-4A JCP&amp;L '!$I$192</f>
        <v>8.452849912295303E-2</v>
      </c>
      <c r="P40" s="789"/>
      <c r="Q40" s="726">
        <f t="shared" ref="Q40:Q51" si="12">M40*O40</f>
        <v>-1074312.4237481977</v>
      </c>
      <c r="R40" s="606"/>
      <c r="S40" s="645"/>
      <c r="T40" s="1036"/>
      <c r="U40" s="606">
        <f t="shared" si="10"/>
        <v>-1074312.4237481977</v>
      </c>
      <c r="W40" s="606"/>
      <c r="Y40" s="606"/>
      <c r="AA40" s="606"/>
      <c r="AC40" s="606"/>
      <c r="AE40" s="606"/>
      <c r="AG40" s="606"/>
      <c r="AI40" s="606"/>
      <c r="AK40" s="606"/>
      <c r="AM40" s="605"/>
      <c r="AO40" s="605"/>
      <c r="AQ40" s="605"/>
      <c r="AR40" s="605"/>
      <c r="AS40" s="636"/>
      <c r="AU40" s="605"/>
      <c r="AW40" s="605"/>
      <c r="AY40" s="605"/>
      <c r="BA40" s="605"/>
    </row>
    <row r="41" spans="1:55" s="604" customFormat="1">
      <c r="A41" s="605">
        <f>MAX($A$7:A40)+1</f>
        <v>30</v>
      </c>
      <c r="B41" s="605"/>
      <c r="C41" s="640">
        <v>923</v>
      </c>
      <c r="D41" s="605"/>
      <c r="E41" s="1" t="s">
        <v>593</v>
      </c>
      <c r="F41" s="1"/>
      <c r="G41" s="1" t="s">
        <v>672</v>
      </c>
      <c r="H41" s="605"/>
      <c r="I41" s="645">
        <v>83764425</v>
      </c>
      <c r="J41" s="1036"/>
      <c r="K41" s="645">
        <v>-22.059999999999945</v>
      </c>
      <c r="L41" s="1036"/>
      <c r="M41" s="635">
        <f t="shared" si="11"/>
        <v>83764447.060000002</v>
      </c>
      <c r="N41" s="635"/>
      <c r="O41" s="789">
        <f>'Attachment H-4A JCP&amp;L '!$I$192</f>
        <v>8.452849912295303E-2</v>
      </c>
      <c r="P41" s="789"/>
      <c r="Q41" s="726">
        <f>M41*O41</f>
        <v>7080482.9898458561</v>
      </c>
      <c r="R41" s="606"/>
      <c r="S41" s="645">
        <v>2901817</v>
      </c>
      <c r="T41" s="1036"/>
      <c r="U41" s="606">
        <f>Q41-S41</f>
        <v>4178665.9898458561</v>
      </c>
      <c r="W41" s="606"/>
      <c r="Y41" s="606"/>
      <c r="AA41" s="606"/>
      <c r="AC41" s="606"/>
      <c r="AE41" s="606"/>
      <c r="AG41" s="606"/>
      <c r="AI41" s="606"/>
      <c r="AK41" s="606"/>
      <c r="AM41" s="605"/>
      <c r="AO41" s="605"/>
      <c r="AQ41" s="605"/>
      <c r="AR41" s="605"/>
      <c r="AS41" s="636"/>
      <c r="AU41" s="605"/>
      <c r="AW41" s="605"/>
      <c r="AY41" s="605"/>
      <c r="BA41" s="605"/>
    </row>
    <row r="42" spans="1:55" s="604" customFormat="1" ht="15.6" customHeight="1">
      <c r="A42" s="605">
        <f>MAX($A$7:A41)+1</f>
        <v>31</v>
      </c>
      <c r="B42" s="605"/>
      <c r="C42" s="640">
        <v>924</v>
      </c>
      <c r="D42" s="605"/>
      <c r="E42" s="1" t="s">
        <v>594</v>
      </c>
      <c r="F42" s="1"/>
      <c r="G42" s="1" t="s">
        <v>673</v>
      </c>
      <c r="H42" s="605"/>
      <c r="I42" s="645">
        <v>340049</v>
      </c>
      <c r="J42" s="1036"/>
      <c r="K42" s="645"/>
      <c r="L42" s="1036"/>
      <c r="M42" s="635">
        <f t="shared" si="11"/>
        <v>340049</v>
      </c>
      <c r="N42" s="635"/>
      <c r="O42" s="789">
        <f>'Attachment H-4A JCP&amp;L '!$I$192</f>
        <v>8.452849912295303E-2</v>
      </c>
      <c r="P42" s="789"/>
      <c r="Q42" s="726">
        <f>M42*O42</f>
        <v>28743.831598261055</v>
      </c>
      <c r="R42" s="606"/>
      <c r="S42" s="645"/>
      <c r="T42" s="1036"/>
      <c r="U42" s="606">
        <f t="shared" si="10"/>
        <v>28743.831598261055</v>
      </c>
      <c r="V42" s="793"/>
      <c r="W42" s="606"/>
      <c r="Y42" s="606"/>
      <c r="AA42" s="606"/>
      <c r="AC42" s="606"/>
      <c r="AE42" s="606"/>
      <c r="AG42" s="606"/>
      <c r="AI42" s="606"/>
      <c r="AK42" s="606"/>
      <c r="AM42" s="605"/>
      <c r="AO42" s="605"/>
      <c r="AQ42" s="605"/>
      <c r="AR42" s="605"/>
      <c r="AS42" s="636"/>
      <c r="AU42" s="605"/>
      <c r="AW42" s="605"/>
      <c r="AY42" s="605"/>
      <c r="BA42" s="605"/>
    </row>
    <row r="43" spans="1:55" s="604" customFormat="1">
      <c r="A43" s="605">
        <f>MAX($A$7:A42)+1</f>
        <v>32</v>
      </c>
      <c r="B43" s="605"/>
      <c r="C43" s="640">
        <v>925</v>
      </c>
      <c r="D43" s="605"/>
      <c r="E43" s="1" t="s">
        <v>595</v>
      </c>
      <c r="F43" s="1"/>
      <c r="G43" s="1" t="s">
        <v>674</v>
      </c>
      <c r="H43" s="605"/>
      <c r="I43" s="645">
        <v>13685650</v>
      </c>
      <c r="J43" s="1036"/>
      <c r="K43" s="645"/>
      <c r="L43" s="1036"/>
      <c r="M43" s="635">
        <f t="shared" si="11"/>
        <v>13685650</v>
      </c>
      <c r="N43" s="635"/>
      <c r="O43" s="789">
        <f>'Attachment H-4A JCP&amp;L '!$I$192</f>
        <v>8.452849912295303E-2</v>
      </c>
      <c r="P43" s="789"/>
      <c r="Q43" s="726">
        <f t="shared" si="12"/>
        <v>1156827.4540220422</v>
      </c>
      <c r="R43" s="606"/>
      <c r="S43" s="645"/>
      <c r="T43" s="1036"/>
      <c r="U43" s="606">
        <f>Q43-S43</f>
        <v>1156827.4540220422</v>
      </c>
      <c r="W43" s="606"/>
      <c r="Y43" s="606"/>
      <c r="AA43" s="606"/>
      <c r="AC43" s="606"/>
      <c r="AE43" s="606"/>
      <c r="AG43" s="606"/>
      <c r="AI43" s="606"/>
      <c r="AK43" s="606"/>
      <c r="AM43" s="605"/>
      <c r="AO43" s="605"/>
      <c r="AQ43" s="605"/>
      <c r="AR43" s="605"/>
      <c r="AS43" s="636"/>
      <c r="AU43" s="605"/>
      <c r="AW43" s="605"/>
      <c r="AY43" s="605"/>
      <c r="BA43" s="605"/>
    </row>
    <row r="44" spans="1:55" s="604" customFormat="1">
      <c r="A44" s="605">
        <f>MAX($A$7:A43)+1</f>
        <v>33</v>
      </c>
      <c r="B44" s="605"/>
      <c r="C44" s="640">
        <v>926</v>
      </c>
      <c r="D44" s="605"/>
      <c r="E44" s="1" t="s">
        <v>596</v>
      </c>
      <c r="F44" s="1"/>
      <c r="G44" s="1" t="s">
        <v>675</v>
      </c>
      <c r="H44" s="605"/>
      <c r="I44" s="645">
        <v>-17101561</v>
      </c>
      <c r="J44" s="1036"/>
      <c r="K44" s="645">
        <v>-1775.68</v>
      </c>
      <c r="L44" s="1036"/>
      <c r="M44" s="635">
        <f t="shared" si="11"/>
        <v>-17099785.32</v>
      </c>
      <c r="N44" s="635"/>
      <c r="O44" s="789">
        <f>'Attachment H-4A JCP&amp;L '!$I$192</f>
        <v>8.452849912295303E-2</v>
      </c>
      <c r="P44" s="789"/>
      <c r="Q44" s="726">
        <f>M44*O44</f>
        <v>-1445419.1884243051</v>
      </c>
      <c r="R44" s="606"/>
      <c r="S44" s="645"/>
      <c r="T44" s="1036"/>
      <c r="U44" s="606">
        <f t="shared" si="10"/>
        <v>-1445419.1884243051</v>
      </c>
      <c r="Y44" s="606"/>
      <c r="AA44" s="606"/>
      <c r="AC44" s="606"/>
      <c r="AE44" s="606"/>
      <c r="AG44" s="606"/>
      <c r="AI44" s="606"/>
      <c r="AK44" s="606"/>
      <c r="AM44" s="605"/>
      <c r="AO44" s="605"/>
      <c r="AQ44" s="605"/>
      <c r="AR44" s="605"/>
      <c r="AS44" s="636"/>
      <c r="AU44" s="605"/>
      <c r="AW44" s="605"/>
      <c r="AY44" s="605"/>
      <c r="BA44" s="605"/>
    </row>
    <row r="45" spans="1:55" s="604" customFormat="1">
      <c r="A45" s="605">
        <f>MAX($A$7:A44)+1</f>
        <v>34</v>
      </c>
      <c r="B45" s="605"/>
      <c r="C45" s="640">
        <v>927</v>
      </c>
      <c r="D45" s="605"/>
      <c r="E45" s="1" t="s">
        <v>597</v>
      </c>
      <c r="F45" s="1"/>
      <c r="G45" s="1" t="s">
        <v>676</v>
      </c>
      <c r="H45" s="605"/>
      <c r="I45" s="645"/>
      <c r="J45" s="1036"/>
      <c r="K45" s="645"/>
      <c r="L45" s="1036"/>
      <c r="M45" s="635">
        <f t="shared" si="11"/>
        <v>0</v>
      </c>
      <c r="N45" s="635"/>
      <c r="O45" s="789">
        <f>'Attachment H-4A JCP&amp;L '!$I$192</f>
        <v>8.452849912295303E-2</v>
      </c>
      <c r="P45" s="789"/>
      <c r="Q45" s="726">
        <f t="shared" si="12"/>
        <v>0</v>
      </c>
      <c r="R45" s="606"/>
      <c r="S45" s="645"/>
      <c r="T45" s="1036"/>
      <c r="U45" s="606">
        <f t="shared" si="10"/>
        <v>0</v>
      </c>
      <c r="W45" s="606"/>
      <c r="Y45" s="606"/>
      <c r="AA45" s="606"/>
      <c r="AC45" s="606"/>
      <c r="AE45" s="606"/>
      <c r="AG45" s="606"/>
      <c r="AI45" s="606"/>
      <c r="AK45" s="606"/>
      <c r="AM45" s="605"/>
      <c r="AO45" s="605"/>
      <c r="AQ45" s="605"/>
      <c r="AR45" s="605"/>
      <c r="AS45" s="636"/>
      <c r="AU45" s="605"/>
      <c r="AW45" s="605"/>
      <c r="AY45" s="605"/>
      <c r="BA45" s="605"/>
    </row>
    <row r="46" spans="1:55" s="604" customFormat="1">
      <c r="A46" s="605">
        <f>MAX($A$7:A45)+1</f>
        <v>35</v>
      </c>
      <c r="B46" s="605"/>
      <c r="C46" s="640">
        <v>928</v>
      </c>
      <c r="D46" s="605"/>
      <c r="E46" s="1" t="s">
        <v>598</v>
      </c>
      <c r="F46" s="1"/>
      <c r="G46" s="1" t="s">
        <v>677</v>
      </c>
      <c r="H46" s="605"/>
      <c r="I46" s="645">
        <v>4649800</v>
      </c>
      <c r="J46" s="1036"/>
      <c r="K46" s="645"/>
      <c r="L46" s="1036"/>
      <c r="M46" s="635">
        <f t="shared" si="11"/>
        <v>4649800</v>
      </c>
      <c r="N46" s="635"/>
      <c r="O46" s="789">
        <v>1</v>
      </c>
      <c r="P46" s="789"/>
      <c r="Q46" s="726">
        <f>M46*O46</f>
        <v>4649800</v>
      </c>
      <c r="R46" s="606"/>
      <c r="S46" s="645">
        <v>4649800</v>
      </c>
      <c r="T46" s="1036"/>
      <c r="U46" s="606">
        <f t="shared" si="10"/>
        <v>0</v>
      </c>
      <c r="W46" s="606"/>
      <c r="Y46" s="606"/>
      <c r="AA46" s="606"/>
      <c r="AC46" s="606"/>
      <c r="AE46" s="606"/>
      <c r="AG46" s="606"/>
      <c r="AI46" s="606"/>
      <c r="AK46" s="606"/>
      <c r="AM46" s="605"/>
      <c r="AO46" s="605"/>
      <c r="AQ46" s="605"/>
      <c r="AR46" s="605"/>
      <c r="AS46" s="636"/>
      <c r="AU46" s="605"/>
      <c r="AW46" s="605"/>
      <c r="AY46" s="605"/>
      <c r="BA46" s="605"/>
    </row>
    <row r="47" spans="1:55" s="604" customFormat="1">
      <c r="A47" s="605">
        <f>MAX($A$7:A46)+1</f>
        <v>36</v>
      </c>
      <c r="B47" s="605"/>
      <c r="C47" s="640">
        <v>929</v>
      </c>
      <c r="D47" s="605"/>
      <c r="E47" s="1" t="s">
        <v>599</v>
      </c>
      <c r="F47" s="1"/>
      <c r="G47" s="1" t="s">
        <v>678</v>
      </c>
      <c r="H47" s="605"/>
      <c r="I47" s="645"/>
      <c r="J47" s="1036"/>
      <c r="K47" s="645"/>
      <c r="L47" s="1036"/>
      <c r="M47" s="635">
        <f t="shared" si="11"/>
        <v>0</v>
      </c>
      <c r="N47" s="635"/>
      <c r="O47" s="789">
        <f>'Attachment H-4A JCP&amp;L '!$I$192</f>
        <v>8.452849912295303E-2</v>
      </c>
      <c r="P47" s="789"/>
      <c r="Q47" s="726">
        <f t="shared" si="12"/>
        <v>0</v>
      </c>
      <c r="R47" s="606"/>
      <c r="S47" s="645"/>
      <c r="T47" s="1036"/>
      <c r="U47" s="606">
        <f t="shared" si="10"/>
        <v>0</v>
      </c>
      <c r="W47" s="606"/>
      <c r="Y47" s="606"/>
      <c r="AA47" s="606"/>
      <c r="AC47" s="606"/>
      <c r="AE47" s="606"/>
      <c r="AG47" s="606"/>
      <c r="AI47" s="606"/>
      <c r="AK47" s="606"/>
      <c r="AM47" s="605"/>
      <c r="AO47" s="605"/>
      <c r="AQ47" s="605"/>
      <c r="AR47" s="605"/>
      <c r="AS47" s="636"/>
      <c r="AU47" s="605"/>
      <c r="AW47" s="605"/>
      <c r="AY47" s="605"/>
      <c r="BA47" s="605"/>
    </row>
    <row r="48" spans="1:55" s="604" customFormat="1">
      <c r="A48" s="605">
        <f>MAX($A$7:A47)+1</f>
        <v>37</v>
      </c>
      <c r="B48" s="605"/>
      <c r="C48" s="640">
        <v>930.1</v>
      </c>
      <c r="D48" s="605"/>
      <c r="E48" s="1" t="s">
        <v>600</v>
      </c>
      <c r="F48" s="1"/>
      <c r="G48" s="1" t="s">
        <v>679</v>
      </c>
      <c r="H48" s="605"/>
      <c r="I48" s="645">
        <v>423468</v>
      </c>
      <c r="J48" s="1036"/>
      <c r="K48" s="645"/>
      <c r="L48" s="1036"/>
      <c r="M48" s="635">
        <f>I48-K48</f>
        <v>423468</v>
      </c>
      <c r="N48" s="635"/>
      <c r="O48" s="789">
        <f>'Attachment H-4A JCP&amp;L '!$I$192</f>
        <v>8.452849912295303E-2</v>
      </c>
      <c r="P48" s="789"/>
      <c r="Q48" s="726">
        <f>M48*O48</f>
        <v>35795.114466598672</v>
      </c>
      <c r="R48" s="606"/>
      <c r="S48" s="645">
        <v>35795.114466598672</v>
      </c>
      <c r="T48" s="1036"/>
      <c r="U48" s="606">
        <f t="shared" si="10"/>
        <v>0</v>
      </c>
      <c r="W48" s="606"/>
      <c r="Y48" s="606"/>
      <c r="AA48" s="606"/>
      <c r="AC48" s="606"/>
      <c r="AE48" s="606"/>
      <c r="AG48" s="606"/>
      <c r="AI48" s="606"/>
      <c r="AK48" s="606"/>
      <c r="AM48" s="605"/>
      <c r="AO48" s="605"/>
      <c r="AQ48" s="605"/>
      <c r="AR48" s="605"/>
      <c r="AS48" s="636"/>
      <c r="AU48" s="605"/>
      <c r="AW48" s="605"/>
      <c r="AY48" s="605"/>
      <c r="BA48" s="605"/>
    </row>
    <row r="49" spans="1:53" s="604" customFormat="1">
      <c r="A49" s="605">
        <f>MAX($A$7:A48)+1</f>
        <v>38</v>
      </c>
      <c r="B49" s="605"/>
      <c r="C49" s="640">
        <v>930.2</v>
      </c>
      <c r="D49" s="605"/>
      <c r="E49" s="1" t="s">
        <v>601</v>
      </c>
      <c r="F49" s="1"/>
      <c r="G49" s="1" t="s">
        <v>680</v>
      </c>
      <c r="H49" s="605"/>
      <c r="I49" s="645">
        <v>2862358</v>
      </c>
      <c r="J49" s="1036"/>
      <c r="K49" s="645">
        <v>1987.68</v>
      </c>
      <c r="L49" s="1036"/>
      <c r="M49" s="635">
        <f t="shared" si="11"/>
        <v>2860370.32</v>
      </c>
      <c r="N49" s="635"/>
      <c r="O49" s="789">
        <f>'Attachment H-4A JCP&amp;L '!$I$192</f>
        <v>8.452849912295303E-2</v>
      </c>
      <c r="P49" s="789"/>
      <c r="Q49" s="726">
        <f t="shared" si="12"/>
        <v>241782.81008544087</v>
      </c>
      <c r="R49" s="606"/>
      <c r="S49" s="645">
        <v>57137</v>
      </c>
      <c r="T49" s="1036"/>
      <c r="U49" s="606">
        <f>Q49-S49</f>
        <v>184645.81008544087</v>
      </c>
      <c r="W49" s="606"/>
      <c r="Y49" s="606"/>
      <c r="AA49" s="606"/>
      <c r="AC49" s="606"/>
      <c r="AE49" s="606"/>
      <c r="AG49" s="606"/>
      <c r="AI49" s="606"/>
      <c r="AK49" s="606"/>
      <c r="AM49" s="605"/>
      <c r="AO49" s="605"/>
      <c r="AQ49" s="605"/>
      <c r="AR49" s="605"/>
      <c r="AS49" s="636"/>
      <c r="AU49" s="605"/>
      <c r="AW49" s="605"/>
      <c r="AY49" s="605"/>
      <c r="BA49" s="605"/>
    </row>
    <row r="50" spans="1:53" s="604" customFormat="1">
      <c r="A50" s="605">
        <f>MAX($A$7:A49)+1</f>
        <v>39</v>
      </c>
      <c r="B50" s="605"/>
      <c r="C50" s="640">
        <v>931</v>
      </c>
      <c r="D50" s="605"/>
      <c r="E50" s="1" t="s">
        <v>579</v>
      </c>
      <c r="F50" s="1"/>
      <c r="G50" s="1" t="s">
        <v>681</v>
      </c>
      <c r="H50" s="605"/>
      <c r="I50" s="645">
        <v>2628860</v>
      </c>
      <c r="J50" s="1036"/>
      <c r="K50" s="645">
        <v>9900</v>
      </c>
      <c r="L50" s="1036"/>
      <c r="M50" s="635">
        <f>I50-K50</f>
        <v>2618960</v>
      </c>
      <c r="N50" s="635"/>
      <c r="O50" s="789">
        <f>'Attachment H-4A JCP&amp;L '!$I$192</f>
        <v>8.452849912295303E-2</v>
      </c>
      <c r="P50" s="789"/>
      <c r="Q50" s="726">
        <f t="shared" si="12"/>
        <v>221376.75806304906</v>
      </c>
      <c r="R50" s="606"/>
      <c r="S50" s="645"/>
      <c r="T50" s="605"/>
      <c r="U50" s="606">
        <f t="shared" si="10"/>
        <v>221376.75806304906</v>
      </c>
      <c r="W50" s="606"/>
      <c r="Y50" s="606"/>
      <c r="AA50" s="606"/>
      <c r="AC50" s="606"/>
      <c r="AE50" s="606"/>
      <c r="AG50" s="606"/>
      <c r="AI50" s="606"/>
      <c r="AK50" s="606"/>
      <c r="AM50" s="605"/>
      <c r="AO50" s="605"/>
      <c r="AQ50" s="605"/>
      <c r="AR50" s="605"/>
      <c r="AS50" s="636"/>
      <c r="AU50" s="605"/>
      <c r="AW50" s="605"/>
      <c r="AY50" s="605"/>
      <c r="BA50" s="605"/>
    </row>
    <row r="51" spans="1:53" s="604" customFormat="1">
      <c r="A51" s="605">
        <f>MAX($A$7:A50)+1</f>
        <v>40</v>
      </c>
      <c r="B51" s="605"/>
      <c r="C51" s="640">
        <v>935</v>
      </c>
      <c r="D51" s="605"/>
      <c r="E51" s="1" t="s">
        <v>602</v>
      </c>
      <c r="F51" s="1"/>
      <c r="G51" s="1" t="s">
        <v>682</v>
      </c>
      <c r="H51" s="605"/>
      <c r="I51" s="645">
        <v>4094513</v>
      </c>
      <c r="J51" s="1036"/>
      <c r="K51" s="645"/>
      <c r="L51" s="1036"/>
      <c r="M51" s="606">
        <f t="shared" si="11"/>
        <v>4094513</v>
      </c>
      <c r="N51" s="606"/>
      <c r="O51" s="789">
        <f>'Attachment H-4A JCP&amp;L '!$I$192</f>
        <v>8.452849912295303E-2</v>
      </c>
      <c r="P51" s="789"/>
      <c r="Q51" s="726">
        <f t="shared" si="12"/>
        <v>346103.03852941981</v>
      </c>
      <c r="R51" s="606"/>
      <c r="S51" s="645"/>
      <c r="T51" s="605"/>
      <c r="U51" s="606">
        <f t="shared" si="10"/>
        <v>346103.03852941981</v>
      </c>
      <c r="W51" s="606"/>
      <c r="Y51" s="606"/>
      <c r="AA51" s="606"/>
      <c r="AC51" s="606"/>
      <c r="AE51" s="606"/>
      <c r="AG51" s="606"/>
      <c r="AI51" s="606"/>
      <c r="AK51" s="606"/>
      <c r="AM51" s="605"/>
      <c r="AO51" s="605"/>
      <c r="AQ51" s="605"/>
      <c r="AR51" s="605"/>
      <c r="AS51" s="636"/>
      <c r="AU51" s="605"/>
      <c r="AW51" s="605"/>
      <c r="AY51" s="605"/>
      <c r="BA51" s="605"/>
    </row>
    <row r="52" spans="1:53" s="604" customFormat="1">
      <c r="A52" s="605">
        <f>MAX($A$7:A51)+1</f>
        <v>41</v>
      </c>
      <c r="B52" s="605"/>
      <c r="C52" s="641"/>
      <c r="D52" s="605"/>
      <c r="E52" s="632" t="str">
        <f>"Sum of Lines "&amp;A38&amp;" through "&amp;A51</f>
        <v>Sum of Lines 27 through 40</v>
      </c>
      <c r="F52" s="632"/>
      <c r="G52" s="632"/>
      <c r="H52" s="605"/>
      <c r="I52" s="609">
        <f>SUM(I38:I51)</f>
        <v>118651798</v>
      </c>
      <c r="J52" s="605"/>
      <c r="K52" s="609">
        <f>SUM(K38:K51)</f>
        <v>10540.54</v>
      </c>
      <c r="L52" s="1036"/>
      <c r="M52" s="609">
        <f>SUM(M38:M51)</f>
        <v>118641257.46000001</v>
      </c>
      <c r="N52" s="609"/>
      <c r="O52" s="609"/>
      <c r="P52" s="609"/>
      <c r="Q52" s="609">
        <f>SUM(Q38:Q51)</f>
        <v>14285326.811931746</v>
      </c>
      <c r="R52" s="609"/>
      <c r="S52" s="609">
        <f t="shared" ref="S52" si="13">SUM(S38:S51)</f>
        <v>7653414.1144665983</v>
      </c>
      <c r="T52" s="605"/>
      <c r="U52" s="609">
        <f>SUM(U38:U51)</f>
        <v>6631912.6974651497</v>
      </c>
      <c r="W52" s="606"/>
      <c r="Y52" s="606"/>
      <c r="AA52" s="606"/>
      <c r="AC52" s="606"/>
      <c r="AE52" s="606"/>
      <c r="AG52" s="606"/>
      <c r="AI52" s="606"/>
      <c r="AK52" s="606"/>
      <c r="AM52" s="605"/>
      <c r="AO52" s="605"/>
      <c r="AQ52" s="605"/>
      <c r="AR52" s="605"/>
      <c r="AS52" s="636"/>
      <c r="AU52" s="605"/>
      <c r="AW52" s="605"/>
      <c r="AY52" s="605"/>
      <c r="BA52" s="605"/>
    </row>
    <row r="53" spans="1:53">
      <c r="A53" s="605"/>
    </row>
    <row r="54" spans="1:53">
      <c r="A54" s="605">
        <f>MAX($A$7:A53)+1</f>
        <v>42</v>
      </c>
      <c r="U54" s="16" t="str">
        <f>"Total OpEx (Line "&amp;A32&amp;" + Line "&amp;A52&amp;")"</f>
        <v>Total OpEx (Line 26 + Line 41)</v>
      </c>
      <c r="W54" s="841">
        <f>U52+Q32</f>
        <v>71290957.159534618</v>
      </c>
    </row>
    <row r="56" spans="1:53">
      <c r="B56" s="767" t="s">
        <v>183</v>
      </c>
      <c r="C56" s="768"/>
    </row>
    <row r="57" spans="1:53" ht="15.6" customHeight="1">
      <c r="B57" s="2" t="s">
        <v>202</v>
      </c>
      <c r="C57" s="1029" t="s">
        <v>1060</v>
      </c>
      <c r="D57" s="1029"/>
      <c r="E57" s="1029"/>
      <c r="F57" s="1029"/>
      <c r="G57" s="1029"/>
      <c r="H57" s="1029"/>
      <c r="I57" s="1029"/>
      <c r="J57" s="1029"/>
      <c r="K57" s="1029"/>
      <c r="L57" s="1029"/>
      <c r="M57" s="1029"/>
      <c r="N57" s="835"/>
      <c r="O57" s="835"/>
      <c r="P57" s="835"/>
      <c r="Q57" s="835"/>
      <c r="R57" s="835"/>
      <c r="S57" s="835"/>
      <c r="T57" s="835"/>
      <c r="U57" s="835"/>
      <c r="V57" s="835"/>
      <c r="W57" s="835"/>
      <c r="X57" s="527"/>
    </row>
    <row r="58" spans="1:53">
      <c r="C58" s="1029"/>
      <c r="D58" s="1029"/>
      <c r="E58" s="1029"/>
      <c r="F58" s="1029"/>
      <c r="G58" s="1029"/>
      <c r="H58" s="1029"/>
      <c r="I58" s="1029"/>
      <c r="J58" s="1029"/>
      <c r="K58" s="1029"/>
      <c r="L58" s="1029"/>
      <c r="M58" s="1029"/>
      <c r="N58" s="835"/>
      <c r="O58" s="835"/>
      <c r="P58" s="835"/>
      <c r="Q58" s="835"/>
      <c r="R58" s="835"/>
      <c r="S58" s="835"/>
      <c r="T58" s="835"/>
      <c r="U58" s="835"/>
      <c r="V58" s="835"/>
      <c r="W58" s="835"/>
    </row>
    <row r="59" spans="1:53">
      <c r="C59" s="1029"/>
      <c r="D59" s="1029"/>
      <c r="E59" s="1029"/>
      <c r="F59" s="1029"/>
      <c r="G59" s="1029"/>
      <c r="H59" s="1029"/>
      <c r="I59" s="1029"/>
      <c r="J59" s="1029"/>
      <c r="K59" s="1029"/>
      <c r="L59" s="1029"/>
      <c r="M59" s="1029"/>
      <c r="N59" s="835"/>
      <c r="O59" s="835"/>
      <c r="P59" s="835"/>
      <c r="Q59" s="835"/>
      <c r="R59" s="835"/>
      <c r="S59" s="835"/>
      <c r="T59" s="835"/>
      <c r="U59" s="835"/>
      <c r="V59" s="835"/>
      <c r="W59" s="835"/>
    </row>
    <row r="60" spans="1:53">
      <c r="C60" s="1029"/>
      <c r="D60" s="1029"/>
      <c r="E60" s="1029"/>
      <c r="F60" s="1029"/>
      <c r="G60" s="1029"/>
      <c r="H60" s="1029"/>
      <c r="I60" s="1029"/>
      <c r="J60" s="1029"/>
      <c r="K60" s="1029"/>
      <c r="L60" s="1029"/>
      <c r="M60" s="1029"/>
      <c r="N60" s="835"/>
      <c r="O60" s="835"/>
      <c r="P60" s="835"/>
      <c r="Q60" s="835"/>
      <c r="R60" s="835"/>
      <c r="S60" s="835"/>
      <c r="T60" s="835"/>
      <c r="U60" s="835"/>
      <c r="V60" s="835"/>
      <c r="W60" s="835"/>
    </row>
    <row r="61" spans="1:53">
      <c r="B61" s="2" t="s">
        <v>203</v>
      </c>
      <c r="C61" s="1029" t="s">
        <v>1049</v>
      </c>
      <c r="D61" s="1029"/>
      <c r="E61" s="1029"/>
      <c r="F61" s="1029"/>
      <c r="G61" s="1029"/>
      <c r="H61" s="1029"/>
      <c r="I61" s="1029"/>
      <c r="J61" s="1029"/>
      <c r="K61" s="1029"/>
      <c r="L61" s="1029"/>
      <c r="M61" s="1029"/>
      <c r="N61" s="1029"/>
      <c r="O61" s="1029"/>
      <c r="P61" s="1029"/>
      <c r="Q61" s="1029"/>
      <c r="R61" s="1029"/>
      <c r="S61" s="1029"/>
      <c r="T61" s="1029"/>
      <c r="U61" s="1029"/>
      <c r="V61" s="1029"/>
      <c r="W61" s="1029"/>
    </row>
    <row r="62" spans="1:53" ht="15.6" customHeight="1">
      <c r="B62" s="2" t="s">
        <v>285</v>
      </c>
      <c r="C62" s="835" t="s">
        <v>1061</v>
      </c>
      <c r="D62" s="835"/>
      <c r="E62" s="835"/>
      <c r="F62" s="835"/>
      <c r="G62" s="835"/>
      <c r="H62" s="835"/>
      <c r="I62" s="835"/>
      <c r="J62" s="835"/>
      <c r="K62" s="835"/>
      <c r="L62" s="835"/>
      <c r="M62" s="835"/>
      <c r="N62" s="835"/>
      <c r="O62" s="835"/>
      <c r="P62" s="835"/>
      <c r="Q62" s="835"/>
      <c r="R62" s="835"/>
      <c r="S62" s="835"/>
      <c r="T62" s="835"/>
      <c r="U62" s="835"/>
      <c r="V62" s="835"/>
      <c r="W62" s="835"/>
    </row>
    <row r="63" spans="1:53">
      <c r="C63" s="835"/>
      <c r="D63" s="835"/>
      <c r="E63" s="835"/>
      <c r="F63" s="835"/>
      <c r="G63" s="835"/>
      <c r="H63" s="835"/>
      <c r="I63" s="835"/>
      <c r="J63" s="835"/>
      <c r="K63" s="835"/>
      <c r="L63" s="835"/>
      <c r="M63" s="835"/>
      <c r="N63" s="835"/>
      <c r="O63" s="835"/>
      <c r="P63" s="835"/>
      <c r="Q63" s="835"/>
      <c r="R63" s="835"/>
      <c r="S63" s="835"/>
      <c r="T63" s="835"/>
      <c r="U63" s="835"/>
      <c r="V63" s="835"/>
      <c r="W63" s="835"/>
    </row>
    <row r="64" spans="1:53" ht="15.6" customHeight="1">
      <c r="C64" s="835"/>
      <c r="D64" s="835"/>
      <c r="E64" s="835"/>
      <c r="F64" s="835"/>
      <c r="G64" s="835"/>
      <c r="H64" s="835"/>
      <c r="I64" s="835"/>
      <c r="J64" s="835"/>
      <c r="K64" s="835"/>
      <c r="L64" s="835"/>
      <c r="M64" s="835"/>
      <c r="N64" s="835"/>
      <c r="O64" s="835"/>
      <c r="P64" s="835"/>
      <c r="Q64" s="835"/>
      <c r="R64" s="835"/>
      <c r="S64" s="835"/>
      <c r="T64" s="835"/>
      <c r="U64" s="835"/>
      <c r="V64" s="835"/>
      <c r="W64" s="835"/>
    </row>
    <row r="65" spans="3:23">
      <c r="C65" s="835"/>
      <c r="D65" s="835"/>
      <c r="E65" s="835"/>
      <c r="F65" s="835"/>
      <c r="G65" s="835"/>
      <c r="H65" s="835"/>
      <c r="I65" s="835"/>
      <c r="J65" s="835"/>
      <c r="K65" s="835"/>
      <c r="L65" s="835"/>
      <c r="M65" s="835"/>
      <c r="N65" s="835"/>
      <c r="O65" s="835"/>
      <c r="P65" s="835"/>
      <c r="Q65" s="835"/>
      <c r="R65" s="835"/>
      <c r="S65" s="835"/>
      <c r="T65" s="835"/>
      <c r="U65" s="835"/>
      <c r="V65" s="835"/>
      <c r="W65" s="835"/>
    </row>
    <row r="66" spans="3:23">
      <c r="C66" s="597"/>
      <c r="D66" s="597"/>
      <c r="E66" s="597"/>
      <c r="F66" s="597"/>
      <c r="G66" s="597"/>
      <c r="H66" s="597"/>
      <c r="I66" s="597"/>
      <c r="J66" s="597"/>
      <c r="K66" s="597"/>
      <c r="L66" s="597"/>
      <c r="M66" s="597"/>
      <c r="N66" s="597"/>
      <c r="O66" s="597"/>
      <c r="P66" s="597"/>
      <c r="Q66" s="597"/>
      <c r="R66" s="597"/>
      <c r="S66" s="597"/>
      <c r="T66" s="597"/>
      <c r="U66" s="597"/>
      <c r="V66" s="597"/>
      <c r="W66" s="597"/>
    </row>
    <row r="71" spans="3:23">
      <c r="C71" s="795"/>
      <c r="D71" s="796"/>
      <c r="E71" s="796"/>
      <c r="F71" s="796"/>
      <c r="G71" s="796"/>
      <c r="H71" s="796"/>
      <c r="I71" s="796"/>
      <c r="J71" s="796"/>
      <c r="K71" s="796"/>
      <c r="L71" s="796"/>
      <c r="M71" s="796"/>
      <c r="N71" s="796"/>
      <c r="O71" s="796"/>
      <c r="P71" s="796"/>
      <c r="Q71" s="796"/>
      <c r="R71" s="796"/>
      <c r="S71" s="796"/>
      <c r="T71" s="796"/>
      <c r="U71" s="796"/>
    </row>
    <row r="72" spans="3:23">
      <c r="D72" s="796"/>
      <c r="E72" s="796"/>
      <c r="F72" s="796"/>
      <c r="G72" s="796"/>
      <c r="H72" s="796"/>
      <c r="I72" s="796"/>
      <c r="J72" s="796"/>
      <c r="K72" s="796"/>
      <c r="L72" s="796"/>
      <c r="M72" s="796"/>
      <c r="N72" s="796"/>
      <c r="O72" s="796"/>
      <c r="P72" s="796"/>
      <c r="Q72" s="796"/>
      <c r="R72" s="796"/>
      <c r="S72" s="796"/>
      <c r="T72" s="796"/>
      <c r="U72" s="796"/>
    </row>
    <row r="73" spans="3:23">
      <c r="D73" s="796"/>
      <c r="E73" s="796"/>
      <c r="F73" s="796"/>
      <c r="G73" s="796"/>
      <c r="H73" s="796"/>
      <c r="I73" s="796"/>
      <c r="J73" s="796"/>
      <c r="K73" s="796"/>
      <c r="L73" s="796"/>
      <c r="M73" s="796"/>
      <c r="N73" s="796"/>
      <c r="O73" s="796"/>
      <c r="P73" s="796"/>
      <c r="Q73" s="796"/>
      <c r="R73" s="796"/>
      <c r="S73" s="796"/>
      <c r="T73" s="796"/>
      <c r="U73" s="796"/>
    </row>
    <row r="74" spans="3:23">
      <c r="D74" s="796"/>
      <c r="E74" s="796"/>
      <c r="F74" s="796"/>
      <c r="G74" s="796"/>
      <c r="H74" s="796"/>
      <c r="I74" s="796"/>
      <c r="J74" s="796"/>
      <c r="K74" s="796"/>
      <c r="L74" s="796"/>
      <c r="M74" s="796"/>
      <c r="N74" s="796"/>
      <c r="O74" s="796"/>
      <c r="P74" s="796"/>
      <c r="Q74" s="796"/>
      <c r="R74" s="796"/>
      <c r="S74" s="796"/>
      <c r="T74" s="796"/>
      <c r="U74" s="796"/>
    </row>
    <row r="75" spans="3:23">
      <c r="D75" s="796"/>
      <c r="E75" s="796"/>
      <c r="F75" s="796"/>
      <c r="G75" s="796"/>
      <c r="H75" s="796"/>
      <c r="I75" s="796"/>
      <c r="J75" s="796"/>
      <c r="K75" s="796"/>
      <c r="L75" s="796"/>
      <c r="M75" s="796"/>
      <c r="N75" s="796"/>
      <c r="O75" s="796"/>
      <c r="P75" s="796"/>
      <c r="Q75" s="796"/>
      <c r="R75" s="796"/>
      <c r="S75" s="796"/>
      <c r="T75" s="796"/>
      <c r="U75" s="796"/>
    </row>
  </sheetData>
  <mergeCells count="2">
    <mergeCell ref="C61:W61"/>
    <mergeCell ref="C57:M60"/>
  </mergeCells>
  <pageMargins left="0.25" right="0.25" top="0.75" bottom="0.75" header="0.3" footer="0.3"/>
  <pageSetup scale="48" orientation="landscape" horizontalDpi="1200" verticalDpi="1200" r:id="rId1"/>
  <headerFooter>
    <oddHeader xml:space="preserve">&amp;R&amp;"Times New Roman,Regular"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R80"/>
  <sheetViews>
    <sheetView view="pageBreakPreview" zoomScale="70" zoomScaleNormal="75" zoomScaleSheetLayoutView="70" workbookViewId="0">
      <selection activeCell="F22" sqref="F22"/>
    </sheetView>
  </sheetViews>
  <sheetFormatPr defaultRowHeight="13.2"/>
  <cols>
    <col min="1" max="1" width="7.26953125" style="71" customWidth="1"/>
    <col min="2" max="2" width="2.26953125" style="71" customWidth="1"/>
    <col min="3" max="3" width="6.26953125" style="71" customWidth="1"/>
    <col min="4" max="4" width="33.453125" style="71" customWidth="1"/>
    <col min="5" max="5" width="18" style="71" customWidth="1"/>
    <col min="6" max="6" width="27.7265625" style="71" customWidth="1"/>
    <col min="7" max="7" width="34.7265625" style="71" customWidth="1"/>
    <col min="8" max="8" width="3" style="71" customWidth="1"/>
    <col min="9" max="9" width="23.453125" style="71" customWidth="1"/>
    <col min="10" max="10" width="13.54296875" style="71" bestFit="1" customWidth="1"/>
    <col min="11" max="11" width="17.81640625" style="71" bestFit="1" customWidth="1"/>
    <col min="12" max="256" width="8.81640625" style="71"/>
    <col min="257" max="257" width="7.26953125" style="71" customWidth="1"/>
    <col min="258" max="258" width="2.26953125" style="71" customWidth="1"/>
    <col min="259" max="259" width="6.26953125" style="71" customWidth="1"/>
    <col min="260" max="260" width="33.453125" style="71" customWidth="1"/>
    <col min="261" max="261" width="18" style="71" customWidth="1"/>
    <col min="262" max="262" width="27.7265625" style="71" customWidth="1"/>
    <col min="263" max="263" width="28.81640625" style="71" bestFit="1" customWidth="1"/>
    <col min="264" max="264" width="3" style="71" customWidth="1"/>
    <col min="265" max="265" width="23.453125" style="71" customWidth="1"/>
    <col min="266" max="266" width="8.81640625" style="71"/>
    <col min="267" max="267" width="17.81640625" style="71" bestFit="1" customWidth="1"/>
    <col min="268" max="512" width="8.81640625" style="71"/>
    <col min="513" max="513" width="7.26953125" style="71" customWidth="1"/>
    <col min="514" max="514" width="2.26953125" style="71" customWidth="1"/>
    <col min="515" max="515" width="6.26953125" style="71" customWidth="1"/>
    <col min="516" max="516" width="33.453125" style="71" customWidth="1"/>
    <col min="517" max="517" width="18" style="71" customWidth="1"/>
    <col min="518" max="518" width="27.7265625" style="71" customWidth="1"/>
    <col min="519" max="519" width="28.81640625" style="71" bestFit="1" customWidth="1"/>
    <col min="520" max="520" width="3" style="71" customWidth="1"/>
    <col min="521" max="521" width="23.453125" style="71" customWidth="1"/>
    <col min="522" max="522" width="8.81640625" style="71"/>
    <col min="523" max="523" width="17.81640625" style="71" bestFit="1" customWidth="1"/>
    <col min="524" max="768" width="8.81640625" style="71"/>
    <col min="769" max="769" width="7.26953125" style="71" customWidth="1"/>
    <col min="770" max="770" width="2.26953125" style="71" customWidth="1"/>
    <col min="771" max="771" width="6.26953125" style="71" customWidth="1"/>
    <col min="772" max="772" width="33.453125" style="71" customWidth="1"/>
    <col min="773" max="773" width="18" style="71" customWidth="1"/>
    <col min="774" max="774" width="27.7265625" style="71" customWidth="1"/>
    <col min="775" max="775" width="28.81640625" style="71" bestFit="1" customWidth="1"/>
    <col min="776" max="776" width="3" style="71" customWidth="1"/>
    <col min="777" max="777" width="23.453125" style="71" customWidth="1"/>
    <col min="778" max="778" width="8.81640625" style="71"/>
    <col min="779" max="779" width="17.81640625" style="71" bestFit="1" customWidth="1"/>
    <col min="780" max="1024" width="8.81640625" style="71"/>
    <col min="1025" max="1025" width="7.26953125" style="71" customWidth="1"/>
    <col min="1026" max="1026" width="2.26953125" style="71" customWidth="1"/>
    <col min="1027" max="1027" width="6.26953125" style="71" customWidth="1"/>
    <col min="1028" max="1028" width="33.453125" style="71" customWidth="1"/>
    <col min="1029" max="1029" width="18" style="71" customWidth="1"/>
    <col min="1030" max="1030" width="27.7265625" style="71" customWidth="1"/>
    <col min="1031" max="1031" width="28.81640625" style="71" bestFit="1" customWidth="1"/>
    <col min="1032" max="1032" width="3" style="71" customWidth="1"/>
    <col min="1033" max="1033" width="23.453125" style="71" customWidth="1"/>
    <col min="1034" max="1034" width="8.81640625" style="71"/>
    <col min="1035" max="1035" width="17.81640625" style="71" bestFit="1" customWidth="1"/>
    <col min="1036" max="1280" width="8.81640625" style="71"/>
    <col min="1281" max="1281" width="7.26953125" style="71" customWidth="1"/>
    <col min="1282" max="1282" width="2.26953125" style="71" customWidth="1"/>
    <col min="1283" max="1283" width="6.26953125" style="71" customWidth="1"/>
    <col min="1284" max="1284" width="33.453125" style="71" customWidth="1"/>
    <col min="1285" max="1285" width="18" style="71" customWidth="1"/>
    <col min="1286" max="1286" width="27.7265625" style="71" customWidth="1"/>
    <col min="1287" max="1287" width="28.81640625" style="71" bestFit="1" customWidth="1"/>
    <col min="1288" max="1288" width="3" style="71" customWidth="1"/>
    <col min="1289" max="1289" width="23.453125" style="71" customWidth="1"/>
    <col min="1290" max="1290" width="8.81640625" style="71"/>
    <col min="1291" max="1291" width="17.81640625" style="71" bestFit="1" customWidth="1"/>
    <col min="1292" max="1536" width="8.81640625" style="71"/>
    <col min="1537" max="1537" width="7.26953125" style="71" customWidth="1"/>
    <col min="1538" max="1538" width="2.26953125" style="71" customWidth="1"/>
    <col min="1539" max="1539" width="6.26953125" style="71" customWidth="1"/>
    <col min="1540" max="1540" width="33.453125" style="71" customWidth="1"/>
    <col min="1541" max="1541" width="18" style="71" customWidth="1"/>
    <col min="1542" max="1542" width="27.7265625" style="71" customWidth="1"/>
    <col min="1543" max="1543" width="28.81640625" style="71" bestFit="1" customWidth="1"/>
    <col min="1544" max="1544" width="3" style="71" customWidth="1"/>
    <col min="1545" max="1545" width="23.453125" style="71" customWidth="1"/>
    <col min="1546" max="1546" width="8.81640625" style="71"/>
    <col min="1547" max="1547" width="17.81640625" style="71" bestFit="1" customWidth="1"/>
    <col min="1548" max="1792" width="8.81640625" style="71"/>
    <col min="1793" max="1793" width="7.26953125" style="71" customWidth="1"/>
    <col min="1794" max="1794" width="2.26953125" style="71" customWidth="1"/>
    <col min="1795" max="1795" width="6.26953125" style="71" customWidth="1"/>
    <col min="1796" max="1796" width="33.453125" style="71" customWidth="1"/>
    <col min="1797" max="1797" width="18" style="71" customWidth="1"/>
    <col min="1798" max="1798" width="27.7265625" style="71" customWidth="1"/>
    <col min="1799" max="1799" width="28.81640625" style="71" bestFit="1" customWidth="1"/>
    <col min="1800" max="1800" width="3" style="71" customWidth="1"/>
    <col min="1801" max="1801" width="23.453125" style="71" customWidth="1"/>
    <col min="1802" max="1802" width="8.81640625" style="71"/>
    <col min="1803" max="1803" width="17.81640625" style="71" bestFit="1" customWidth="1"/>
    <col min="1804" max="2048" width="8.81640625" style="71"/>
    <col min="2049" max="2049" width="7.26953125" style="71" customWidth="1"/>
    <col min="2050" max="2050" width="2.26953125" style="71" customWidth="1"/>
    <col min="2051" max="2051" width="6.26953125" style="71" customWidth="1"/>
    <col min="2052" max="2052" width="33.453125" style="71" customWidth="1"/>
    <col min="2053" max="2053" width="18" style="71" customWidth="1"/>
    <col min="2054" max="2054" width="27.7265625" style="71" customWidth="1"/>
    <col min="2055" max="2055" width="28.81640625" style="71" bestFit="1" customWidth="1"/>
    <col min="2056" max="2056" width="3" style="71" customWidth="1"/>
    <col min="2057" max="2057" width="23.453125" style="71" customWidth="1"/>
    <col min="2058" max="2058" width="8.81640625" style="71"/>
    <col min="2059" max="2059" width="17.81640625" style="71" bestFit="1" customWidth="1"/>
    <col min="2060" max="2304" width="8.81640625" style="71"/>
    <col min="2305" max="2305" width="7.26953125" style="71" customWidth="1"/>
    <col min="2306" max="2306" width="2.26953125" style="71" customWidth="1"/>
    <col min="2307" max="2307" width="6.26953125" style="71" customWidth="1"/>
    <col min="2308" max="2308" width="33.453125" style="71" customWidth="1"/>
    <col min="2309" max="2309" width="18" style="71" customWidth="1"/>
    <col min="2310" max="2310" width="27.7265625" style="71" customWidth="1"/>
    <col min="2311" max="2311" width="28.81640625" style="71" bestFit="1" customWidth="1"/>
    <col min="2312" max="2312" width="3" style="71" customWidth="1"/>
    <col min="2313" max="2313" width="23.453125" style="71" customWidth="1"/>
    <col min="2314" max="2314" width="8.81640625" style="71"/>
    <col min="2315" max="2315" width="17.81640625" style="71" bestFit="1" customWidth="1"/>
    <col min="2316" max="2560" width="8.81640625" style="71"/>
    <col min="2561" max="2561" width="7.26953125" style="71" customWidth="1"/>
    <col min="2562" max="2562" width="2.26953125" style="71" customWidth="1"/>
    <col min="2563" max="2563" width="6.26953125" style="71" customWidth="1"/>
    <col min="2564" max="2564" width="33.453125" style="71" customWidth="1"/>
    <col min="2565" max="2565" width="18" style="71" customWidth="1"/>
    <col min="2566" max="2566" width="27.7265625" style="71" customWidth="1"/>
    <col min="2567" max="2567" width="28.81640625" style="71" bestFit="1" customWidth="1"/>
    <col min="2568" max="2568" width="3" style="71" customWidth="1"/>
    <col min="2569" max="2569" width="23.453125" style="71" customWidth="1"/>
    <col min="2570" max="2570" width="8.81640625" style="71"/>
    <col min="2571" max="2571" width="17.81640625" style="71" bestFit="1" customWidth="1"/>
    <col min="2572" max="2816" width="8.81640625" style="71"/>
    <col min="2817" max="2817" width="7.26953125" style="71" customWidth="1"/>
    <col min="2818" max="2818" width="2.26953125" style="71" customWidth="1"/>
    <col min="2819" max="2819" width="6.26953125" style="71" customWidth="1"/>
    <col min="2820" max="2820" width="33.453125" style="71" customWidth="1"/>
    <col min="2821" max="2821" width="18" style="71" customWidth="1"/>
    <col min="2822" max="2822" width="27.7265625" style="71" customWidth="1"/>
    <col min="2823" max="2823" width="28.81640625" style="71" bestFit="1" customWidth="1"/>
    <col min="2824" max="2824" width="3" style="71" customWidth="1"/>
    <col min="2825" max="2825" width="23.453125" style="71" customWidth="1"/>
    <col min="2826" max="2826" width="8.81640625" style="71"/>
    <col min="2827" max="2827" width="17.81640625" style="71" bestFit="1" customWidth="1"/>
    <col min="2828" max="3072" width="8.81640625" style="71"/>
    <col min="3073" max="3073" width="7.26953125" style="71" customWidth="1"/>
    <col min="3074" max="3074" width="2.26953125" style="71" customWidth="1"/>
    <col min="3075" max="3075" width="6.26953125" style="71" customWidth="1"/>
    <col min="3076" max="3076" width="33.453125" style="71" customWidth="1"/>
    <col min="3077" max="3077" width="18" style="71" customWidth="1"/>
    <col min="3078" max="3078" width="27.7265625" style="71" customWidth="1"/>
    <col min="3079" max="3079" width="28.81640625" style="71" bestFit="1" customWidth="1"/>
    <col min="3080" max="3080" width="3" style="71" customWidth="1"/>
    <col min="3081" max="3081" width="23.453125" style="71" customWidth="1"/>
    <col min="3082" max="3082" width="8.81640625" style="71"/>
    <col min="3083" max="3083" width="17.81640625" style="71" bestFit="1" customWidth="1"/>
    <col min="3084" max="3328" width="8.81640625" style="71"/>
    <col min="3329" max="3329" width="7.26953125" style="71" customWidth="1"/>
    <col min="3330" max="3330" width="2.26953125" style="71" customWidth="1"/>
    <col min="3331" max="3331" width="6.26953125" style="71" customWidth="1"/>
    <col min="3332" max="3332" width="33.453125" style="71" customWidth="1"/>
    <col min="3333" max="3333" width="18" style="71" customWidth="1"/>
    <col min="3334" max="3334" width="27.7265625" style="71" customWidth="1"/>
    <col min="3335" max="3335" width="28.81640625" style="71" bestFit="1" customWidth="1"/>
    <col min="3336" max="3336" width="3" style="71" customWidth="1"/>
    <col min="3337" max="3337" width="23.453125" style="71" customWidth="1"/>
    <col min="3338" max="3338" width="8.81640625" style="71"/>
    <col min="3339" max="3339" width="17.81640625" style="71" bestFit="1" customWidth="1"/>
    <col min="3340" max="3584" width="8.81640625" style="71"/>
    <col min="3585" max="3585" width="7.26953125" style="71" customWidth="1"/>
    <col min="3586" max="3586" width="2.26953125" style="71" customWidth="1"/>
    <col min="3587" max="3587" width="6.26953125" style="71" customWidth="1"/>
    <col min="3588" max="3588" width="33.453125" style="71" customWidth="1"/>
    <col min="3589" max="3589" width="18" style="71" customWidth="1"/>
    <col min="3590" max="3590" width="27.7265625" style="71" customWidth="1"/>
    <col min="3591" max="3591" width="28.81640625" style="71" bestFit="1" customWidth="1"/>
    <col min="3592" max="3592" width="3" style="71" customWidth="1"/>
    <col min="3593" max="3593" width="23.453125" style="71" customWidth="1"/>
    <col min="3594" max="3594" width="8.81640625" style="71"/>
    <col min="3595" max="3595" width="17.81640625" style="71" bestFit="1" customWidth="1"/>
    <col min="3596" max="3840" width="8.81640625" style="71"/>
    <col min="3841" max="3841" width="7.26953125" style="71" customWidth="1"/>
    <col min="3842" max="3842" width="2.26953125" style="71" customWidth="1"/>
    <col min="3843" max="3843" width="6.26953125" style="71" customWidth="1"/>
    <col min="3844" max="3844" width="33.453125" style="71" customWidth="1"/>
    <col min="3845" max="3845" width="18" style="71" customWidth="1"/>
    <col min="3846" max="3846" width="27.7265625" style="71" customWidth="1"/>
    <col min="3847" max="3847" width="28.81640625" style="71" bestFit="1" customWidth="1"/>
    <col min="3848" max="3848" width="3" style="71" customWidth="1"/>
    <col min="3849" max="3849" width="23.453125" style="71" customWidth="1"/>
    <col min="3850" max="3850" width="8.81640625" style="71"/>
    <col min="3851" max="3851" width="17.81640625" style="71" bestFit="1" customWidth="1"/>
    <col min="3852" max="4096" width="8.81640625" style="71"/>
    <col min="4097" max="4097" width="7.26953125" style="71" customWidth="1"/>
    <col min="4098" max="4098" width="2.26953125" style="71" customWidth="1"/>
    <col min="4099" max="4099" width="6.26953125" style="71" customWidth="1"/>
    <col min="4100" max="4100" width="33.453125" style="71" customWidth="1"/>
    <col min="4101" max="4101" width="18" style="71" customWidth="1"/>
    <col min="4102" max="4102" width="27.7265625" style="71" customWidth="1"/>
    <col min="4103" max="4103" width="28.81640625" style="71" bestFit="1" customWidth="1"/>
    <col min="4104" max="4104" width="3" style="71" customWidth="1"/>
    <col min="4105" max="4105" width="23.453125" style="71" customWidth="1"/>
    <col min="4106" max="4106" width="8.81640625" style="71"/>
    <col min="4107" max="4107" width="17.81640625" style="71" bestFit="1" customWidth="1"/>
    <col min="4108" max="4352" width="8.81640625" style="71"/>
    <col min="4353" max="4353" width="7.26953125" style="71" customWidth="1"/>
    <col min="4354" max="4354" width="2.26953125" style="71" customWidth="1"/>
    <col min="4355" max="4355" width="6.26953125" style="71" customWidth="1"/>
    <col min="4356" max="4356" width="33.453125" style="71" customWidth="1"/>
    <col min="4357" max="4357" width="18" style="71" customWidth="1"/>
    <col min="4358" max="4358" width="27.7265625" style="71" customWidth="1"/>
    <col min="4359" max="4359" width="28.81640625" style="71" bestFit="1" customWidth="1"/>
    <col min="4360" max="4360" width="3" style="71" customWidth="1"/>
    <col min="4361" max="4361" width="23.453125" style="71" customWidth="1"/>
    <col min="4362" max="4362" width="8.81640625" style="71"/>
    <col min="4363" max="4363" width="17.81640625" style="71" bestFit="1" customWidth="1"/>
    <col min="4364" max="4608" width="8.81640625" style="71"/>
    <col min="4609" max="4609" width="7.26953125" style="71" customWidth="1"/>
    <col min="4610" max="4610" width="2.26953125" style="71" customWidth="1"/>
    <col min="4611" max="4611" width="6.26953125" style="71" customWidth="1"/>
    <col min="4612" max="4612" width="33.453125" style="71" customWidth="1"/>
    <col min="4613" max="4613" width="18" style="71" customWidth="1"/>
    <col min="4614" max="4614" width="27.7265625" style="71" customWidth="1"/>
    <col min="4615" max="4615" width="28.81640625" style="71" bestFit="1" customWidth="1"/>
    <col min="4616" max="4616" width="3" style="71" customWidth="1"/>
    <col min="4617" max="4617" width="23.453125" style="71" customWidth="1"/>
    <col min="4618" max="4618" width="8.81640625" style="71"/>
    <col min="4619" max="4619" width="17.81640625" style="71" bestFit="1" customWidth="1"/>
    <col min="4620" max="4864" width="8.81640625" style="71"/>
    <col min="4865" max="4865" width="7.26953125" style="71" customWidth="1"/>
    <col min="4866" max="4866" width="2.26953125" style="71" customWidth="1"/>
    <col min="4867" max="4867" width="6.26953125" style="71" customWidth="1"/>
    <col min="4868" max="4868" width="33.453125" style="71" customWidth="1"/>
    <col min="4869" max="4869" width="18" style="71" customWidth="1"/>
    <col min="4870" max="4870" width="27.7265625" style="71" customWidth="1"/>
    <col min="4871" max="4871" width="28.81640625" style="71" bestFit="1" customWidth="1"/>
    <col min="4872" max="4872" width="3" style="71" customWidth="1"/>
    <col min="4873" max="4873" width="23.453125" style="71" customWidth="1"/>
    <col min="4874" max="4874" width="8.81640625" style="71"/>
    <col min="4875" max="4875" width="17.81640625" style="71" bestFit="1" customWidth="1"/>
    <col min="4876" max="5120" width="8.81640625" style="71"/>
    <col min="5121" max="5121" width="7.26953125" style="71" customWidth="1"/>
    <col min="5122" max="5122" width="2.26953125" style="71" customWidth="1"/>
    <col min="5123" max="5123" width="6.26953125" style="71" customWidth="1"/>
    <col min="5124" max="5124" width="33.453125" style="71" customWidth="1"/>
    <col min="5125" max="5125" width="18" style="71" customWidth="1"/>
    <col min="5126" max="5126" width="27.7265625" style="71" customWidth="1"/>
    <col min="5127" max="5127" width="28.81640625" style="71" bestFit="1" customWidth="1"/>
    <col min="5128" max="5128" width="3" style="71" customWidth="1"/>
    <col min="5129" max="5129" width="23.453125" style="71" customWidth="1"/>
    <col min="5130" max="5130" width="8.81640625" style="71"/>
    <col min="5131" max="5131" width="17.81640625" style="71" bestFit="1" customWidth="1"/>
    <col min="5132" max="5376" width="8.81640625" style="71"/>
    <col min="5377" max="5377" width="7.26953125" style="71" customWidth="1"/>
    <col min="5378" max="5378" width="2.26953125" style="71" customWidth="1"/>
    <col min="5379" max="5379" width="6.26953125" style="71" customWidth="1"/>
    <col min="5380" max="5380" width="33.453125" style="71" customWidth="1"/>
    <col min="5381" max="5381" width="18" style="71" customWidth="1"/>
    <col min="5382" max="5382" width="27.7265625" style="71" customWidth="1"/>
    <col min="5383" max="5383" width="28.81640625" style="71" bestFit="1" customWidth="1"/>
    <col min="5384" max="5384" width="3" style="71" customWidth="1"/>
    <col min="5385" max="5385" width="23.453125" style="71" customWidth="1"/>
    <col min="5386" max="5386" width="8.81640625" style="71"/>
    <col min="5387" max="5387" width="17.81640625" style="71" bestFit="1" customWidth="1"/>
    <col min="5388" max="5632" width="8.81640625" style="71"/>
    <col min="5633" max="5633" width="7.26953125" style="71" customWidth="1"/>
    <col min="5634" max="5634" width="2.26953125" style="71" customWidth="1"/>
    <col min="5635" max="5635" width="6.26953125" style="71" customWidth="1"/>
    <col min="5636" max="5636" width="33.453125" style="71" customWidth="1"/>
    <col min="5637" max="5637" width="18" style="71" customWidth="1"/>
    <col min="5638" max="5638" width="27.7265625" style="71" customWidth="1"/>
    <col min="5639" max="5639" width="28.81640625" style="71" bestFit="1" customWidth="1"/>
    <col min="5640" max="5640" width="3" style="71" customWidth="1"/>
    <col min="5641" max="5641" width="23.453125" style="71" customWidth="1"/>
    <col min="5642" max="5642" width="8.81640625" style="71"/>
    <col min="5643" max="5643" width="17.81640625" style="71" bestFit="1" customWidth="1"/>
    <col min="5644" max="5888" width="8.81640625" style="71"/>
    <col min="5889" max="5889" width="7.26953125" style="71" customWidth="1"/>
    <col min="5890" max="5890" width="2.26953125" style="71" customWidth="1"/>
    <col min="5891" max="5891" width="6.26953125" style="71" customWidth="1"/>
    <col min="5892" max="5892" width="33.453125" style="71" customWidth="1"/>
    <col min="5893" max="5893" width="18" style="71" customWidth="1"/>
    <col min="5894" max="5894" width="27.7265625" style="71" customWidth="1"/>
    <col min="5895" max="5895" width="28.81640625" style="71" bestFit="1" customWidth="1"/>
    <col min="5896" max="5896" width="3" style="71" customWidth="1"/>
    <col min="5897" max="5897" width="23.453125" style="71" customWidth="1"/>
    <col min="5898" max="5898" width="8.81640625" style="71"/>
    <col min="5899" max="5899" width="17.81640625" style="71" bestFit="1" customWidth="1"/>
    <col min="5900" max="6144" width="8.81640625" style="71"/>
    <col min="6145" max="6145" width="7.26953125" style="71" customWidth="1"/>
    <col min="6146" max="6146" width="2.26953125" style="71" customWidth="1"/>
    <col min="6147" max="6147" width="6.26953125" style="71" customWidth="1"/>
    <col min="6148" max="6148" width="33.453125" style="71" customWidth="1"/>
    <col min="6149" max="6149" width="18" style="71" customWidth="1"/>
    <col min="6150" max="6150" width="27.7265625" style="71" customWidth="1"/>
    <col min="6151" max="6151" width="28.81640625" style="71" bestFit="1" customWidth="1"/>
    <col min="6152" max="6152" width="3" style="71" customWidth="1"/>
    <col min="6153" max="6153" width="23.453125" style="71" customWidth="1"/>
    <col min="6154" max="6154" width="8.81640625" style="71"/>
    <col min="6155" max="6155" width="17.81640625" style="71" bestFit="1" customWidth="1"/>
    <col min="6156" max="6400" width="8.81640625" style="71"/>
    <col min="6401" max="6401" width="7.26953125" style="71" customWidth="1"/>
    <col min="6402" max="6402" width="2.26953125" style="71" customWidth="1"/>
    <col min="6403" max="6403" width="6.26953125" style="71" customWidth="1"/>
    <col min="6404" max="6404" width="33.453125" style="71" customWidth="1"/>
    <col min="6405" max="6405" width="18" style="71" customWidth="1"/>
    <col min="6406" max="6406" width="27.7265625" style="71" customWidth="1"/>
    <col min="6407" max="6407" width="28.81640625" style="71" bestFit="1" customWidth="1"/>
    <col min="6408" max="6408" width="3" style="71" customWidth="1"/>
    <col min="6409" max="6409" width="23.453125" style="71" customWidth="1"/>
    <col min="6410" max="6410" width="8.81640625" style="71"/>
    <col min="6411" max="6411" width="17.81640625" style="71" bestFit="1" customWidth="1"/>
    <col min="6412" max="6656" width="8.81640625" style="71"/>
    <col min="6657" max="6657" width="7.26953125" style="71" customWidth="1"/>
    <col min="6658" max="6658" width="2.26953125" style="71" customWidth="1"/>
    <col min="6659" max="6659" width="6.26953125" style="71" customWidth="1"/>
    <col min="6660" max="6660" width="33.453125" style="71" customWidth="1"/>
    <col min="6661" max="6661" width="18" style="71" customWidth="1"/>
    <col min="6662" max="6662" width="27.7265625" style="71" customWidth="1"/>
    <col min="6663" max="6663" width="28.81640625" style="71" bestFit="1" customWidth="1"/>
    <col min="6664" max="6664" width="3" style="71" customWidth="1"/>
    <col min="6665" max="6665" width="23.453125" style="71" customWidth="1"/>
    <col min="6666" max="6666" width="8.81640625" style="71"/>
    <col min="6667" max="6667" width="17.81640625" style="71" bestFit="1" customWidth="1"/>
    <col min="6668" max="6912" width="8.81640625" style="71"/>
    <col min="6913" max="6913" width="7.26953125" style="71" customWidth="1"/>
    <col min="6914" max="6914" width="2.26953125" style="71" customWidth="1"/>
    <col min="6915" max="6915" width="6.26953125" style="71" customWidth="1"/>
    <col min="6916" max="6916" width="33.453125" style="71" customWidth="1"/>
    <col min="6917" max="6917" width="18" style="71" customWidth="1"/>
    <col min="6918" max="6918" width="27.7265625" style="71" customWidth="1"/>
    <col min="6919" max="6919" width="28.81640625" style="71" bestFit="1" customWidth="1"/>
    <col min="6920" max="6920" width="3" style="71" customWidth="1"/>
    <col min="6921" max="6921" width="23.453125" style="71" customWidth="1"/>
    <col min="6922" max="6922" width="8.81640625" style="71"/>
    <col min="6923" max="6923" width="17.81640625" style="71" bestFit="1" customWidth="1"/>
    <col min="6924" max="7168" width="8.81640625" style="71"/>
    <col min="7169" max="7169" width="7.26953125" style="71" customWidth="1"/>
    <col min="7170" max="7170" width="2.26953125" style="71" customWidth="1"/>
    <col min="7171" max="7171" width="6.26953125" style="71" customWidth="1"/>
    <col min="7172" max="7172" width="33.453125" style="71" customWidth="1"/>
    <col min="7173" max="7173" width="18" style="71" customWidth="1"/>
    <col min="7174" max="7174" width="27.7265625" style="71" customWidth="1"/>
    <col min="7175" max="7175" width="28.81640625" style="71" bestFit="1" customWidth="1"/>
    <col min="7176" max="7176" width="3" style="71" customWidth="1"/>
    <col min="7177" max="7177" width="23.453125" style="71" customWidth="1"/>
    <col min="7178" max="7178" width="8.81640625" style="71"/>
    <col min="7179" max="7179" width="17.81640625" style="71" bestFit="1" customWidth="1"/>
    <col min="7180" max="7424" width="8.81640625" style="71"/>
    <col min="7425" max="7425" width="7.26953125" style="71" customWidth="1"/>
    <col min="7426" max="7426" width="2.26953125" style="71" customWidth="1"/>
    <col min="7427" max="7427" width="6.26953125" style="71" customWidth="1"/>
    <col min="7428" max="7428" width="33.453125" style="71" customWidth="1"/>
    <col min="7429" max="7429" width="18" style="71" customWidth="1"/>
    <col min="7430" max="7430" width="27.7265625" style="71" customWidth="1"/>
    <col min="7431" max="7431" width="28.81640625" style="71" bestFit="1" customWidth="1"/>
    <col min="7432" max="7432" width="3" style="71" customWidth="1"/>
    <col min="7433" max="7433" width="23.453125" style="71" customWidth="1"/>
    <col min="7434" max="7434" width="8.81640625" style="71"/>
    <col min="7435" max="7435" width="17.81640625" style="71" bestFit="1" customWidth="1"/>
    <col min="7436" max="7680" width="8.81640625" style="71"/>
    <col min="7681" max="7681" width="7.26953125" style="71" customWidth="1"/>
    <col min="7682" max="7682" width="2.26953125" style="71" customWidth="1"/>
    <col min="7683" max="7683" width="6.26953125" style="71" customWidth="1"/>
    <col min="7684" max="7684" width="33.453125" style="71" customWidth="1"/>
    <col min="7685" max="7685" width="18" style="71" customWidth="1"/>
    <col min="7686" max="7686" width="27.7265625" style="71" customWidth="1"/>
    <col min="7687" max="7687" width="28.81640625" style="71" bestFit="1" customWidth="1"/>
    <col min="7688" max="7688" width="3" style="71" customWidth="1"/>
    <col min="7689" max="7689" width="23.453125" style="71" customWidth="1"/>
    <col min="7690" max="7690" width="8.81640625" style="71"/>
    <col min="7691" max="7691" width="17.81640625" style="71" bestFit="1" customWidth="1"/>
    <col min="7692" max="7936" width="8.81640625" style="71"/>
    <col min="7937" max="7937" width="7.26953125" style="71" customWidth="1"/>
    <col min="7938" max="7938" width="2.26953125" style="71" customWidth="1"/>
    <col min="7939" max="7939" width="6.26953125" style="71" customWidth="1"/>
    <col min="7940" max="7940" width="33.453125" style="71" customWidth="1"/>
    <col min="7941" max="7941" width="18" style="71" customWidth="1"/>
    <col min="7942" max="7942" width="27.7265625" style="71" customWidth="1"/>
    <col min="7943" max="7943" width="28.81640625" style="71" bestFit="1" customWidth="1"/>
    <col min="7944" max="7944" width="3" style="71" customWidth="1"/>
    <col min="7945" max="7945" width="23.453125" style="71" customWidth="1"/>
    <col min="7946" max="7946" width="8.81640625" style="71"/>
    <col min="7947" max="7947" width="17.81640625" style="71" bestFit="1" customWidth="1"/>
    <col min="7948" max="8192" width="8.81640625" style="71"/>
    <col min="8193" max="8193" width="7.26953125" style="71" customWidth="1"/>
    <col min="8194" max="8194" width="2.26953125" style="71" customWidth="1"/>
    <col min="8195" max="8195" width="6.26953125" style="71" customWidth="1"/>
    <col min="8196" max="8196" width="33.453125" style="71" customWidth="1"/>
    <col min="8197" max="8197" width="18" style="71" customWidth="1"/>
    <col min="8198" max="8198" width="27.7265625" style="71" customWidth="1"/>
    <col min="8199" max="8199" width="28.81640625" style="71" bestFit="1" customWidth="1"/>
    <col min="8200" max="8200" width="3" style="71" customWidth="1"/>
    <col min="8201" max="8201" width="23.453125" style="71" customWidth="1"/>
    <col min="8202" max="8202" width="8.81640625" style="71"/>
    <col min="8203" max="8203" width="17.81640625" style="71" bestFit="1" customWidth="1"/>
    <col min="8204" max="8448" width="8.81640625" style="71"/>
    <col min="8449" max="8449" width="7.26953125" style="71" customWidth="1"/>
    <col min="8450" max="8450" width="2.26953125" style="71" customWidth="1"/>
    <col min="8451" max="8451" width="6.26953125" style="71" customWidth="1"/>
    <col min="8452" max="8452" width="33.453125" style="71" customWidth="1"/>
    <col min="8453" max="8453" width="18" style="71" customWidth="1"/>
    <col min="8454" max="8454" width="27.7265625" style="71" customWidth="1"/>
    <col min="8455" max="8455" width="28.81640625" style="71" bestFit="1" customWidth="1"/>
    <col min="8456" max="8456" width="3" style="71" customWidth="1"/>
    <col min="8457" max="8457" width="23.453125" style="71" customWidth="1"/>
    <col min="8458" max="8458" width="8.81640625" style="71"/>
    <col min="8459" max="8459" width="17.81640625" style="71" bestFit="1" customWidth="1"/>
    <col min="8460" max="8704" width="8.81640625" style="71"/>
    <col min="8705" max="8705" width="7.26953125" style="71" customWidth="1"/>
    <col min="8706" max="8706" width="2.26953125" style="71" customWidth="1"/>
    <col min="8707" max="8707" width="6.26953125" style="71" customWidth="1"/>
    <col min="8708" max="8708" width="33.453125" style="71" customWidth="1"/>
    <col min="8709" max="8709" width="18" style="71" customWidth="1"/>
    <col min="8710" max="8710" width="27.7265625" style="71" customWidth="1"/>
    <col min="8711" max="8711" width="28.81640625" style="71" bestFit="1" customWidth="1"/>
    <col min="8712" max="8712" width="3" style="71" customWidth="1"/>
    <col min="8713" max="8713" width="23.453125" style="71" customWidth="1"/>
    <col min="8714" max="8714" width="8.81640625" style="71"/>
    <col min="8715" max="8715" width="17.81640625" style="71" bestFit="1" customWidth="1"/>
    <col min="8716" max="8960" width="8.81640625" style="71"/>
    <col min="8961" max="8961" width="7.26953125" style="71" customWidth="1"/>
    <col min="8962" max="8962" width="2.26953125" style="71" customWidth="1"/>
    <col min="8963" max="8963" width="6.26953125" style="71" customWidth="1"/>
    <col min="8964" max="8964" width="33.453125" style="71" customWidth="1"/>
    <col min="8965" max="8965" width="18" style="71" customWidth="1"/>
    <col min="8966" max="8966" width="27.7265625" style="71" customWidth="1"/>
    <col min="8967" max="8967" width="28.81640625" style="71" bestFit="1" customWidth="1"/>
    <col min="8968" max="8968" width="3" style="71" customWidth="1"/>
    <col min="8969" max="8969" width="23.453125" style="71" customWidth="1"/>
    <col min="8970" max="8970" width="8.81640625" style="71"/>
    <col min="8971" max="8971" width="17.81640625" style="71" bestFit="1" customWidth="1"/>
    <col min="8972" max="9216" width="8.81640625" style="71"/>
    <col min="9217" max="9217" width="7.26953125" style="71" customWidth="1"/>
    <col min="9218" max="9218" width="2.26953125" style="71" customWidth="1"/>
    <col min="9219" max="9219" width="6.26953125" style="71" customWidth="1"/>
    <col min="9220" max="9220" width="33.453125" style="71" customWidth="1"/>
    <col min="9221" max="9221" width="18" style="71" customWidth="1"/>
    <col min="9222" max="9222" width="27.7265625" style="71" customWidth="1"/>
    <col min="9223" max="9223" width="28.81640625" style="71" bestFit="1" customWidth="1"/>
    <col min="9224" max="9224" width="3" style="71" customWidth="1"/>
    <col min="9225" max="9225" width="23.453125" style="71" customWidth="1"/>
    <col min="9226" max="9226" width="8.81640625" style="71"/>
    <col min="9227" max="9227" width="17.81640625" style="71" bestFit="1" customWidth="1"/>
    <col min="9228" max="9472" width="8.81640625" style="71"/>
    <col min="9473" max="9473" width="7.26953125" style="71" customWidth="1"/>
    <col min="9474" max="9474" width="2.26953125" style="71" customWidth="1"/>
    <col min="9475" max="9475" width="6.26953125" style="71" customWidth="1"/>
    <col min="9476" max="9476" width="33.453125" style="71" customWidth="1"/>
    <col min="9477" max="9477" width="18" style="71" customWidth="1"/>
    <col min="9478" max="9478" width="27.7265625" style="71" customWidth="1"/>
    <col min="9479" max="9479" width="28.81640625" style="71" bestFit="1" customWidth="1"/>
    <col min="9480" max="9480" width="3" style="71" customWidth="1"/>
    <col min="9481" max="9481" width="23.453125" style="71" customWidth="1"/>
    <col min="9482" max="9482" width="8.81640625" style="71"/>
    <col min="9483" max="9483" width="17.81640625" style="71" bestFit="1" customWidth="1"/>
    <col min="9484" max="9728" width="8.81640625" style="71"/>
    <col min="9729" max="9729" width="7.26953125" style="71" customWidth="1"/>
    <col min="9730" max="9730" width="2.26953125" style="71" customWidth="1"/>
    <col min="9731" max="9731" width="6.26953125" style="71" customWidth="1"/>
    <col min="9732" max="9732" width="33.453125" style="71" customWidth="1"/>
    <col min="9733" max="9733" width="18" style="71" customWidth="1"/>
    <col min="9734" max="9734" width="27.7265625" style="71" customWidth="1"/>
    <col min="9735" max="9735" width="28.81640625" style="71" bestFit="1" customWidth="1"/>
    <col min="9736" max="9736" width="3" style="71" customWidth="1"/>
    <col min="9737" max="9737" width="23.453125" style="71" customWidth="1"/>
    <col min="9738" max="9738" width="8.81640625" style="71"/>
    <col min="9739" max="9739" width="17.81640625" style="71" bestFit="1" customWidth="1"/>
    <col min="9740" max="9984" width="8.81640625" style="71"/>
    <col min="9985" max="9985" width="7.26953125" style="71" customWidth="1"/>
    <col min="9986" max="9986" width="2.26953125" style="71" customWidth="1"/>
    <col min="9987" max="9987" width="6.26953125" style="71" customWidth="1"/>
    <col min="9988" max="9988" width="33.453125" style="71" customWidth="1"/>
    <col min="9989" max="9989" width="18" style="71" customWidth="1"/>
    <col min="9990" max="9990" width="27.7265625" style="71" customWidth="1"/>
    <col min="9991" max="9991" width="28.81640625" style="71" bestFit="1" customWidth="1"/>
    <col min="9992" max="9992" width="3" style="71" customWidth="1"/>
    <col min="9993" max="9993" width="23.453125" style="71" customWidth="1"/>
    <col min="9994" max="9994" width="8.81640625" style="71"/>
    <col min="9995" max="9995" width="17.81640625" style="71" bestFit="1" customWidth="1"/>
    <col min="9996" max="10240" width="8.81640625" style="71"/>
    <col min="10241" max="10241" width="7.26953125" style="71" customWidth="1"/>
    <col min="10242" max="10242" width="2.26953125" style="71" customWidth="1"/>
    <col min="10243" max="10243" width="6.26953125" style="71" customWidth="1"/>
    <col min="10244" max="10244" width="33.453125" style="71" customWidth="1"/>
    <col min="10245" max="10245" width="18" style="71" customWidth="1"/>
    <col min="10246" max="10246" width="27.7265625" style="71" customWidth="1"/>
    <col min="10247" max="10247" width="28.81640625" style="71" bestFit="1" customWidth="1"/>
    <col min="10248" max="10248" width="3" style="71" customWidth="1"/>
    <col min="10249" max="10249" width="23.453125" style="71" customWidth="1"/>
    <col min="10250" max="10250" width="8.81640625" style="71"/>
    <col min="10251" max="10251" width="17.81640625" style="71" bestFit="1" customWidth="1"/>
    <col min="10252" max="10496" width="8.81640625" style="71"/>
    <col min="10497" max="10497" width="7.26953125" style="71" customWidth="1"/>
    <col min="10498" max="10498" width="2.26953125" style="71" customWidth="1"/>
    <col min="10499" max="10499" width="6.26953125" style="71" customWidth="1"/>
    <col min="10500" max="10500" width="33.453125" style="71" customWidth="1"/>
    <col min="10501" max="10501" width="18" style="71" customWidth="1"/>
    <col min="10502" max="10502" width="27.7265625" style="71" customWidth="1"/>
    <col min="10503" max="10503" width="28.81640625" style="71" bestFit="1" customWidth="1"/>
    <col min="10504" max="10504" width="3" style="71" customWidth="1"/>
    <col min="10505" max="10505" width="23.453125" style="71" customWidth="1"/>
    <col min="10506" max="10506" width="8.81640625" style="71"/>
    <col min="10507" max="10507" width="17.81640625" style="71" bestFit="1" customWidth="1"/>
    <col min="10508" max="10752" width="8.81640625" style="71"/>
    <col min="10753" max="10753" width="7.26953125" style="71" customWidth="1"/>
    <col min="10754" max="10754" width="2.26953125" style="71" customWidth="1"/>
    <col min="10755" max="10755" width="6.26953125" style="71" customWidth="1"/>
    <col min="10756" max="10756" width="33.453125" style="71" customWidth="1"/>
    <col min="10757" max="10757" width="18" style="71" customWidth="1"/>
    <col min="10758" max="10758" width="27.7265625" style="71" customWidth="1"/>
    <col min="10759" max="10759" width="28.81640625" style="71" bestFit="1" customWidth="1"/>
    <col min="10760" max="10760" width="3" style="71" customWidth="1"/>
    <col min="10761" max="10761" width="23.453125" style="71" customWidth="1"/>
    <col min="10762" max="10762" width="8.81640625" style="71"/>
    <col min="10763" max="10763" width="17.81640625" style="71" bestFit="1" customWidth="1"/>
    <col min="10764" max="11008" width="8.81640625" style="71"/>
    <col min="11009" max="11009" width="7.26953125" style="71" customWidth="1"/>
    <col min="11010" max="11010" width="2.26953125" style="71" customWidth="1"/>
    <col min="11011" max="11011" width="6.26953125" style="71" customWidth="1"/>
    <col min="11012" max="11012" width="33.453125" style="71" customWidth="1"/>
    <col min="11013" max="11013" width="18" style="71" customWidth="1"/>
    <col min="11014" max="11014" width="27.7265625" style="71" customWidth="1"/>
    <col min="11015" max="11015" width="28.81640625" style="71" bestFit="1" customWidth="1"/>
    <col min="11016" max="11016" width="3" style="71" customWidth="1"/>
    <col min="11017" max="11017" width="23.453125" style="71" customWidth="1"/>
    <col min="11018" max="11018" width="8.81640625" style="71"/>
    <col min="11019" max="11019" width="17.81640625" style="71" bestFit="1" customWidth="1"/>
    <col min="11020" max="11264" width="8.81640625" style="71"/>
    <col min="11265" max="11265" width="7.26953125" style="71" customWidth="1"/>
    <col min="11266" max="11266" width="2.26953125" style="71" customWidth="1"/>
    <col min="11267" max="11267" width="6.26953125" style="71" customWidth="1"/>
    <col min="11268" max="11268" width="33.453125" style="71" customWidth="1"/>
    <col min="11269" max="11269" width="18" style="71" customWidth="1"/>
    <col min="11270" max="11270" width="27.7265625" style="71" customWidth="1"/>
    <col min="11271" max="11271" width="28.81640625" style="71" bestFit="1" customWidth="1"/>
    <col min="11272" max="11272" width="3" style="71" customWidth="1"/>
    <col min="11273" max="11273" width="23.453125" style="71" customWidth="1"/>
    <col min="11274" max="11274" width="8.81640625" style="71"/>
    <col min="11275" max="11275" width="17.81640625" style="71" bestFit="1" customWidth="1"/>
    <col min="11276" max="11520" width="8.81640625" style="71"/>
    <col min="11521" max="11521" width="7.26953125" style="71" customWidth="1"/>
    <col min="11522" max="11522" width="2.26953125" style="71" customWidth="1"/>
    <col min="11523" max="11523" width="6.26953125" style="71" customWidth="1"/>
    <col min="11524" max="11524" width="33.453125" style="71" customWidth="1"/>
    <col min="11525" max="11525" width="18" style="71" customWidth="1"/>
    <col min="11526" max="11526" width="27.7265625" style="71" customWidth="1"/>
    <col min="11527" max="11527" width="28.81640625" style="71" bestFit="1" customWidth="1"/>
    <col min="11528" max="11528" width="3" style="71" customWidth="1"/>
    <col min="11529" max="11529" width="23.453125" style="71" customWidth="1"/>
    <col min="11530" max="11530" width="8.81640625" style="71"/>
    <col min="11531" max="11531" width="17.81640625" style="71" bestFit="1" customWidth="1"/>
    <col min="11532" max="11776" width="8.81640625" style="71"/>
    <col min="11777" max="11777" width="7.26953125" style="71" customWidth="1"/>
    <col min="11778" max="11778" width="2.26953125" style="71" customWidth="1"/>
    <col min="11779" max="11779" width="6.26953125" style="71" customWidth="1"/>
    <col min="11780" max="11780" width="33.453125" style="71" customWidth="1"/>
    <col min="11781" max="11781" width="18" style="71" customWidth="1"/>
    <col min="11782" max="11782" width="27.7265625" style="71" customWidth="1"/>
    <col min="11783" max="11783" width="28.81640625" style="71" bestFit="1" customWidth="1"/>
    <col min="11784" max="11784" width="3" style="71" customWidth="1"/>
    <col min="11785" max="11785" width="23.453125" style="71" customWidth="1"/>
    <col min="11786" max="11786" width="8.81640625" style="71"/>
    <col min="11787" max="11787" width="17.81640625" style="71" bestFit="1" customWidth="1"/>
    <col min="11788" max="12032" width="8.81640625" style="71"/>
    <col min="12033" max="12033" width="7.26953125" style="71" customWidth="1"/>
    <col min="12034" max="12034" width="2.26953125" style="71" customWidth="1"/>
    <col min="12035" max="12035" width="6.26953125" style="71" customWidth="1"/>
    <col min="12036" max="12036" width="33.453125" style="71" customWidth="1"/>
    <col min="12037" max="12037" width="18" style="71" customWidth="1"/>
    <col min="12038" max="12038" width="27.7265625" style="71" customWidth="1"/>
    <col min="12039" max="12039" width="28.81640625" style="71" bestFit="1" customWidth="1"/>
    <col min="12040" max="12040" width="3" style="71" customWidth="1"/>
    <col min="12041" max="12041" width="23.453125" style="71" customWidth="1"/>
    <col min="12042" max="12042" width="8.81640625" style="71"/>
    <col min="12043" max="12043" width="17.81640625" style="71" bestFit="1" customWidth="1"/>
    <col min="12044" max="12288" width="8.81640625" style="71"/>
    <col min="12289" max="12289" width="7.26953125" style="71" customWidth="1"/>
    <col min="12290" max="12290" width="2.26953125" style="71" customWidth="1"/>
    <col min="12291" max="12291" width="6.26953125" style="71" customWidth="1"/>
    <col min="12292" max="12292" width="33.453125" style="71" customWidth="1"/>
    <col min="12293" max="12293" width="18" style="71" customWidth="1"/>
    <col min="12294" max="12294" width="27.7265625" style="71" customWidth="1"/>
    <col min="12295" max="12295" width="28.81640625" style="71" bestFit="1" customWidth="1"/>
    <col min="12296" max="12296" width="3" style="71" customWidth="1"/>
    <col min="12297" max="12297" width="23.453125" style="71" customWidth="1"/>
    <col min="12298" max="12298" width="8.81640625" style="71"/>
    <col min="12299" max="12299" width="17.81640625" style="71" bestFit="1" customWidth="1"/>
    <col min="12300" max="12544" width="8.81640625" style="71"/>
    <col min="12545" max="12545" width="7.26953125" style="71" customWidth="1"/>
    <col min="12546" max="12546" width="2.26953125" style="71" customWidth="1"/>
    <col min="12547" max="12547" width="6.26953125" style="71" customWidth="1"/>
    <col min="12548" max="12548" width="33.453125" style="71" customWidth="1"/>
    <col min="12549" max="12549" width="18" style="71" customWidth="1"/>
    <col min="12550" max="12550" width="27.7265625" style="71" customWidth="1"/>
    <col min="12551" max="12551" width="28.81640625" style="71" bestFit="1" customWidth="1"/>
    <col min="12552" max="12552" width="3" style="71" customWidth="1"/>
    <col min="12553" max="12553" width="23.453125" style="71" customWidth="1"/>
    <col min="12554" max="12554" width="8.81640625" style="71"/>
    <col min="12555" max="12555" width="17.81640625" style="71" bestFit="1" customWidth="1"/>
    <col min="12556" max="12800" width="8.81640625" style="71"/>
    <col min="12801" max="12801" width="7.26953125" style="71" customWidth="1"/>
    <col min="12802" max="12802" width="2.26953125" style="71" customWidth="1"/>
    <col min="12803" max="12803" width="6.26953125" style="71" customWidth="1"/>
    <col min="12804" max="12804" width="33.453125" style="71" customWidth="1"/>
    <col min="12805" max="12805" width="18" style="71" customWidth="1"/>
    <col min="12806" max="12806" width="27.7265625" style="71" customWidth="1"/>
    <col min="12807" max="12807" width="28.81640625" style="71" bestFit="1" customWidth="1"/>
    <col min="12808" max="12808" width="3" style="71" customWidth="1"/>
    <col min="12809" max="12809" width="23.453125" style="71" customWidth="1"/>
    <col min="12810" max="12810" width="8.81640625" style="71"/>
    <col min="12811" max="12811" width="17.81640625" style="71" bestFit="1" customWidth="1"/>
    <col min="12812" max="13056" width="8.81640625" style="71"/>
    <col min="13057" max="13057" width="7.26953125" style="71" customWidth="1"/>
    <col min="13058" max="13058" width="2.26953125" style="71" customWidth="1"/>
    <col min="13059" max="13059" width="6.26953125" style="71" customWidth="1"/>
    <col min="13060" max="13060" width="33.453125" style="71" customWidth="1"/>
    <col min="13061" max="13061" width="18" style="71" customWidth="1"/>
    <col min="13062" max="13062" width="27.7265625" style="71" customWidth="1"/>
    <col min="13063" max="13063" width="28.81640625" style="71" bestFit="1" customWidth="1"/>
    <col min="13064" max="13064" width="3" style="71" customWidth="1"/>
    <col min="13065" max="13065" width="23.453125" style="71" customWidth="1"/>
    <col min="13066" max="13066" width="8.81640625" style="71"/>
    <col min="13067" max="13067" width="17.81640625" style="71" bestFit="1" customWidth="1"/>
    <col min="13068" max="13312" width="8.81640625" style="71"/>
    <col min="13313" max="13313" width="7.26953125" style="71" customWidth="1"/>
    <col min="13314" max="13314" width="2.26953125" style="71" customWidth="1"/>
    <col min="13315" max="13315" width="6.26953125" style="71" customWidth="1"/>
    <col min="13316" max="13316" width="33.453125" style="71" customWidth="1"/>
    <col min="13317" max="13317" width="18" style="71" customWidth="1"/>
    <col min="13318" max="13318" width="27.7265625" style="71" customWidth="1"/>
    <col min="13319" max="13319" width="28.81640625" style="71" bestFit="1" customWidth="1"/>
    <col min="13320" max="13320" width="3" style="71" customWidth="1"/>
    <col min="13321" max="13321" width="23.453125" style="71" customWidth="1"/>
    <col min="13322" max="13322" width="8.81640625" style="71"/>
    <col min="13323" max="13323" width="17.81640625" style="71" bestFit="1" customWidth="1"/>
    <col min="13324" max="13568" width="8.81640625" style="71"/>
    <col min="13569" max="13569" width="7.26953125" style="71" customWidth="1"/>
    <col min="13570" max="13570" width="2.26953125" style="71" customWidth="1"/>
    <col min="13571" max="13571" width="6.26953125" style="71" customWidth="1"/>
    <col min="13572" max="13572" width="33.453125" style="71" customWidth="1"/>
    <col min="13573" max="13573" width="18" style="71" customWidth="1"/>
    <col min="13574" max="13574" width="27.7265625" style="71" customWidth="1"/>
    <col min="13575" max="13575" width="28.81640625" style="71" bestFit="1" customWidth="1"/>
    <col min="13576" max="13576" width="3" style="71" customWidth="1"/>
    <col min="13577" max="13577" width="23.453125" style="71" customWidth="1"/>
    <col min="13578" max="13578" width="8.81640625" style="71"/>
    <col min="13579" max="13579" width="17.81640625" style="71" bestFit="1" customWidth="1"/>
    <col min="13580" max="13824" width="8.81640625" style="71"/>
    <col min="13825" max="13825" width="7.26953125" style="71" customWidth="1"/>
    <col min="13826" max="13826" width="2.26953125" style="71" customWidth="1"/>
    <col min="13827" max="13827" width="6.26953125" style="71" customWidth="1"/>
    <col min="13828" max="13828" width="33.453125" style="71" customWidth="1"/>
    <col min="13829" max="13829" width="18" style="71" customWidth="1"/>
    <col min="13830" max="13830" width="27.7265625" style="71" customWidth="1"/>
    <col min="13831" max="13831" width="28.81640625" style="71" bestFit="1" customWidth="1"/>
    <col min="13832" max="13832" width="3" style="71" customWidth="1"/>
    <col min="13833" max="13833" width="23.453125" style="71" customWidth="1"/>
    <col min="13834" max="13834" width="8.81640625" style="71"/>
    <col min="13835" max="13835" width="17.81640625" style="71" bestFit="1" customWidth="1"/>
    <col min="13836" max="14080" width="8.81640625" style="71"/>
    <col min="14081" max="14081" width="7.26953125" style="71" customWidth="1"/>
    <col min="14082" max="14082" width="2.26953125" style="71" customWidth="1"/>
    <col min="14083" max="14083" width="6.26953125" style="71" customWidth="1"/>
    <col min="14084" max="14084" width="33.453125" style="71" customWidth="1"/>
    <col min="14085" max="14085" width="18" style="71" customWidth="1"/>
    <col min="14086" max="14086" width="27.7265625" style="71" customWidth="1"/>
    <col min="14087" max="14087" width="28.81640625" style="71" bestFit="1" customWidth="1"/>
    <col min="14088" max="14088" width="3" style="71" customWidth="1"/>
    <col min="14089" max="14089" width="23.453125" style="71" customWidth="1"/>
    <col min="14090" max="14090" width="8.81640625" style="71"/>
    <col min="14091" max="14091" width="17.81640625" style="71" bestFit="1" customWidth="1"/>
    <col min="14092" max="14336" width="8.81640625" style="71"/>
    <col min="14337" max="14337" width="7.26953125" style="71" customWidth="1"/>
    <col min="14338" max="14338" width="2.26953125" style="71" customWidth="1"/>
    <col min="14339" max="14339" width="6.26953125" style="71" customWidth="1"/>
    <col min="14340" max="14340" width="33.453125" style="71" customWidth="1"/>
    <col min="14341" max="14341" width="18" style="71" customWidth="1"/>
    <col min="14342" max="14342" width="27.7265625" style="71" customWidth="1"/>
    <col min="14343" max="14343" width="28.81640625" style="71" bestFit="1" customWidth="1"/>
    <col min="14344" max="14344" width="3" style="71" customWidth="1"/>
    <col min="14345" max="14345" width="23.453125" style="71" customWidth="1"/>
    <col min="14346" max="14346" width="8.81640625" style="71"/>
    <col min="14347" max="14347" width="17.81640625" style="71" bestFit="1" customWidth="1"/>
    <col min="14348" max="14592" width="8.81640625" style="71"/>
    <col min="14593" max="14593" width="7.26953125" style="71" customWidth="1"/>
    <col min="14594" max="14594" width="2.26953125" style="71" customWidth="1"/>
    <col min="14595" max="14595" width="6.26953125" style="71" customWidth="1"/>
    <col min="14596" max="14596" width="33.453125" style="71" customWidth="1"/>
    <col min="14597" max="14597" width="18" style="71" customWidth="1"/>
    <col min="14598" max="14598" width="27.7265625" style="71" customWidth="1"/>
    <col min="14599" max="14599" width="28.81640625" style="71" bestFit="1" customWidth="1"/>
    <col min="14600" max="14600" width="3" style="71" customWidth="1"/>
    <col min="14601" max="14601" width="23.453125" style="71" customWidth="1"/>
    <col min="14602" max="14602" width="8.81640625" style="71"/>
    <col min="14603" max="14603" width="17.81640625" style="71" bestFit="1" customWidth="1"/>
    <col min="14604" max="14848" width="8.81640625" style="71"/>
    <col min="14849" max="14849" width="7.26953125" style="71" customWidth="1"/>
    <col min="14850" max="14850" width="2.26953125" style="71" customWidth="1"/>
    <col min="14851" max="14851" width="6.26953125" style="71" customWidth="1"/>
    <col min="14852" max="14852" width="33.453125" style="71" customWidth="1"/>
    <col min="14853" max="14853" width="18" style="71" customWidth="1"/>
    <col min="14854" max="14854" width="27.7265625" style="71" customWidth="1"/>
    <col min="14855" max="14855" width="28.81640625" style="71" bestFit="1" customWidth="1"/>
    <col min="14856" max="14856" width="3" style="71" customWidth="1"/>
    <col min="14857" max="14857" width="23.453125" style="71" customWidth="1"/>
    <col min="14858" max="14858" width="8.81640625" style="71"/>
    <col min="14859" max="14859" width="17.81640625" style="71" bestFit="1" customWidth="1"/>
    <col min="14860" max="15104" width="8.81640625" style="71"/>
    <col min="15105" max="15105" width="7.26953125" style="71" customWidth="1"/>
    <col min="15106" max="15106" width="2.26953125" style="71" customWidth="1"/>
    <col min="15107" max="15107" width="6.26953125" style="71" customWidth="1"/>
    <col min="15108" max="15108" width="33.453125" style="71" customWidth="1"/>
    <col min="15109" max="15109" width="18" style="71" customWidth="1"/>
    <col min="15110" max="15110" width="27.7265625" style="71" customWidth="1"/>
    <col min="15111" max="15111" width="28.81640625" style="71" bestFit="1" customWidth="1"/>
    <col min="15112" max="15112" width="3" style="71" customWidth="1"/>
    <col min="15113" max="15113" width="23.453125" style="71" customWidth="1"/>
    <col min="15114" max="15114" width="8.81640625" style="71"/>
    <col min="15115" max="15115" width="17.81640625" style="71" bestFit="1" customWidth="1"/>
    <col min="15116" max="15360" width="8.81640625" style="71"/>
    <col min="15361" max="15361" width="7.26953125" style="71" customWidth="1"/>
    <col min="15362" max="15362" width="2.26953125" style="71" customWidth="1"/>
    <col min="15363" max="15363" width="6.26953125" style="71" customWidth="1"/>
    <col min="15364" max="15364" width="33.453125" style="71" customWidth="1"/>
    <col min="15365" max="15365" width="18" style="71" customWidth="1"/>
    <col min="15366" max="15366" width="27.7265625" style="71" customWidth="1"/>
    <col min="15367" max="15367" width="28.81640625" style="71" bestFit="1" customWidth="1"/>
    <col min="15368" max="15368" width="3" style="71" customWidth="1"/>
    <col min="15369" max="15369" width="23.453125" style="71" customWidth="1"/>
    <col min="15370" max="15370" width="8.81640625" style="71"/>
    <col min="15371" max="15371" width="17.81640625" style="71" bestFit="1" customWidth="1"/>
    <col min="15372" max="15616" width="8.81640625" style="71"/>
    <col min="15617" max="15617" width="7.26953125" style="71" customWidth="1"/>
    <col min="15618" max="15618" width="2.26953125" style="71" customWidth="1"/>
    <col min="15619" max="15619" width="6.26953125" style="71" customWidth="1"/>
    <col min="15620" max="15620" width="33.453125" style="71" customWidth="1"/>
    <col min="15621" max="15621" width="18" style="71" customWidth="1"/>
    <col min="15622" max="15622" width="27.7265625" style="71" customWidth="1"/>
    <col min="15623" max="15623" width="28.81640625" style="71" bestFit="1" customWidth="1"/>
    <col min="15624" max="15624" width="3" style="71" customWidth="1"/>
    <col min="15625" max="15625" width="23.453125" style="71" customWidth="1"/>
    <col min="15626" max="15626" width="8.81640625" style="71"/>
    <col min="15627" max="15627" width="17.81640625" style="71" bestFit="1" customWidth="1"/>
    <col min="15628" max="15872" width="8.81640625" style="71"/>
    <col min="15873" max="15873" width="7.26953125" style="71" customWidth="1"/>
    <col min="15874" max="15874" width="2.26953125" style="71" customWidth="1"/>
    <col min="15875" max="15875" width="6.26953125" style="71" customWidth="1"/>
    <col min="15876" max="15876" width="33.453125" style="71" customWidth="1"/>
    <col min="15877" max="15877" width="18" style="71" customWidth="1"/>
    <col min="15878" max="15878" width="27.7265625" style="71" customWidth="1"/>
    <col min="15879" max="15879" width="28.81640625" style="71" bestFit="1" customWidth="1"/>
    <col min="15880" max="15880" width="3" style="71" customWidth="1"/>
    <col min="15881" max="15881" width="23.453125" style="71" customWidth="1"/>
    <col min="15882" max="15882" width="8.81640625" style="71"/>
    <col min="15883" max="15883" width="17.81640625" style="71" bestFit="1" customWidth="1"/>
    <col min="15884" max="16128" width="8.81640625" style="71"/>
    <col min="16129" max="16129" width="7.26953125" style="71" customWidth="1"/>
    <col min="16130" max="16130" width="2.26953125" style="71" customWidth="1"/>
    <col min="16131" max="16131" width="6.26953125" style="71" customWidth="1"/>
    <col min="16132" max="16132" width="33.453125" style="71" customWidth="1"/>
    <col min="16133" max="16133" width="18" style="71" customWidth="1"/>
    <col min="16134" max="16134" width="27.7265625" style="71" customWidth="1"/>
    <col min="16135" max="16135" width="28.81640625" style="71" bestFit="1" customWidth="1"/>
    <col min="16136" max="16136" width="3" style="71" customWidth="1"/>
    <col min="16137" max="16137" width="23.453125" style="71" customWidth="1"/>
    <col min="16138" max="16138" width="8.81640625" style="71"/>
    <col min="16139" max="16139" width="17.81640625" style="71" bestFit="1" customWidth="1"/>
    <col min="16140" max="16384" width="8.81640625" style="71"/>
  </cols>
  <sheetData>
    <row r="1" spans="1:11" ht="17.55" customHeight="1">
      <c r="A1" s="985"/>
      <c r="B1" s="986"/>
      <c r="C1" s="986"/>
      <c r="D1" s="986"/>
      <c r="E1" s="986"/>
      <c r="F1" s="986"/>
      <c r="G1" s="986"/>
      <c r="H1" s="986"/>
      <c r="I1" s="986"/>
      <c r="K1" s="3" t="s">
        <v>451</v>
      </c>
    </row>
    <row r="2" spans="1:11" ht="18">
      <c r="A2" s="987" t="s">
        <v>419</v>
      </c>
      <c r="B2" s="987"/>
      <c r="C2" s="987"/>
      <c r="D2" s="987"/>
      <c r="E2" s="987"/>
      <c r="F2" s="987"/>
      <c r="G2" s="987"/>
      <c r="H2" s="987"/>
      <c r="I2" s="987"/>
      <c r="J2" s="72"/>
      <c r="K2" s="3" t="s">
        <v>144</v>
      </c>
    </row>
    <row r="3" spans="1:11" ht="18">
      <c r="A3" s="130"/>
      <c r="B3" s="130"/>
      <c r="C3" s="130"/>
      <c r="D3" s="130"/>
      <c r="E3" s="130"/>
      <c r="F3" s="130"/>
      <c r="G3" s="130"/>
      <c r="H3" s="130"/>
      <c r="I3" s="130"/>
      <c r="K3" s="3" t="str">
        <f>'Attachment 1 - Sched 1A'!J3</f>
        <v>For the 12 months ended 12/31/2022</v>
      </c>
    </row>
    <row r="5" spans="1:11" s="73" customFormat="1" ht="15">
      <c r="A5" s="74"/>
      <c r="B5" s="74"/>
    </row>
    <row r="6" spans="1:11" s="73" customFormat="1" ht="15">
      <c r="A6" s="74"/>
      <c r="B6" s="74"/>
      <c r="G6" s="296"/>
    </row>
    <row r="7" spans="1:11" s="73" customFormat="1" ht="15">
      <c r="A7" s="74"/>
      <c r="B7" s="74"/>
    </row>
    <row r="8" spans="1:11" s="73" customFormat="1" ht="15.6">
      <c r="A8" s="77" t="s">
        <v>229</v>
      </c>
      <c r="B8" s="78"/>
      <c r="C8" s="78"/>
      <c r="D8" s="78"/>
      <c r="E8" s="78"/>
      <c r="F8" s="78"/>
      <c r="G8" s="78"/>
      <c r="H8" s="78"/>
      <c r="I8" s="78"/>
    </row>
    <row r="9" spans="1:11" s="73" customFormat="1" ht="15.6">
      <c r="A9" s="79"/>
      <c r="G9" s="80" t="s">
        <v>230</v>
      </c>
    </row>
    <row r="10" spans="1:11" s="73" customFormat="1" ht="15">
      <c r="I10" s="81"/>
    </row>
    <row r="11" spans="1:11" s="73" customFormat="1" ht="15">
      <c r="A11" s="74">
        <v>1</v>
      </c>
      <c r="C11" s="82" t="s">
        <v>401</v>
      </c>
      <c r="D11" s="82"/>
      <c r="F11" s="82"/>
      <c r="G11" s="83" t="s">
        <v>878</v>
      </c>
      <c r="H11" s="82"/>
      <c r="I11" s="76">
        <f ca="1">'Attachment H-4A JCP&amp;L '!I89</f>
        <v>1056189061.8977348</v>
      </c>
    </row>
    <row r="12" spans="1:11" s="73" customFormat="1" ht="15">
      <c r="G12" s="82"/>
      <c r="I12" s="81"/>
    </row>
    <row r="13" spans="1:11" s="73" customFormat="1" ht="15">
      <c r="A13" s="74"/>
      <c r="B13" s="82"/>
      <c r="C13" s="82"/>
      <c r="D13" s="82"/>
      <c r="F13" s="75"/>
      <c r="G13" s="82"/>
      <c r="H13" s="75"/>
      <c r="I13" s="75"/>
    </row>
    <row r="14" spans="1:11" s="73" customFormat="1" ht="15.6">
      <c r="A14" s="74">
        <f>A11+1</f>
        <v>2</v>
      </c>
      <c r="B14" s="82"/>
      <c r="C14" s="82" t="s">
        <v>402</v>
      </c>
      <c r="D14" s="84"/>
      <c r="F14" s="73" t="s">
        <v>403</v>
      </c>
      <c r="G14" s="83" t="s">
        <v>929</v>
      </c>
      <c r="H14" s="75"/>
      <c r="I14" s="75">
        <f>'Attachment H-4A JCP&amp;L '!I197</f>
        <v>0</v>
      </c>
    </row>
    <row r="15" spans="1:11" s="73" customFormat="1" ht="15">
      <c r="A15" s="74"/>
      <c r="B15" s="82"/>
      <c r="C15" s="82"/>
      <c r="D15" s="82"/>
      <c r="G15" s="83"/>
      <c r="H15" s="75"/>
      <c r="I15" s="75"/>
    </row>
    <row r="16" spans="1:11" s="73" customFormat="1" ht="15.6">
      <c r="A16" s="74"/>
      <c r="B16" s="82"/>
      <c r="C16" s="82" t="s">
        <v>62</v>
      </c>
      <c r="D16" s="85"/>
      <c r="G16" s="83"/>
      <c r="H16" s="75"/>
      <c r="I16" s="75"/>
    </row>
    <row r="17" spans="1:9" s="73" customFormat="1" ht="15">
      <c r="A17" s="74">
        <f>A14+1</f>
        <v>3</v>
      </c>
      <c r="B17" s="82"/>
      <c r="C17" s="82"/>
      <c r="D17" s="82" t="s">
        <v>404</v>
      </c>
      <c r="E17" s="75"/>
      <c r="F17" s="75"/>
      <c r="G17" s="83" t="s">
        <v>429</v>
      </c>
      <c r="H17" s="75"/>
      <c r="I17" s="75">
        <f>'Attachment 8 - Cap Structure'!E23</f>
        <v>3954015798.4276929</v>
      </c>
    </row>
    <row r="18" spans="1:9" s="73" customFormat="1" ht="15">
      <c r="A18" s="74">
        <f>A17+1</f>
        <v>4</v>
      </c>
      <c r="B18" s="82"/>
      <c r="C18" s="82"/>
      <c r="D18" s="82" t="s">
        <v>235</v>
      </c>
      <c r="E18" s="75"/>
      <c r="F18" s="75"/>
      <c r="G18" s="83" t="s">
        <v>430</v>
      </c>
      <c r="H18" s="75"/>
      <c r="I18" s="75">
        <f>'Attachment 8 - Cap Structure'!F23</f>
        <v>0</v>
      </c>
    </row>
    <row r="19" spans="1:9" s="73" customFormat="1" ht="15">
      <c r="A19" s="74">
        <f>A18+1</f>
        <v>5</v>
      </c>
      <c r="B19" s="82"/>
      <c r="C19" s="82"/>
      <c r="D19" s="82" t="s">
        <v>236</v>
      </c>
      <c r="E19" s="75"/>
      <c r="F19" s="75"/>
      <c r="G19" s="83" t="s">
        <v>433</v>
      </c>
      <c r="H19" s="75"/>
      <c r="I19" s="75">
        <f>'Attachment 8 - Cap Structure'!H23</f>
        <v>-5426728.2307692254</v>
      </c>
    </row>
    <row r="20" spans="1:9" s="73" customFormat="1" ht="15">
      <c r="A20" s="74">
        <f>+A19+1</f>
        <v>6</v>
      </c>
      <c r="B20" s="82"/>
      <c r="C20" s="82"/>
      <c r="D20" s="82" t="s">
        <v>428</v>
      </c>
      <c r="E20" s="86"/>
      <c r="F20" s="86"/>
      <c r="G20" s="87" t="s">
        <v>432</v>
      </c>
      <c r="H20" s="86"/>
      <c r="I20" s="86">
        <f>'Attachment 8 - Cap Structure'!G23+'Attachment 8 - Cap Structure'!I23</f>
        <v>1810894540.3846154</v>
      </c>
    </row>
    <row r="21" spans="1:9" s="73" customFormat="1" ht="15">
      <c r="A21" s="74">
        <f>A20+1</f>
        <v>7</v>
      </c>
      <c r="B21" s="82"/>
      <c r="C21" s="82"/>
      <c r="D21" s="82" t="s">
        <v>62</v>
      </c>
      <c r="E21" s="75"/>
      <c r="F21" s="75"/>
      <c r="G21" s="83" t="s">
        <v>431</v>
      </c>
      <c r="H21" s="75"/>
      <c r="I21" s="75">
        <f>'Attachment 8 - Cap Structure'!J23</f>
        <v>2148547986.2738466</v>
      </c>
    </row>
    <row r="22" spans="1:9" s="73" customFormat="1" ht="15">
      <c r="A22" s="74"/>
      <c r="B22" s="82"/>
      <c r="C22" s="82"/>
      <c r="D22" s="82"/>
      <c r="E22" s="75"/>
      <c r="F22" s="75"/>
      <c r="G22" s="83"/>
      <c r="H22" s="75"/>
      <c r="I22" s="75"/>
    </row>
    <row r="23" spans="1:9" s="73" customFormat="1" ht="15">
      <c r="A23" s="74"/>
      <c r="B23" s="82"/>
      <c r="C23" s="82"/>
      <c r="D23" s="82"/>
      <c r="E23" s="75"/>
      <c r="F23" s="75"/>
      <c r="G23" s="83"/>
      <c r="H23" s="75"/>
      <c r="I23" s="75"/>
    </row>
    <row r="24" spans="1:9" s="73" customFormat="1" ht="15.6">
      <c r="A24" s="74"/>
      <c r="B24" s="82"/>
      <c r="C24" s="82" t="s">
        <v>405</v>
      </c>
      <c r="D24" s="85"/>
      <c r="G24" s="83"/>
      <c r="I24" s="75"/>
    </row>
    <row r="25" spans="1:9" s="73" customFormat="1" ht="15">
      <c r="A25" s="74">
        <f>+A21+1</f>
        <v>8</v>
      </c>
      <c r="B25" s="82"/>
      <c r="C25" s="82"/>
      <c r="D25" s="82" t="s">
        <v>194</v>
      </c>
      <c r="G25" s="83" t="s">
        <v>930</v>
      </c>
      <c r="I25" s="75">
        <f>'Attachment H-4A JCP&amp;L '!D202</f>
        <v>2150000000</v>
      </c>
    </row>
    <row r="26" spans="1:9" s="73" customFormat="1" ht="15">
      <c r="A26" s="74">
        <f>A25+1</f>
        <v>9</v>
      </c>
      <c r="B26" s="82"/>
      <c r="C26" s="82"/>
      <c r="D26" s="82" t="s">
        <v>192</v>
      </c>
      <c r="G26" s="83" t="s">
        <v>931</v>
      </c>
      <c r="I26" s="75">
        <f>'Attachment H-4A JCP&amp;L '!D203</f>
        <v>0</v>
      </c>
    </row>
    <row r="27" spans="1:9" s="73" customFormat="1" ht="15">
      <c r="A27" s="74">
        <f t="shared" ref="A27:A28" si="0">A26+1</f>
        <v>10</v>
      </c>
      <c r="B27" s="82"/>
      <c r="C27" s="82"/>
      <c r="D27" s="82" t="s">
        <v>62</v>
      </c>
      <c r="G27" s="87" t="s">
        <v>932</v>
      </c>
      <c r="I27" s="75">
        <f>'Attachment H-4A JCP&amp;L '!D204</f>
        <v>2148547986.2738466</v>
      </c>
    </row>
    <row r="28" spans="1:9" s="73" customFormat="1" ht="15.6">
      <c r="A28" s="74">
        <f t="shared" si="0"/>
        <v>11</v>
      </c>
      <c r="B28" s="82"/>
      <c r="C28" s="82"/>
      <c r="D28" s="82" t="s">
        <v>406</v>
      </c>
      <c r="E28" s="88"/>
      <c r="F28" s="89"/>
      <c r="G28" s="83" t="s">
        <v>933</v>
      </c>
      <c r="H28" s="90"/>
      <c r="I28" s="90">
        <f>'Attachment H-4A JCP&amp;L '!D205</f>
        <v>4298547986.2738466</v>
      </c>
    </row>
    <row r="29" spans="1:9" s="73" customFormat="1" ht="15">
      <c r="A29" s="74"/>
      <c r="B29" s="82"/>
      <c r="C29" s="82"/>
      <c r="D29" s="82"/>
      <c r="G29" s="82"/>
      <c r="H29" s="75"/>
      <c r="I29" s="91"/>
    </row>
    <row r="30" spans="1:9" s="73" customFormat="1" ht="15">
      <c r="A30" s="74">
        <f>A28+1</f>
        <v>12</v>
      </c>
      <c r="B30" s="82"/>
      <c r="C30" s="82"/>
      <c r="D30" s="82" t="s">
        <v>407</v>
      </c>
      <c r="F30" s="82" t="s">
        <v>408</v>
      </c>
      <c r="G30" s="83" t="s">
        <v>934</v>
      </c>
      <c r="H30" s="75"/>
      <c r="I30" s="92">
        <f>'Attachment H-4A JCP&amp;L '!E202</f>
        <v>0.50016889583770963</v>
      </c>
    </row>
    <row r="31" spans="1:9" s="73" customFormat="1" ht="15">
      <c r="A31" s="74">
        <f>A30+1</f>
        <v>13</v>
      </c>
      <c r="B31" s="82"/>
      <c r="C31" s="82"/>
      <c r="D31" s="82" t="s">
        <v>409</v>
      </c>
      <c r="F31" s="82" t="s">
        <v>192</v>
      </c>
      <c r="G31" s="83" t="s">
        <v>935</v>
      </c>
      <c r="H31" s="75"/>
      <c r="I31" s="92">
        <f>'Attachment H-4A JCP&amp;L '!E203</f>
        <v>0</v>
      </c>
    </row>
    <row r="32" spans="1:9" s="73" customFormat="1" ht="15">
      <c r="A32" s="74">
        <f>A31+1</f>
        <v>14</v>
      </c>
      <c r="B32" s="82"/>
      <c r="C32" s="82"/>
      <c r="D32" s="82" t="s">
        <v>410</v>
      </c>
      <c r="F32" s="82" t="s">
        <v>62</v>
      </c>
      <c r="G32" s="83" t="s">
        <v>936</v>
      </c>
      <c r="H32" s="75"/>
      <c r="I32" s="92">
        <f>'Attachment H-4A JCP&amp;L '!E204</f>
        <v>0.49983110416229037</v>
      </c>
    </row>
    <row r="33" spans="1:11" s="73" customFormat="1" ht="15">
      <c r="A33" s="74"/>
      <c r="B33" s="82"/>
      <c r="C33" s="82"/>
      <c r="D33" s="82"/>
      <c r="F33" s="83"/>
      <c r="G33" s="82"/>
      <c r="H33" s="75"/>
      <c r="I33" s="91"/>
    </row>
    <row r="34" spans="1:11" s="73" customFormat="1" ht="15">
      <c r="A34" s="74">
        <f>A32+1</f>
        <v>15</v>
      </c>
      <c r="B34" s="82"/>
      <c r="C34" s="82"/>
      <c r="D34" s="82" t="s">
        <v>290</v>
      </c>
      <c r="F34" s="83" t="s">
        <v>408</v>
      </c>
      <c r="G34" s="83" t="s">
        <v>937</v>
      </c>
      <c r="H34" s="75"/>
      <c r="I34" s="93">
        <f>'Attachment H-4A JCP&amp;L '!G202</f>
        <v>4.58E-2</v>
      </c>
      <c r="K34" s="93"/>
    </row>
    <row r="35" spans="1:11" s="73" customFormat="1" ht="15">
      <c r="A35" s="74">
        <f>A34+1</f>
        <v>16</v>
      </c>
      <c r="B35" s="82"/>
      <c r="C35" s="82"/>
      <c r="D35" s="82" t="s">
        <v>411</v>
      </c>
      <c r="F35" s="83" t="s">
        <v>192</v>
      </c>
      <c r="G35" s="83" t="s">
        <v>938</v>
      </c>
      <c r="H35" s="75"/>
      <c r="I35" s="93">
        <f>'Attachment H-4A JCP&amp;L '!G203</f>
        <v>0</v>
      </c>
    </row>
    <row r="36" spans="1:11" s="73" customFormat="1" ht="15">
      <c r="A36" s="74">
        <f>A35+1</f>
        <v>17</v>
      </c>
      <c r="B36" s="82"/>
      <c r="C36" s="82"/>
      <c r="D36" s="82" t="s">
        <v>412</v>
      </c>
      <c r="F36" s="83" t="s">
        <v>62</v>
      </c>
      <c r="G36" s="594"/>
      <c r="H36" s="75"/>
      <c r="I36" s="306">
        <v>0.10199999999999999</v>
      </c>
      <c r="K36" s="93"/>
    </row>
    <row r="37" spans="1:11" s="73" customFormat="1" ht="15">
      <c r="A37" s="74"/>
      <c r="B37" s="82"/>
      <c r="C37" s="82"/>
      <c r="D37" s="82"/>
      <c r="F37" s="83"/>
      <c r="G37" s="82"/>
      <c r="H37" s="75"/>
    </row>
    <row r="38" spans="1:11" s="73" customFormat="1" ht="15">
      <c r="A38" s="74">
        <f>A36+1</f>
        <v>18</v>
      </c>
      <c r="B38" s="82"/>
      <c r="C38" s="82"/>
      <c r="D38" s="82" t="s">
        <v>413</v>
      </c>
      <c r="F38" s="82" t="s">
        <v>414</v>
      </c>
      <c r="G38" s="82" t="s">
        <v>252</v>
      </c>
      <c r="H38" s="94"/>
      <c r="I38" s="93">
        <f>I34*I30</f>
        <v>2.2907735429367099E-2</v>
      </c>
    </row>
    <row r="39" spans="1:11" s="73" customFormat="1" ht="15">
      <c r="A39" s="74">
        <f>A38+1</f>
        <v>19</v>
      </c>
      <c r="B39" s="82"/>
      <c r="C39" s="82"/>
      <c r="D39" s="82" t="s">
        <v>415</v>
      </c>
      <c r="F39" s="82" t="s">
        <v>192</v>
      </c>
      <c r="G39" s="82" t="s">
        <v>253</v>
      </c>
      <c r="H39" s="95"/>
      <c r="I39" s="93">
        <f>I35*I31</f>
        <v>0</v>
      </c>
    </row>
    <row r="40" spans="1:11" s="73" customFormat="1" ht="15">
      <c r="A40" s="74">
        <f>A39+1</f>
        <v>20</v>
      </c>
      <c r="B40" s="82"/>
      <c r="C40" s="82"/>
      <c r="D40" s="96" t="s">
        <v>416</v>
      </c>
      <c r="E40" s="97"/>
      <c r="F40" s="96" t="s">
        <v>62</v>
      </c>
      <c r="G40" s="96" t="s">
        <v>254</v>
      </c>
      <c r="H40" s="98"/>
      <c r="I40" s="99">
        <f>I36*I32</f>
        <v>5.0982772624553613E-2</v>
      </c>
    </row>
    <row r="41" spans="1:11" s="73" customFormat="1" ht="15.6">
      <c r="A41" s="74">
        <f>A40+1</f>
        <v>21</v>
      </c>
      <c r="B41" s="82"/>
      <c r="C41" s="82" t="s">
        <v>417</v>
      </c>
      <c r="D41" s="82"/>
      <c r="E41" s="100"/>
      <c r="F41" s="100"/>
      <c r="G41" s="82" t="str">
        <f>"(Sum Lines "&amp;A38&amp;" to "&amp;A40&amp;")"</f>
        <v>(Sum Lines 18 to 20)</v>
      </c>
      <c r="H41" s="101"/>
      <c r="I41" s="102">
        <f>SUM(I38:I40)</f>
        <v>7.3890508053920709E-2</v>
      </c>
    </row>
    <row r="42" spans="1:11" s="73" customFormat="1" ht="15.6">
      <c r="A42" s="80"/>
      <c r="B42" s="82"/>
      <c r="C42" s="82"/>
      <c r="D42" s="82"/>
      <c r="E42" s="100"/>
      <c r="F42" s="100"/>
      <c r="G42" s="85"/>
      <c r="H42" s="101"/>
      <c r="I42" s="102"/>
    </row>
    <row r="43" spans="1:11" s="73" customFormat="1" ht="16.2" thickBot="1">
      <c r="A43" s="74">
        <f>A41+1</f>
        <v>22</v>
      </c>
      <c r="B43" s="82"/>
      <c r="C43" s="82" t="s">
        <v>418</v>
      </c>
      <c r="D43" s="82"/>
      <c r="E43" s="103"/>
      <c r="F43" s="104"/>
      <c r="G43" s="105" t="str">
        <f>"(Line "&amp;A11&amp;" * Line "&amp;A41&amp;")"</f>
        <v>(Line 1 * Line 21)</v>
      </c>
      <c r="H43" s="106"/>
      <c r="I43" s="107">
        <f ca="1">+I41*I11</f>
        <v>78042346.384617522</v>
      </c>
    </row>
    <row r="44" spans="1:11" s="73" customFormat="1" ht="15.6" thickTop="1">
      <c r="A44" s="74"/>
      <c r="B44" s="74"/>
      <c r="C44" s="74"/>
      <c r="F44" s="74"/>
      <c r="G44" s="75"/>
      <c r="H44" s="75"/>
      <c r="I44" s="93"/>
    </row>
    <row r="45" spans="1:11" s="73" customFormat="1" ht="15.6">
      <c r="A45" s="108" t="s">
        <v>237</v>
      </c>
      <c r="B45" s="108"/>
      <c r="C45" s="109"/>
      <c r="D45" s="110"/>
      <c r="E45" s="78"/>
      <c r="F45" s="111"/>
      <c r="G45" s="78"/>
      <c r="H45" s="78"/>
      <c r="I45" s="112"/>
    </row>
    <row r="46" spans="1:11" s="73" customFormat="1" ht="15.6">
      <c r="A46" s="82"/>
      <c r="B46" s="82"/>
      <c r="C46" s="74"/>
      <c r="D46" s="100"/>
      <c r="F46" s="91"/>
      <c r="I46" s="113"/>
      <c r="K46" s="75"/>
    </row>
    <row r="47" spans="1:11" s="73" customFormat="1" ht="15.6">
      <c r="A47" s="74" t="s">
        <v>3</v>
      </c>
      <c r="B47" s="74"/>
      <c r="C47" s="114" t="s">
        <v>231</v>
      </c>
      <c r="F47" s="91"/>
      <c r="G47" s="75"/>
      <c r="H47" s="115"/>
    </row>
    <row r="48" spans="1:11" s="73" customFormat="1" ht="15">
      <c r="A48" s="74">
        <f>+A43+1</f>
        <v>23</v>
      </c>
      <c r="B48" s="74"/>
      <c r="C48" s="74"/>
      <c r="D48" s="158" t="s">
        <v>45</v>
      </c>
      <c r="F48" s="74"/>
      <c r="G48" s="83" t="s">
        <v>845</v>
      </c>
      <c r="H48" s="116"/>
      <c r="I48" s="117">
        <f>T</f>
        <v>0.28109999999999991</v>
      </c>
      <c r="J48" s="813"/>
    </row>
    <row r="49" spans="1:18" s="73" customFormat="1" ht="15.6">
      <c r="A49" s="74">
        <f>+A48+1</f>
        <v>24</v>
      </c>
      <c r="B49" s="74"/>
      <c r="C49" s="74"/>
      <c r="D49" s="159" t="s">
        <v>46</v>
      </c>
      <c r="E49" s="118"/>
      <c r="F49" s="74"/>
      <c r="G49" s="83" t="s">
        <v>243</v>
      </c>
      <c r="H49" s="116"/>
      <c r="I49" s="132">
        <f>(I48/(1-I48)*(1-I38/I41))</f>
        <v>0.2697908146870277</v>
      </c>
      <c r="K49" s="836"/>
      <c r="L49" s="836"/>
      <c r="M49" s="836"/>
      <c r="N49" s="836"/>
      <c r="O49" s="836"/>
      <c r="P49" s="836"/>
    </row>
    <row r="50" spans="1:18" s="73" customFormat="1" ht="15">
      <c r="A50" s="74"/>
      <c r="B50" s="74"/>
      <c r="C50" s="74"/>
      <c r="D50" s="160"/>
      <c r="E50" s="116"/>
      <c r="F50" s="74"/>
      <c r="G50" s="83"/>
      <c r="H50" s="116"/>
      <c r="I50" s="119"/>
    </row>
    <row r="51" spans="1:18" s="73" customFormat="1" ht="15">
      <c r="A51" s="74"/>
      <c r="B51" s="74"/>
      <c r="C51" s="74"/>
      <c r="D51" s="160"/>
      <c r="E51" s="120"/>
      <c r="F51" s="74"/>
      <c r="G51" s="83"/>
      <c r="H51" s="116"/>
      <c r="I51" s="117"/>
    </row>
    <row r="52" spans="1:18" s="73" customFormat="1" ht="15">
      <c r="A52" s="74">
        <v>25</v>
      </c>
      <c r="B52" s="74"/>
      <c r="C52" s="74"/>
      <c r="D52" s="158" t="s">
        <v>244</v>
      </c>
      <c r="E52" s="118"/>
      <c r="F52" s="74"/>
      <c r="G52" s="859"/>
      <c r="H52" s="116"/>
      <c r="I52" s="858">
        <f>1/(1-I48)</f>
        <v>1.3910140492418972</v>
      </c>
      <c r="K52" s="121"/>
    </row>
    <row r="53" spans="1:18" s="73" customFormat="1" ht="15">
      <c r="A53" s="74">
        <v>26</v>
      </c>
      <c r="B53" s="74"/>
      <c r="C53" s="74"/>
      <c r="D53" s="160" t="s">
        <v>213</v>
      </c>
      <c r="F53" s="122"/>
      <c r="G53" s="83" t="str">
        <f>"Attachment 15, line "&amp;'Attachment 15 - Income Taxes'!A25</f>
        <v>Attachment 15, line 17</v>
      </c>
      <c r="H53" s="115"/>
      <c r="I53" s="784">
        <f>'Attachment 15 - Income Taxes'!G25</f>
        <v>-131199</v>
      </c>
    </row>
    <row r="54" spans="1:18" s="73" customFormat="1" ht="15">
      <c r="A54" s="74">
        <v>27</v>
      </c>
      <c r="B54" s="74"/>
      <c r="C54" s="74"/>
      <c r="D54" s="160" t="s">
        <v>234</v>
      </c>
      <c r="F54" s="122"/>
      <c r="G54" s="83" t="str">
        <f>"Attachment 15, line "&amp;'Attachment 15 - Income Taxes'!A24</f>
        <v>Attachment 15, line 16</v>
      </c>
      <c r="H54" s="115"/>
      <c r="I54" s="784">
        <f>'Attachment 15 - Income Taxes'!E24</f>
        <v>74497.692351899983</v>
      </c>
    </row>
    <row r="55" spans="1:18" s="73" customFormat="1" ht="15">
      <c r="A55" s="74">
        <v>28</v>
      </c>
      <c r="B55" s="74"/>
      <c r="C55" s="74"/>
      <c r="D55" s="160" t="s">
        <v>241</v>
      </c>
      <c r="F55" s="122"/>
      <c r="G55" s="83" t="str">
        <f>"Attachment 15, line "&amp;'Attachment 15 - Income Taxes'!A26</f>
        <v>Attachment 15, line 18</v>
      </c>
      <c r="H55" s="115"/>
      <c r="I55" s="784">
        <f>'Attachment 15 - Income Taxes'!E26</f>
        <v>-1037995.5773416</v>
      </c>
    </row>
    <row r="56" spans="1:18" s="73" customFormat="1" ht="15">
      <c r="A56" s="74">
        <v>29</v>
      </c>
      <c r="B56" s="74"/>
      <c r="C56" s="74"/>
      <c r="D56" s="158" t="s">
        <v>238</v>
      </c>
      <c r="F56" s="122"/>
      <c r="G56" s="120" t="s">
        <v>256</v>
      </c>
      <c r="H56" s="115"/>
      <c r="I56" s="784">
        <f ca="1">I49*I43</f>
        <v>21055108.211193174</v>
      </c>
    </row>
    <row r="57" spans="1:18" s="73" customFormat="1" ht="15.6">
      <c r="A57" s="74">
        <v>30</v>
      </c>
      <c r="B57" s="74"/>
      <c r="C57" s="74"/>
      <c r="D57" s="159" t="s">
        <v>239</v>
      </c>
      <c r="F57" s="122"/>
      <c r="G57" s="83" t="s">
        <v>1016</v>
      </c>
      <c r="H57" s="115"/>
      <c r="I57" s="784">
        <f>I52*I53*GP</f>
        <v>-44772.895788232287</v>
      </c>
      <c r="J57" s="813"/>
      <c r="M57" s="836"/>
      <c r="N57" s="836"/>
      <c r="O57" s="836"/>
      <c r="P57" s="836"/>
      <c r="Q57" s="836"/>
      <c r="R57" s="836"/>
    </row>
    <row r="58" spans="1:18" s="73" customFormat="1" ht="15">
      <c r="A58" s="74">
        <v>31</v>
      </c>
      <c r="B58" s="74"/>
      <c r="C58" s="74"/>
      <c r="D58" s="159" t="s">
        <v>240</v>
      </c>
      <c r="F58" s="122"/>
      <c r="G58" s="83" t="s">
        <v>1017</v>
      </c>
      <c r="H58" s="115"/>
      <c r="I58" s="784">
        <f>I52*I54</f>
        <v>103627.33669759351</v>
      </c>
    </row>
    <row r="59" spans="1:18" s="73" customFormat="1" ht="15.6" thickBot="1">
      <c r="A59" s="74">
        <v>32</v>
      </c>
      <c r="B59" s="74"/>
      <c r="C59" s="74"/>
      <c r="D59" s="159" t="s">
        <v>242</v>
      </c>
      <c r="F59" s="122"/>
      <c r="G59" s="83" t="s">
        <v>1018</v>
      </c>
      <c r="H59" s="115"/>
      <c r="I59" s="857">
        <f>I52*I55</f>
        <v>-1443866.4311331199</v>
      </c>
    </row>
    <row r="60" spans="1:18" s="73" customFormat="1" ht="15">
      <c r="A60" s="74">
        <v>33</v>
      </c>
      <c r="B60" s="74"/>
      <c r="C60" s="74"/>
      <c r="D60" s="158" t="s">
        <v>47</v>
      </c>
      <c r="F60" s="122"/>
      <c r="G60" s="120" t="s">
        <v>255</v>
      </c>
      <c r="H60" s="115"/>
      <c r="I60" s="784">
        <f ca="1">SUM(I56:I59)</f>
        <v>19670096.220969412</v>
      </c>
    </row>
    <row r="61" spans="1:18" s="73" customFormat="1" ht="15">
      <c r="A61" s="74"/>
      <c r="B61" s="74"/>
      <c r="C61" s="74"/>
      <c r="F61" s="122"/>
      <c r="G61" s="120"/>
      <c r="H61" s="115"/>
      <c r="I61" s="123"/>
    </row>
    <row r="62" spans="1:18" s="73" customFormat="1" ht="15.6">
      <c r="A62" s="108" t="s">
        <v>246</v>
      </c>
      <c r="B62" s="108"/>
      <c r="C62" s="109"/>
      <c r="D62" s="110"/>
      <c r="E62" s="78"/>
      <c r="F62" s="111"/>
      <c r="G62" s="78"/>
      <c r="H62" s="78"/>
      <c r="I62" s="112"/>
    </row>
    <row r="63" spans="1:18" s="73" customFormat="1" ht="15.6">
      <c r="A63" s="153"/>
      <c r="B63" s="153"/>
      <c r="C63" s="154"/>
      <c r="D63" s="155"/>
      <c r="F63" s="156"/>
      <c r="I63" s="157"/>
    </row>
    <row r="64" spans="1:18" s="73" customFormat="1" ht="15">
      <c r="A64" s="74">
        <v>34</v>
      </c>
      <c r="B64" s="74"/>
      <c r="C64" s="74"/>
      <c r="D64" s="73" t="s">
        <v>444</v>
      </c>
      <c r="F64" s="122"/>
      <c r="G64" s="120" t="s">
        <v>257</v>
      </c>
      <c r="H64" s="115"/>
      <c r="I64" s="131">
        <f ca="1">I43+I60</f>
        <v>97712442.605586931</v>
      </c>
    </row>
    <row r="65" spans="1:11" s="73" customFormat="1" ht="15">
      <c r="A65" s="74"/>
      <c r="B65" s="74"/>
      <c r="C65" s="74"/>
      <c r="F65" s="122"/>
      <c r="G65" s="120"/>
      <c r="H65" s="115"/>
      <c r="I65" s="131"/>
    </row>
    <row r="66" spans="1:11" s="73" customFormat="1" ht="15">
      <c r="A66" s="74">
        <v>35</v>
      </c>
      <c r="B66" s="74"/>
      <c r="C66" s="74"/>
      <c r="D66" s="73" t="s">
        <v>259</v>
      </c>
      <c r="F66" s="122"/>
      <c r="G66" s="120" t="s">
        <v>879</v>
      </c>
      <c r="H66" s="115"/>
      <c r="I66" s="131">
        <f ca="1">'Attachment H-4A JCP&amp;L '!I137</f>
        <v>78042346.384617522</v>
      </c>
    </row>
    <row r="67" spans="1:11" s="73" customFormat="1" ht="15">
      <c r="A67" s="74">
        <v>36</v>
      </c>
      <c r="B67" s="74"/>
      <c r="C67" s="74"/>
      <c r="D67" s="73" t="s">
        <v>260</v>
      </c>
      <c r="F67" s="122"/>
      <c r="G67" s="120" t="s">
        <v>785</v>
      </c>
      <c r="H67" s="115"/>
      <c r="I67" s="131">
        <f ca="1">'Attachment H-4A JCP&amp;L '!I135</f>
        <v>19670096.220969416</v>
      </c>
    </row>
    <row r="68" spans="1:11" s="73" customFormat="1" ht="15">
      <c r="A68" s="74">
        <v>37</v>
      </c>
      <c r="B68" s="74"/>
      <c r="C68" s="74"/>
      <c r="D68" s="73" t="s">
        <v>443</v>
      </c>
      <c r="F68" s="122"/>
      <c r="G68" s="120" t="s">
        <v>279</v>
      </c>
      <c r="H68" s="115"/>
      <c r="I68" s="131">
        <f ca="1">I66+I67</f>
        <v>97712442.605586946</v>
      </c>
    </row>
    <row r="69" spans="1:11" s="73" customFormat="1" ht="15">
      <c r="A69" s="74">
        <v>38</v>
      </c>
      <c r="B69" s="74"/>
      <c r="C69" s="74"/>
      <c r="D69" s="73" t="s">
        <v>444</v>
      </c>
      <c r="F69" s="122"/>
      <c r="G69" s="120" t="s">
        <v>258</v>
      </c>
      <c r="H69" s="115"/>
      <c r="I69" s="131">
        <f ca="1">I64</f>
        <v>97712442.605586931</v>
      </c>
    </row>
    <row r="70" spans="1:11" s="73" customFormat="1" ht="15">
      <c r="A70" s="74">
        <v>39</v>
      </c>
      <c r="B70" s="74"/>
      <c r="C70" s="74"/>
      <c r="D70" s="73" t="s">
        <v>445</v>
      </c>
      <c r="F70" s="122"/>
      <c r="G70" s="120" t="s">
        <v>280</v>
      </c>
      <c r="H70" s="115"/>
      <c r="I70" s="131">
        <f ca="1">I69-I68</f>
        <v>0</v>
      </c>
      <c r="J70" s="161"/>
    </row>
    <row r="71" spans="1:11" s="73" customFormat="1" ht="15">
      <c r="A71" s="74">
        <v>40</v>
      </c>
      <c r="B71" s="74"/>
      <c r="C71" s="74"/>
      <c r="D71" s="73" t="s">
        <v>262</v>
      </c>
      <c r="F71" s="122"/>
      <c r="G71" s="120" t="s">
        <v>261</v>
      </c>
      <c r="H71" s="115"/>
      <c r="I71" s="131">
        <f ca="1">I11</f>
        <v>1056189061.8977348</v>
      </c>
    </row>
    <row r="72" spans="1:11" s="73" customFormat="1" ht="15">
      <c r="A72" s="74">
        <v>41</v>
      </c>
      <c r="B72" s="74"/>
      <c r="C72" s="74"/>
      <c r="D72" s="73" t="s">
        <v>446</v>
      </c>
      <c r="F72" s="122"/>
      <c r="G72" s="120" t="s">
        <v>281</v>
      </c>
      <c r="H72" s="115"/>
      <c r="I72" s="152">
        <f ca="1">I70/I71</f>
        <v>0</v>
      </c>
      <c r="J72" s="161"/>
    </row>
    <row r="73" spans="1:11" s="73" customFormat="1" ht="15">
      <c r="A73" s="74"/>
      <c r="B73" s="74"/>
      <c r="C73" s="74"/>
      <c r="F73" s="122"/>
      <c r="G73" s="120"/>
      <c r="H73" s="115"/>
      <c r="I73" s="131"/>
    </row>
    <row r="74" spans="1:11" s="73" customFormat="1" ht="15">
      <c r="A74" s="74"/>
      <c r="B74" s="74"/>
      <c r="C74" s="74"/>
      <c r="F74" s="122"/>
      <c r="G74" s="120"/>
      <c r="H74" s="115"/>
      <c r="I74" s="123"/>
    </row>
    <row r="75" spans="1:11" s="73" customFormat="1" ht="15.6">
      <c r="A75" s="74" t="s">
        <v>183</v>
      </c>
      <c r="B75" s="74"/>
      <c r="C75" s="74"/>
      <c r="F75" s="122"/>
      <c r="G75" s="120"/>
      <c r="H75" s="115"/>
      <c r="I75" s="124"/>
    </row>
    <row r="76" spans="1:11" s="73" customFormat="1" ht="31.5" customHeight="1">
      <c r="A76" s="74"/>
      <c r="B76" s="988" t="s">
        <v>497</v>
      </c>
      <c r="C76" s="988"/>
      <c r="D76" s="988"/>
      <c r="E76" s="988"/>
      <c r="F76" s="988"/>
      <c r="G76" s="988"/>
      <c r="H76" s="988"/>
      <c r="I76" s="988"/>
      <c r="J76" s="988"/>
      <c r="K76" s="988"/>
    </row>
    <row r="77" spans="1:11" s="73" customFormat="1" ht="15.6">
      <c r="A77" s="74"/>
      <c r="B77" s="74"/>
      <c r="C77" s="74"/>
      <c r="D77" s="82"/>
      <c r="F77" s="74"/>
      <c r="G77" s="75"/>
      <c r="H77" s="125"/>
      <c r="I77" s="126"/>
    </row>
    <row r="78" spans="1:11" s="73" customFormat="1" ht="16.2" thickBot="1">
      <c r="A78" s="74"/>
      <c r="B78" s="74"/>
      <c r="C78" s="133"/>
      <c r="D78" s="133"/>
      <c r="E78" s="134"/>
      <c r="F78" s="135"/>
      <c r="G78" s="136"/>
      <c r="H78" s="137"/>
      <c r="I78" s="138"/>
      <c r="K78" s="75" t="s">
        <v>3</v>
      </c>
    </row>
    <row r="79" spans="1:11" s="73" customFormat="1" ht="15.6" thickTop="1">
      <c r="A79" s="74"/>
      <c r="B79" s="74"/>
      <c r="C79" s="74"/>
      <c r="D79" s="120"/>
      <c r="F79" s="74"/>
      <c r="G79" s="127"/>
      <c r="H79" s="128"/>
      <c r="I79" s="129"/>
    </row>
    <row r="80" spans="1:11" s="73" customFormat="1" ht="15">
      <c r="A80" s="71"/>
      <c r="B80" s="71"/>
      <c r="C80" s="71"/>
      <c r="D80" s="71"/>
      <c r="E80" s="71"/>
      <c r="F80" s="71"/>
      <c r="G80" s="71"/>
      <c r="H80" s="71"/>
      <c r="I80" s="71"/>
      <c r="J80" s="71"/>
      <c r="K80" s="71"/>
    </row>
  </sheetData>
  <mergeCells count="3">
    <mergeCell ref="A1:I1"/>
    <mergeCell ref="A2:I2"/>
    <mergeCell ref="B76:K76"/>
  </mergeCells>
  <printOptions horizontalCentered="1"/>
  <pageMargins left="0.5" right="0.33" top="0.5" bottom="0.5" header="0.5" footer="0.5"/>
  <pageSetup scale="43"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dimension ref="A1:L68"/>
  <sheetViews>
    <sheetView view="pageBreakPreview" zoomScale="80" zoomScaleNormal="85" zoomScaleSheetLayoutView="80" workbookViewId="0">
      <selection activeCell="I39" sqref="I39"/>
    </sheetView>
  </sheetViews>
  <sheetFormatPr defaultColWidth="8.81640625" defaultRowHeight="20.100000000000001" customHeight="1"/>
  <cols>
    <col min="1" max="1" width="2.7265625" style="37" customWidth="1"/>
    <col min="2" max="2" width="10.7265625" style="33" customWidth="1"/>
    <col min="3" max="3" width="8.81640625" style="33"/>
    <col min="4" max="4" width="2.7265625" style="33" customWidth="1"/>
    <col min="5" max="5" width="14.54296875" style="37" customWidth="1"/>
    <col min="6" max="6" width="16.26953125" style="37" customWidth="1"/>
    <col min="7" max="8" width="12.7265625" style="37" customWidth="1"/>
    <col min="9" max="9" width="15" style="37" bestFit="1" customWidth="1"/>
    <col min="10" max="10" width="5.7265625" style="37" customWidth="1"/>
    <col min="11" max="11" width="15.08984375" style="33" bestFit="1" customWidth="1"/>
    <col min="12" max="12" width="23" style="33" customWidth="1"/>
    <col min="13" max="13" width="15" style="33" bestFit="1" customWidth="1"/>
    <col min="14" max="14" width="15.54296875" style="33" bestFit="1" customWidth="1"/>
    <col min="15" max="16384" width="8.81640625" style="33"/>
  </cols>
  <sheetData>
    <row r="1" spans="1:11" ht="20.100000000000001" customHeight="1">
      <c r="A1" s="42"/>
      <c r="B1" s="42"/>
      <c r="C1" s="42"/>
      <c r="D1" s="42"/>
      <c r="E1" s="42"/>
      <c r="F1" s="33"/>
      <c r="K1" s="3" t="s">
        <v>452</v>
      </c>
    </row>
    <row r="2" spans="1:11" ht="20.100000000000001" customHeight="1">
      <c r="A2" s="42"/>
      <c r="B2" s="42"/>
      <c r="C2" s="42"/>
      <c r="D2" s="42"/>
      <c r="E2" s="42"/>
      <c r="K2" s="3" t="s">
        <v>144</v>
      </c>
    </row>
    <row r="3" spans="1:11" ht="20.100000000000001" customHeight="1">
      <c r="A3" s="42"/>
      <c r="B3" s="42"/>
      <c r="C3" s="42"/>
      <c r="D3" s="42"/>
      <c r="E3" s="42"/>
      <c r="G3" s="39" t="s">
        <v>420</v>
      </c>
      <c r="K3" s="3" t="str">
        <f>'Attachment 1 - Sched 1A'!$J$3</f>
        <v>For the 12 months ended 12/31/2022</v>
      </c>
    </row>
    <row r="4" spans="1:11" ht="20.100000000000001" customHeight="1">
      <c r="A4" s="42"/>
      <c r="B4" s="42"/>
      <c r="C4" s="42"/>
      <c r="D4" s="42"/>
      <c r="E4" s="42"/>
    </row>
    <row r="5" spans="1:11" ht="20.100000000000001" customHeight="1">
      <c r="E5" s="289" t="s">
        <v>392</v>
      </c>
      <c r="F5" s="289" t="s">
        <v>393</v>
      </c>
      <c r="G5" s="289" t="s">
        <v>394</v>
      </c>
      <c r="H5" s="289" t="s">
        <v>395</v>
      </c>
      <c r="I5" s="289" t="s">
        <v>396</v>
      </c>
      <c r="J5" s="290"/>
      <c r="K5" s="289" t="s">
        <v>397</v>
      </c>
    </row>
    <row r="6" spans="1:11" ht="20.100000000000001" customHeight="1">
      <c r="E6" s="39" t="s">
        <v>174</v>
      </c>
      <c r="F6" s="39" t="s">
        <v>22</v>
      </c>
      <c r="G6" s="39" t="s">
        <v>175</v>
      </c>
      <c r="H6" s="39" t="s">
        <v>177</v>
      </c>
      <c r="I6" s="39" t="s">
        <v>176</v>
      </c>
      <c r="J6" s="33"/>
      <c r="K6" s="39" t="s">
        <v>9</v>
      </c>
    </row>
    <row r="7" spans="1:11" ht="20.100000000000001" customHeight="1">
      <c r="D7" s="36"/>
      <c r="E7" s="38"/>
      <c r="F7" s="38"/>
      <c r="G7" s="38"/>
      <c r="H7" s="38"/>
      <c r="I7" s="38"/>
      <c r="J7" s="33"/>
    </row>
    <row r="8" spans="1:11" ht="20.100000000000001" customHeight="1">
      <c r="A8" s="41">
        <v>1</v>
      </c>
      <c r="B8" s="33" t="s">
        <v>157</v>
      </c>
      <c r="C8" s="35">
        <v>2021</v>
      </c>
      <c r="E8" s="62">
        <f>E27-E48</f>
        <v>0</v>
      </c>
      <c r="F8" s="62">
        <f t="shared" ref="F8:I8" si="0">F27-F48</f>
        <v>1812902913.8200004</v>
      </c>
      <c r="G8" s="62">
        <f t="shared" si="0"/>
        <v>5299897725.8000002</v>
      </c>
      <c r="H8" s="62">
        <f t="shared" si="0"/>
        <v>145104470</v>
      </c>
      <c r="I8" s="62">
        <f t="shared" si="0"/>
        <v>262040179.81000006</v>
      </c>
      <c r="J8" s="307"/>
      <c r="K8" s="307">
        <f t="shared" ref="K8:K20" si="1">SUM(E8:I8)</f>
        <v>7519945289.4300013</v>
      </c>
    </row>
    <row r="9" spans="1:11" ht="20.100000000000001" customHeight="1">
      <c r="A9" s="41">
        <v>2</v>
      </c>
      <c r="B9" s="33" t="s">
        <v>158</v>
      </c>
      <c r="C9" s="34">
        <f>C8+1</f>
        <v>2022</v>
      </c>
      <c r="E9" s="62">
        <f t="shared" ref="E9" si="2">E28-E49</f>
        <v>0</v>
      </c>
      <c r="F9" s="62">
        <f t="shared" ref="F9:F20" si="3">F28-F49</f>
        <v>1804014460.27021</v>
      </c>
      <c r="G9" s="62">
        <f t="shared" ref="G9:I9" si="4">G28-G49</f>
        <v>5317172752.3964577</v>
      </c>
      <c r="H9" s="62">
        <f t="shared" si="4"/>
        <v>146130803.88999999</v>
      </c>
      <c r="I9" s="62">
        <f t="shared" si="4"/>
        <v>264352686.28000006</v>
      </c>
      <c r="J9" s="307"/>
      <c r="K9" s="307">
        <f t="shared" si="1"/>
        <v>7531670702.836668</v>
      </c>
    </row>
    <row r="10" spans="1:11" ht="20.100000000000001" customHeight="1">
      <c r="A10" s="41">
        <v>3</v>
      </c>
      <c r="B10" s="33" t="s">
        <v>159</v>
      </c>
      <c r="C10" s="34">
        <f>C9</f>
        <v>2022</v>
      </c>
      <c r="E10" s="62">
        <f t="shared" ref="E10" si="5">E29-E50</f>
        <v>0</v>
      </c>
      <c r="F10" s="62">
        <f t="shared" si="3"/>
        <v>1800413882.6202099</v>
      </c>
      <c r="G10" s="62">
        <f t="shared" ref="G10:I10" si="6">G29-G50</f>
        <v>5334183528.1864576</v>
      </c>
      <c r="H10" s="62">
        <f t="shared" si="6"/>
        <v>146282028.97</v>
      </c>
      <c r="I10" s="62">
        <f t="shared" si="6"/>
        <v>265163114.05000007</v>
      </c>
      <c r="J10" s="307"/>
      <c r="K10" s="307">
        <f t="shared" si="1"/>
        <v>7546042553.8266678</v>
      </c>
    </row>
    <row r="11" spans="1:11" ht="20.100000000000001" customHeight="1">
      <c r="A11" s="41">
        <v>4</v>
      </c>
      <c r="B11" s="33" t="s">
        <v>160</v>
      </c>
      <c r="C11" s="34">
        <f t="shared" ref="C11:C20" si="7">C10</f>
        <v>2022</v>
      </c>
      <c r="E11" s="62">
        <f t="shared" ref="E11" si="8">E30-E51</f>
        <v>0</v>
      </c>
      <c r="F11" s="62">
        <f t="shared" si="3"/>
        <v>1814243589.1102097</v>
      </c>
      <c r="G11" s="62">
        <f t="shared" ref="G11:I11" si="9">G30-G51</f>
        <v>5335629106.6764574</v>
      </c>
      <c r="H11" s="62">
        <f t="shared" si="9"/>
        <v>147349404.34</v>
      </c>
      <c r="I11" s="62">
        <f t="shared" si="9"/>
        <v>270542075.22000009</v>
      </c>
      <c r="J11" s="307"/>
      <c r="K11" s="307">
        <f t="shared" si="1"/>
        <v>7567764175.3466673</v>
      </c>
    </row>
    <row r="12" spans="1:11" ht="20.100000000000001" customHeight="1">
      <c r="A12" s="41">
        <v>5</v>
      </c>
      <c r="B12" s="33" t="s">
        <v>161</v>
      </c>
      <c r="C12" s="34">
        <f t="shared" si="7"/>
        <v>2022</v>
      </c>
      <c r="E12" s="62">
        <f t="shared" ref="E12" si="10">E31-E52</f>
        <v>0</v>
      </c>
      <c r="F12" s="62">
        <f t="shared" si="3"/>
        <v>1821537440.3802099</v>
      </c>
      <c r="G12" s="62">
        <f t="shared" ref="G12:I12" si="11">G31-G52</f>
        <v>5351805869.116457</v>
      </c>
      <c r="H12" s="62">
        <f t="shared" si="11"/>
        <v>147312861.75999999</v>
      </c>
      <c r="I12" s="62">
        <f t="shared" si="11"/>
        <v>272420428.03000009</v>
      </c>
      <c r="J12" s="307"/>
      <c r="K12" s="307">
        <f t="shared" si="1"/>
        <v>7593076599.2866669</v>
      </c>
    </row>
    <row r="13" spans="1:11" ht="20.100000000000001" customHeight="1">
      <c r="A13" s="41">
        <v>6</v>
      </c>
      <c r="B13" s="33" t="s">
        <v>162</v>
      </c>
      <c r="C13" s="34">
        <f t="shared" si="7"/>
        <v>2022</v>
      </c>
      <c r="E13" s="62">
        <f t="shared" ref="E13" si="12">E32-E53</f>
        <v>0</v>
      </c>
      <c r="F13" s="62">
        <f t="shared" si="3"/>
        <v>1840935007.3202102</v>
      </c>
      <c r="G13" s="62">
        <f t="shared" ref="G13:I13" si="13">G32-G53</f>
        <v>5368013299.4764566</v>
      </c>
      <c r="H13" s="62">
        <f t="shared" si="13"/>
        <v>147346968.72999999</v>
      </c>
      <c r="I13" s="62">
        <f t="shared" si="13"/>
        <v>271909253.7100001</v>
      </c>
      <c r="J13" s="307"/>
      <c r="K13" s="307">
        <f t="shared" si="1"/>
        <v>7628204529.2366667</v>
      </c>
    </row>
    <row r="14" spans="1:11" ht="20.100000000000001" customHeight="1">
      <c r="A14" s="41">
        <v>7</v>
      </c>
      <c r="B14" s="33" t="s">
        <v>173</v>
      </c>
      <c r="C14" s="34">
        <f t="shared" si="7"/>
        <v>2022</v>
      </c>
      <c r="E14" s="62">
        <f t="shared" ref="E14" si="14">E33-E54</f>
        <v>0</v>
      </c>
      <c r="F14" s="62">
        <f t="shared" si="3"/>
        <v>1847060831.239285</v>
      </c>
      <c r="G14" s="62">
        <f t="shared" ref="G14:I14" si="15">G33-G54</f>
        <v>5373633324.9873819</v>
      </c>
      <c r="H14" s="62">
        <f t="shared" si="15"/>
        <v>147583263.38</v>
      </c>
      <c r="I14" s="62">
        <f t="shared" si="15"/>
        <v>270749998.98000008</v>
      </c>
      <c r="J14" s="307"/>
      <c r="K14" s="307">
        <f t="shared" si="1"/>
        <v>7639027418.586668</v>
      </c>
    </row>
    <row r="15" spans="1:11" ht="20.100000000000001" customHeight="1">
      <c r="A15" s="41">
        <v>8</v>
      </c>
      <c r="B15" s="33" t="s">
        <v>163</v>
      </c>
      <c r="C15" s="34">
        <f t="shared" si="7"/>
        <v>2022</v>
      </c>
      <c r="E15" s="62">
        <f t="shared" ref="E15" si="16">E34-E55</f>
        <v>0</v>
      </c>
      <c r="F15" s="62">
        <f t="shared" si="3"/>
        <v>1845356537.529285</v>
      </c>
      <c r="G15" s="62">
        <f t="shared" ref="G15:I15" si="17">G34-G55</f>
        <v>5387197487.4473801</v>
      </c>
      <c r="H15" s="62">
        <f t="shared" si="17"/>
        <v>147911598.62</v>
      </c>
      <c r="I15" s="62">
        <f t="shared" si="17"/>
        <v>266260405.68000007</v>
      </c>
      <c r="J15" s="307"/>
      <c r="K15" s="307">
        <f t="shared" si="1"/>
        <v>7646726029.2766657</v>
      </c>
    </row>
    <row r="16" spans="1:11" ht="20.100000000000001" customHeight="1">
      <c r="A16" s="41">
        <v>9</v>
      </c>
      <c r="B16" s="33" t="s">
        <v>164</v>
      </c>
      <c r="C16" s="34">
        <f t="shared" si="7"/>
        <v>2022</v>
      </c>
      <c r="E16" s="62">
        <f t="shared" ref="E16" si="18">E35-E56</f>
        <v>0</v>
      </c>
      <c r="F16" s="62">
        <f t="shared" si="3"/>
        <v>1850151234.239285</v>
      </c>
      <c r="G16" s="62">
        <f t="shared" ref="G16:I16" si="19">G35-G56</f>
        <v>5401069418.8373795</v>
      </c>
      <c r="H16" s="62">
        <f t="shared" si="19"/>
        <v>148092206.94</v>
      </c>
      <c r="I16" s="62">
        <f t="shared" si="19"/>
        <v>267083887.48000008</v>
      </c>
      <c r="J16" s="307"/>
      <c r="K16" s="307">
        <f t="shared" si="1"/>
        <v>7666396747.496664</v>
      </c>
    </row>
    <row r="17" spans="1:12" ht="20.100000000000001" customHeight="1">
      <c r="A17" s="41">
        <v>10</v>
      </c>
      <c r="B17" s="33" t="s">
        <v>165</v>
      </c>
      <c r="C17" s="34">
        <f t="shared" si="7"/>
        <v>2022</v>
      </c>
      <c r="E17" s="62">
        <f t="shared" ref="E17" si="20">E36-E57</f>
        <v>0</v>
      </c>
      <c r="F17" s="62">
        <f t="shared" si="3"/>
        <v>1854352542.8170009</v>
      </c>
      <c r="G17" s="62">
        <f t="shared" ref="G17:I17" si="21">G36-G57</f>
        <v>5414242288.0996637</v>
      </c>
      <c r="H17" s="62">
        <f t="shared" si="21"/>
        <v>161839941.34999999</v>
      </c>
      <c r="I17" s="62">
        <f t="shared" si="21"/>
        <v>266926078.20000011</v>
      </c>
      <c r="J17" s="307"/>
      <c r="K17" s="307">
        <f t="shared" si="1"/>
        <v>7697360850.4666643</v>
      </c>
    </row>
    <row r="18" spans="1:12" ht="20.100000000000001" customHeight="1">
      <c r="A18" s="41">
        <v>11</v>
      </c>
      <c r="B18" s="33" t="s">
        <v>167</v>
      </c>
      <c r="C18" s="34">
        <f t="shared" si="7"/>
        <v>2022</v>
      </c>
      <c r="E18" s="62">
        <f t="shared" ref="E18" si="22">E37-E58</f>
        <v>0</v>
      </c>
      <c r="F18" s="62">
        <f t="shared" si="3"/>
        <v>1857363520.8792849</v>
      </c>
      <c r="G18" s="62">
        <f t="shared" ref="G18:I18" si="23">G37-G58</f>
        <v>5428229238.9773798</v>
      </c>
      <c r="H18" s="62">
        <f t="shared" si="23"/>
        <v>161559916.90000001</v>
      </c>
      <c r="I18" s="62">
        <f t="shared" si="23"/>
        <v>270012903.01000011</v>
      </c>
      <c r="J18" s="307"/>
      <c r="K18" s="307">
        <f t="shared" si="1"/>
        <v>7717165579.7666645</v>
      </c>
    </row>
    <row r="19" spans="1:12" ht="20.100000000000001" customHeight="1">
      <c r="A19" s="41">
        <v>12</v>
      </c>
      <c r="B19" s="33" t="s">
        <v>166</v>
      </c>
      <c r="C19" s="34">
        <f t="shared" si="7"/>
        <v>2022</v>
      </c>
      <c r="E19" s="62">
        <f t="shared" ref="E19" si="24">E38-E59</f>
        <v>0</v>
      </c>
      <c r="F19" s="62">
        <f t="shared" si="3"/>
        <v>1861751913.9692848</v>
      </c>
      <c r="G19" s="62">
        <f t="shared" ref="G19:I19" si="25">G38-G59</f>
        <v>5443044717.9673796</v>
      </c>
      <c r="H19" s="62">
        <f t="shared" si="25"/>
        <v>162799140.86000001</v>
      </c>
      <c r="I19" s="62">
        <f t="shared" si="25"/>
        <v>270655496.76000011</v>
      </c>
      <c r="J19" s="307"/>
      <c r="K19" s="307">
        <f t="shared" si="1"/>
        <v>7738251269.5566645</v>
      </c>
    </row>
    <row r="20" spans="1:12" ht="20.100000000000001" customHeight="1">
      <c r="A20" s="41">
        <v>13</v>
      </c>
      <c r="B20" s="33" t="s">
        <v>157</v>
      </c>
      <c r="C20" s="34">
        <f t="shared" si="7"/>
        <v>2022</v>
      </c>
      <c r="E20" s="62">
        <f t="shared" ref="E20" si="26">E39-E60</f>
        <v>0</v>
      </c>
      <c r="F20" s="62">
        <f t="shared" si="3"/>
        <v>1883319930.3055315</v>
      </c>
      <c r="G20" s="62">
        <f t="shared" ref="G20:I20" si="27">G39-G60</f>
        <v>5455208626.1111317</v>
      </c>
      <c r="H20" s="62">
        <f t="shared" si="27"/>
        <v>177118443</v>
      </c>
      <c r="I20" s="62">
        <f t="shared" si="27"/>
        <v>272020996.61000013</v>
      </c>
      <c r="J20" s="307"/>
      <c r="K20" s="307">
        <f t="shared" si="1"/>
        <v>7787667996.0266628</v>
      </c>
    </row>
    <row r="21" spans="1:12" ht="20.100000000000001" customHeight="1">
      <c r="E21" s="62"/>
      <c r="F21" s="62"/>
      <c r="G21" s="62"/>
      <c r="H21" s="62"/>
      <c r="I21" s="62"/>
      <c r="J21" s="307"/>
      <c r="K21" s="307"/>
    </row>
    <row r="22" spans="1:12" s="42" customFormat="1" ht="20.100000000000001" customHeight="1">
      <c r="A22" s="139">
        <v>14</v>
      </c>
      <c r="B22" s="42" t="s">
        <v>181</v>
      </c>
      <c r="D22" s="305" t="s">
        <v>473</v>
      </c>
      <c r="E22" s="304">
        <f>SUM(E8:E20)/13</f>
        <v>0</v>
      </c>
      <c r="F22" s="304">
        <f>SUM(F8:F20)/13</f>
        <v>1837954138.8076925</v>
      </c>
      <c r="G22" s="304">
        <f t="shared" ref="G22:I22" si="28">SUM(G8:G20)/13</f>
        <v>5377640568.0061512</v>
      </c>
      <c r="H22" s="304">
        <f>SUM(H8:H20)/13</f>
        <v>152802388.36461541</v>
      </c>
      <c r="I22" s="304">
        <f t="shared" si="28"/>
        <v>268472115.67846167</v>
      </c>
      <c r="J22" s="304"/>
      <c r="K22" s="304">
        <f>SUM(K8:K20)/13</f>
        <v>7636869210.8569221</v>
      </c>
    </row>
    <row r="24" spans="1:12" ht="20.100000000000001" customHeight="1">
      <c r="E24" s="39" t="s">
        <v>174</v>
      </c>
      <c r="F24" s="39" t="s">
        <v>22</v>
      </c>
      <c r="G24" s="39" t="s">
        <v>175</v>
      </c>
      <c r="H24" s="39" t="s">
        <v>177</v>
      </c>
      <c r="I24" s="39" t="s">
        <v>176</v>
      </c>
      <c r="J24" s="33"/>
      <c r="K24" s="39" t="s">
        <v>9</v>
      </c>
    </row>
    <row r="25" spans="1:12" ht="20.100000000000001" customHeight="1">
      <c r="E25" s="39"/>
      <c r="F25" s="39"/>
      <c r="G25" s="39"/>
      <c r="H25" s="39"/>
      <c r="I25" s="39"/>
      <c r="J25" s="33"/>
    </row>
    <row r="26" spans="1:12" ht="20.100000000000001" customHeight="1">
      <c r="D26" s="36" t="s">
        <v>189</v>
      </c>
      <c r="E26" s="38" t="s">
        <v>95</v>
      </c>
      <c r="F26" s="38" t="s">
        <v>178</v>
      </c>
      <c r="G26" s="38" t="s">
        <v>96</v>
      </c>
      <c r="H26" s="38" t="s">
        <v>179</v>
      </c>
      <c r="I26" s="38" t="s">
        <v>180</v>
      </c>
      <c r="J26" s="33"/>
    </row>
    <row r="27" spans="1:12" ht="20.100000000000001" customHeight="1">
      <c r="A27" s="41">
        <v>15</v>
      </c>
      <c r="B27" s="33" t="s">
        <v>157</v>
      </c>
      <c r="C27" s="34">
        <f>C8</f>
        <v>2021</v>
      </c>
      <c r="E27" s="56"/>
      <c r="F27" s="56">
        <v>1812906323.8200004</v>
      </c>
      <c r="G27" s="56">
        <v>5299943382.8000002</v>
      </c>
      <c r="H27" s="56">
        <v>145104470</v>
      </c>
      <c r="I27" s="56">
        <v>263635790.81000006</v>
      </c>
      <c r="J27" s="57"/>
      <c r="K27" s="57">
        <f t="shared" ref="K27:K39" si="29">SUM(E27:I27)</f>
        <v>7521589967.4300013</v>
      </c>
      <c r="L27" s="56"/>
    </row>
    <row r="28" spans="1:12" ht="20.100000000000001" customHeight="1">
      <c r="A28" s="41">
        <v>16</v>
      </c>
      <c r="B28" s="33" t="s">
        <v>158</v>
      </c>
      <c r="C28" s="34">
        <f>C27+1</f>
        <v>2022</v>
      </c>
      <c r="E28" s="56"/>
      <c r="F28" s="56">
        <v>1804017870.27021</v>
      </c>
      <c r="G28" s="56">
        <v>5317218409.3964577</v>
      </c>
      <c r="H28" s="56">
        <v>146130803.88999999</v>
      </c>
      <c r="I28" s="56">
        <v>265948297.28000006</v>
      </c>
      <c r="J28" s="57"/>
      <c r="K28" s="57">
        <f t="shared" si="29"/>
        <v>7533315380.836668</v>
      </c>
      <c r="L28" s="56"/>
    </row>
    <row r="29" spans="1:12" ht="20.100000000000001" customHeight="1">
      <c r="A29" s="41">
        <v>17</v>
      </c>
      <c r="B29" s="33" t="s">
        <v>159</v>
      </c>
      <c r="C29" s="34">
        <f>C28</f>
        <v>2022</v>
      </c>
      <c r="E29" s="56"/>
      <c r="F29" s="56">
        <v>1800417292.6202099</v>
      </c>
      <c r="G29" s="56">
        <v>5334229185.1864576</v>
      </c>
      <c r="H29" s="56">
        <v>146282028.97</v>
      </c>
      <c r="I29" s="56">
        <v>266758725.05000007</v>
      </c>
      <c r="J29" s="57"/>
      <c r="K29" s="57">
        <f t="shared" si="29"/>
        <v>7547687231.8266678</v>
      </c>
      <c r="L29" s="56"/>
    </row>
    <row r="30" spans="1:12" ht="20.100000000000001" customHeight="1">
      <c r="A30" s="41">
        <v>18</v>
      </c>
      <c r="B30" s="33" t="s">
        <v>160</v>
      </c>
      <c r="C30" s="34">
        <f t="shared" ref="C30:C39" si="30">C29</f>
        <v>2022</v>
      </c>
      <c r="E30" s="56"/>
      <c r="F30" s="56">
        <v>1814246999.1102097</v>
      </c>
      <c r="G30" s="56">
        <v>5335674763.6764574</v>
      </c>
      <c r="H30" s="56">
        <v>147349404.34</v>
      </c>
      <c r="I30" s="56">
        <v>272137686.22000009</v>
      </c>
      <c r="J30" s="57"/>
      <c r="K30" s="57">
        <f t="shared" si="29"/>
        <v>7569408853.3466673</v>
      </c>
      <c r="L30" s="56"/>
    </row>
    <row r="31" spans="1:12" ht="20.100000000000001" customHeight="1">
      <c r="A31" s="41">
        <v>19</v>
      </c>
      <c r="B31" s="33" t="s">
        <v>161</v>
      </c>
      <c r="C31" s="34">
        <f t="shared" si="30"/>
        <v>2022</v>
      </c>
      <c r="E31" s="56"/>
      <c r="F31" s="56">
        <v>1821540850.3802099</v>
      </c>
      <c r="G31" s="56">
        <v>5351851526.116457</v>
      </c>
      <c r="H31" s="56">
        <v>147312861.75999999</v>
      </c>
      <c r="I31" s="56">
        <v>274016039.03000009</v>
      </c>
      <c r="J31" s="57"/>
      <c r="K31" s="57">
        <f t="shared" si="29"/>
        <v>7594721277.2866669</v>
      </c>
      <c r="L31" s="56"/>
    </row>
    <row r="32" spans="1:12" ht="20.100000000000001" customHeight="1">
      <c r="A32" s="41">
        <v>20</v>
      </c>
      <c r="B32" s="33" t="s">
        <v>162</v>
      </c>
      <c r="C32" s="34">
        <f t="shared" si="30"/>
        <v>2022</v>
      </c>
      <c r="E32" s="56"/>
      <c r="F32" s="56">
        <v>1840938417.3202102</v>
      </c>
      <c r="G32" s="56">
        <v>5368058956.4764566</v>
      </c>
      <c r="H32" s="56">
        <v>147346968.72999999</v>
      </c>
      <c r="I32" s="56">
        <v>273504864.7100001</v>
      </c>
      <c r="J32" s="57"/>
      <c r="K32" s="57">
        <f t="shared" si="29"/>
        <v>7629849207.2366667</v>
      </c>
      <c r="L32" s="56"/>
    </row>
    <row r="33" spans="1:12" ht="20.100000000000001" customHeight="1">
      <c r="A33" s="41">
        <v>21</v>
      </c>
      <c r="B33" s="33" t="s">
        <v>173</v>
      </c>
      <c r="C33" s="34">
        <f t="shared" si="30"/>
        <v>2022</v>
      </c>
      <c r="E33" s="56"/>
      <c r="F33" s="56">
        <v>1847064241.239285</v>
      </c>
      <c r="G33" s="56">
        <v>5373678981.9873819</v>
      </c>
      <c r="H33" s="56">
        <v>147583263.38</v>
      </c>
      <c r="I33" s="56">
        <v>272345609.98000008</v>
      </c>
      <c r="J33" s="57"/>
      <c r="K33" s="57">
        <f t="shared" si="29"/>
        <v>7640672096.586668</v>
      </c>
      <c r="L33" s="56"/>
    </row>
    <row r="34" spans="1:12" ht="20.100000000000001" customHeight="1">
      <c r="A34" s="41">
        <v>22</v>
      </c>
      <c r="B34" s="33" t="s">
        <v>163</v>
      </c>
      <c r="C34" s="34">
        <f t="shared" si="30"/>
        <v>2022</v>
      </c>
      <c r="E34" s="56"/>
      <c r="F34" s="56">
        <v>1845359947.529285</v>
      </c>
      <c r="G34" s="56">
        <v>5387243144.4473801</v>
      </c>
      <c r="H34" s="56">
        <v>147911598.62</v>
      </c>
      <c r="I34" s="56">
        <v>267856016.68000007</v>
      </c>
      <c r="J34" s="57"/>
      <c r="K34" s="57">
        <f t="shared" si="29"/>
        <v>7648370707.2766657</v>
      </c>
      <c r="L34" s="56"/>
    </row>
    <row r="35" spans="1:12" ht="20.100000000000001" customHeight="1">
      <c r="A35" s="41">
        <v>23</v>
      </c>
      <c r="B35" s="33" t="s">
        <v>164</v>
      </c>
      <c r="C35" s="34">
        <f t="shared" si="30"/>
        <v>2022</v>
      </c>
      <c r="E35" s="56"/>
      <c r="F35" s="56">
        <v>1850154644.239285</v>
      </c>
      <c r="G35" s="56">
        <v>5401115075.8373795</v>
      </c>
      <c r="H35" s="56">
        <v>148092206.94</v>
      </c>
      <c r="I35" s="56">
        <v>268679498.48000008</v>
      </c>
      <c r="J35" s="57"/>
      <c r="K35" s="57">
        <f t="shared" si="29"/>
        <v>7668041425.496664</v>
      </c>
      <c r="L35" s="56"/>
    </row>
    <row r="36" spans="1:12" ht="20.100000000000001" customHeight="1">
      <c r="A36" s="41">
        <v>24</v>
      </c>
      <c r="B36" s="33" t="s">
        <v>165</v>
      </c>
      <c r="C36" s="34">
        <f t="shared" si="30"/>
        <v>2022</v>
      </c>
      <c r="E36" s="56"/>
      <c r="F36" s="56">
        <v>1854355952.8170009</v>
      </c>
      <c r="G36" s="56">
        <v>5414287945.0996637</v>
      </c>
      <c r="H36" s="56">
        <v>161839941.34999999</v>
      </c>
      <c r="I36" s="56">
        <v>268521689.20000011</v>
      </c>
      <c r="J36" s="57"/>
      <c r="K36" s="57">
        <f t="shared" si="29"/>
        <v>7699005528.4666643</v>
      </c>
      <c r="L36" s="56"/>
    </row>
    <row r="37" spans="1:12" ht="20.100000000000001" customHeight="1">
      <c r="A37" s="41">
        <v>25</v>
      </c>
      <c r="B37" s="33" t="s">
        <v>167</v>
      </c>
      <c r="C37" s="34">
        <f t="shared" si="30"/>
        <v>2022</v>
      </c>
      <c r="E37" s="56"/>
      <c r="F37" s="56">
        <v>1857366930.8792849</v>
      </c>
      <c r="G37" s="56">
        <v>5428274895.9773798</v>
      </c>
      <c r="H37" s="56">
        <v>161559916.90000001</v>
      </c>
      <c r="I37" s="56">
        <v>271608514.01000011</v>
      </c>
      <c r="J37" s="57"/>
      <c r="K37" s="57">
        <f t="shared" si="29"/>
        <v>7718810257.7666645</v>
      </c>
      <c r="L37" s="56"/>
    </row>
    <row r="38" spans="1:12" ht="20.100000000000001" customHeight="1">
      <c r="A38" s="41">
        <v>26</v>
      </c>
      <c r="B38" s="33" t="s">
        <v>166</v>
      </c>
      <c r="C38" s="34">
        <f t="shared" si="30"/>
        <v>2022</v>
      </c>
      <c r="E38" s="56"/>
      <c r="F38" s="56">
        <v>1861755323.9692848</v>
      </c>
      <c r="G38" s="56">
        <v>5443090374.9673796</v>
      </c>
      <c r="H38" s="56">
        <v>162799140.86000001</v>
      </c>
      <c r="I38" s="56">
        <v>272251107.76000011</v>
      </c>
      <c r="J38" s="57"/>
      <c r="K38" s="57">
        <f t="shared" si="29"/>
        <v>7739895947.5566645</v>
      </c>
      <c r="L38" s="56"/>
    </row>
    <row r="39" spans="1:12" ht="20.100000000000001" customHeight="1">
      <c r="A39" s="41">
        <v>27</v>
      </c>
      <c r="B39" s="33" t="s">
        <v>157</v>
      </c>
      <c r="C39" s="34">
        <f t="shared" si="30"/>
        <v>2022</v>
      </c>
      <c r="E39" s="56"/>
      <c r="F39" s="56">
        <v>1883323340.3055315</v>
      </c>
      <c r="G39" s="56">
        <v>5455254283.1111317</v>
      </c>
      <c r="H39" s="56">
        <v>177118443</v>
      </c>
      <c r="I39" s="56">
        <v>273616607.61000013</v>
      </c>
      <c r="J39" s="57"/>
      <c r="K39" s="57">
        <f t="shared" si="29"/>
        <v>7789312674.0266628</v>
      </c>
      <c r="L39" s="56"/>
    </row>
    <row r="40" spans="1:12" ht="20.100000000000001" customHeight="1">
      <c r="E40" s="58"/>
      <c r="F40" s="58"/>
      <c r="G40" s="58"/>
      <c r="H40" s="58"/>
      <c r="I40" s="58"/>
      <c r="J40" s="57"/>
      <c r="K40" s="57"/>
    </row>
    <row r="41" spans="1:12" ht="20.100000000000001" customHeight="1">
      <c r="A41" s="41">
        <v>28</v>
      </c>
      <c r="B41" s="33" t="s">
        <v>181</v>
      </c>
      <c r="E41" s="58">
        <f>SUM(E27:E39)/13</f>
        <v>0</v>
      </c>
      <c r="F41" s="58">
        <f>SUM(F27:F39)/13</f>
        <v>1837957548.8076925</v>
      </c>
      <c r="G41" s="58">
        <f t="shared" ref="G41:K41" si="31">SUM(G27:G39)/13</f>
        <v>5377686225.0061512</v>
      </c>
      <c r="H41" s="58">
        <f>SUM(H27:H39)/13</f>
        <v>152802388.36461541</v>
      </c>
      <c r="I41" s="58">
        <f>SUM(I27:I39)/13</f>
        <v>270067726.67846161</v>
      </c>
      <c r="J41" s="58"/>
      <c r="K41" s="58">
        <f t="shared" si="31"/>
        <v>7638513888.8569221</v>
      </c>
    </row>
    <row r="44" spans="1:12" ht="20.100000000000001" customHeight="1">
      <c r="B44" s="45" t="s">
        <v>474</v>
      </c>
      <c r="C44" s="46"/>
      <c r="D44" s="46"/>
      <c r="E44" s="47"/>
      <c r="F44" s="47"/>
      <c r="G44" s="48"/>
      <c r="H44" s="292"/>
      <c r="I44" s="292"/>
      <c r="J44" s="33"/>
    </row>
    <row r="45" spans="1:12" ht="20.100000000000001" customHeight="1">
      <c r="B45" s="49"/>
      <c r="E45" s="39" t="s">
        <v>174</v>
      </c>
      <c r="F45" s="39" t="s">
        <v>22</v>
      </c>
      <c r="G45" s="39" t="s">
        <v>175</v>
      </c>
      <c r="H45" s="39" t="s">
        <v>177</v>
      </c>
      <c r="I45" s="39" t="s">
        <v>176</v>
      </c>
      <c r="J45" s="33"/>
    </row>
    <row r="46" spans="1:12" ht="20.100000000000001" customHeight="1">
      <c r="B46" s="49"/>
      <c r="E46" s="33"/>
      <c r="F46" s="39"/>
      <c r="G46" s="39"/>
      <c r="H46" s="33"/>
      <c r="I46" s="39"/>
      <c r="J46" s="33"/>
    </row>
    <row r="47" spans="1:12" ht="20.100000000000001" customHeight="1">
      <c r="B47" s="49"/>
      <c r="D47" s="36" t="s">
        <v>189</v>
      </c>
      <c r="E47" s="38" t="s">
        <v>514</v>
      </c>
      <c r="F47" s="38" t="s">
        <v>197</v>
      </c>
      <c r="G47" s="38" t="s">
        <v>486</v>
      </c>
      <c r="H47" s="38" t="s">
        <v>251</v>
      </c>
      <c r="I47" s="38" t="s">
        <v>439</v>
      </c>
      <c r="J47" s="33"/>
    </row>
    <row r="48" spans="1:12" ht="20.100000000000001" customHeight="1">
      <c r="A48" s="41">
        <v>29</v>
      </c>
      <c r="B48" s="49" t="s">
        <v>157</v>
      </c>
      <c r="C48" s="34">
        <f>C8</f>
        <v>2021</v>
      </c>
      <c r="E48" s="59"/>
      <c r="F48" s="59">
        <v>3410</v>
      </c>
      <c r="G48" s="59">
        <v>45657</v>
      </c>
      <c r="H48" s="297"/>
      <c r="I48" s="59">
        <v>1595611</v>
      </c>
      <c r="J48" s="33"/>
    </row>
    <row r="49" spans="1:10" ht="20.100000000000001" customHeight="1">
      <c r="A49" s="41">
        <v>30</v>
      </c>
      <c r="B49" s="49" t="s">
        <v>158</v>
      </c>
      <c r="C49" s="34">
        <f>C48+1</f>
        <v>2022</v>
      </c>
      <c r="E49" s="59"/>
      <c r="F49" s="59">
        <v>3410</v>
      </c>
      <c r="G49" s="59">
        <v>45657</v>
      </c>
      <c r="H49" s="297"/>
      <c r="I49" s="59">
        <v>1595611</v>
      </c>
      <c r="J49" s="33"/>
    </row>
    <row r="50" spans="1:10" ht="20.100000000000001" customHeight="1">
      <c r="A50" s="41">
        <v>31</v>
      </c>
      <c r="B50" s="49" t="s">
        <v>159</v>
      </c>
      <c r="C50" s="34">
        <f>C49</f>
        <v>2022</v>
      </c>
      <c r="E50" s="59"/>
      <c r="F50" s="59">
        <v>3410</v>
      </c>
      <c r="G50" s="59">
        <v>45657</v>
      </c>
      <c r="H50" s="297"/>
      <c r="I50" s="59">
        <v>1595611</v>
      </c>
      <c r="J50" s="33"/>
    </row>
    <row r="51" spans="1:10" ht="20.100000000000001" customHeight="1">
      <c r="A51" s="41">
        <v>32</v>
      </c>
      <c r="B51" s="49" t="s">
        <v>160</v>
      </c>
      <c r="C51" s="34">
        <f t="shared" ref="C51:C60" si="32">C50</f>
        <v>2022</v>
      </c>
      <c r="E51" s="59"/>
      <c r="F51" s="59">
        <v>3410</v>
      </c>
      <c r="G51" s="59">
        <v>45657</v>
      </c>
      <c r="H51" s="297"/>
      <c r="I51" s="59">
        <v>1595611</v>
      </c>
      <c r="J51" s="33"/>
    </row>
    <row r="52" spans="1:10" ht="20.100000000000001" customHeight="1">
      <c r="A52" s="41">
        <v>33</v>
      </c>
      <c r="B52" s="49" t="s">
        <v>161</v>
      </c>
      <c r="C52" s="34">
        <f t="shared" si="32"/>
        <v>2022</v>
      </c>
      <c r="E52" s="59"/>
      <c r="F52" s="59">
        <v>3410</v>
      </c>
      <c r="G52" s="59">
        <v>45657</v>
      </c>
      <c r="H52" s="297"/>
      <c r="I52" s="59">
        <v>1595611</v>
      </c>
      <c r="J52" s="33"/>
    </row>
    <row r="53" spans="1:10" ht="20.100000000000001" customHeight="1">
      <c r="A53" s="41">
        <v>34</v>
      </c>
      <c r="B53" s="49" t="s">
        <v>162</v>
      </c>
      <c r="C53" s="34">
        <f t="shared" si="32"/>
        <v>2022</v>
      </c>
      <c r="E53" s="59"/>
      <c r="F53" s="59">
        <v>3410</v>
      </c>
      <c r="G53" s="59">
        <v>45657</v>
      </c>
      <c r="H53" s="297"/>
      <c r="I53" s="59">
        <v>1595611</v>
      </c>
      <c r="J53" s="33"/>
    </row>
    <row r="54" spans="1:10" ht="20.100000000000001" customHeight="1">
      <c r="A54" s="41">
        <v>35</v>
      </c>
      <c r="B54" s="49" t="s">
        <v>173</v>
      </c>
      <c r="C54" s="34">
        <f t="shared" si="32"/>
        <v>2022</v>
      </c>
      <c r="E54" s="59"/>
      <c r="F54" s="59">
        <v>3410</v>
      </c>
      <c r="G54" s="59">
        <v>45657</v>
      </c>
      <c r="H54" s="297"/>
      <c r="I54" s="59">
        <v>1595611</v>
      </c>
      <c r="J54" s="33"/>
    </row>
    <row r="55" spans="1:10" ht="20.100000000000001" customHeight="1">
      <c r="A55" s="41">
        <v>36</v>
      </c>
      <c r="B55" s="49" t="s">
        <v>163</v>
      </c>
      <c r="C55" s="34">
        <f t="shared" si="32"/>
        <v>2022</v>
      </c>
      <c r="E55" s="59"/>
      <c r="F55" s="59">
        <v>3410</v>
      </c>
      <c r="G55" s="59">
        <v>45657</v>
      </c>
      <c r="H55" s="297"/>
      <c r="I55" s="59">
        <v>1595611</v>
      </c>
      <c r="J55" s="33"/>
    </row>
    <row r="56" spans="1:10" ht="20.100000000000001" customHeight="1">
      <c r="A56" s="41">
        <v>37</v>
      </c>
      <c r="B56" s="49" t="s">
        <v>164</v>
      </c>
      <c r="C56" s="34">
        <f t="shared" si="32"/>
        <v>2022</v>
      </c>
      <c r="E56" s="59"/>
      <c r="F56" s="59">
        <v>3410</v>
      </c>
      <c r="G56" s="59">
        <v>45657</v>
      </c>
      <c r="H56" s="297"/>
      <c r="I56" s="59">
        <v>1595611</v>
      </c>
      <c r="J56" s="33"/>
    </row>
    <row r="57" spans="1:10" ht="20.100000000000001" customHeight="1">
      <c r="A57" s="41">
        <v>38</v>
      </c>
      <c r="B57" s="49" t="s">
        <v>165</v>
      </c>
      <c r="C57" s="34">
        <f t="shared" si="32"/>
        <v>2022</v>
      </c>
      <c r="E57" s="59"/>
      <c r="F57" s="59">
        <v>3410</v>
      </c>
      <c r="G57" s="59">
        <v>45657</v>
      </c>
      <c r="H57" s="297"/>
      <c r="I57" s="59">
        <v>1595611</v>
      </c>
      <c r="J57" s="33"/>
    </row>
    <row r="58" spans="1:10" ht="20.100000000000001" customHeight="1">
      <c r="A58" s="41">
        <v>39</v>
      </c>
      <c r="B58" s="49" t="s">
        <v>167</v>
      </c>
      <c r="C58" s="34">
        <f t="shared" si="32"/>
        <v>2022</v>
      </c>
      <c r="E58" s="59"/>
      <c r="F58" s="59">
        <v>3410</v>
      </c>
      <c r="G58" s="59">
        <v>45657</v>
      </c>
      <c r="H58" s="297"/>
      <c r="I58" s="59">
        <v>1595611</v>
      </c>
      <c r="J58" s="33"/>
    </row>
    <row r="59" spans="1:10" ht="20.100000000000001" customHeight="1">
      <c r="A59" s="41">
        <v>40</v>
      </c>
      <c r="B59" s="49" t="s">
        <v>166</v>
      </c>
      <c r="C59" s="34">
        <f t="shared" si="32"/>
        <v>2022</v>
      </c>
      <c r="E59" s="59"/>
      <c r="F59" s="59">
        <v>3410</v>
      </c>
      <c r="G59" s="59">
        <v>45657</v>
      </c>
      <c r="H59" s="297"/>
      <c r="I59" s="59">
        <v>1595611</v>
      </c>
      <c r="J59" s="33"/>
    </row>
    <row r="60" spans="1:10" ht="20.100000000000001" customHeight="1">
      <c r="A60" s="41">
        <v>41</v>
      </c>
      <c r="B60" s="49" t="s">
        <v>157</v>
      </c>
      <c r="C60" s="34">
        <f t="shared" si="32"/>
        <v>2022</v>
      </c>
      <c r="E60" s="59"/>
      <c r="F60" s="59">
        <v>3410</v>
      </c>
      <c r="G60" s="59">
        <v>45657</v>
      </c>
      <c r="H60" s="297"/>
      <c r="I60" s="59">
        <v>1595611</v>
      </c>
      <c r="J60" s="33"/>
    </row>
    <row r="61" spans="1:10" ht="20.100000000000001" customHeight="1">
      <c r="B61" s="49"/>
      <c r="E61" s="33"/>
      <c r="F61" s="60"/>
      <c r="G61" s="33"/>
      <c r="H61" s="33"/>
      <c r="I61" s="33"/>
      <c r="J61" s="33"/>
    </row>
    <row r="62" spans="1:10" ht="20.100000000000001" customHeight="1">
      <c r="A62" s="41">
        <v>42</v>
      </c>
      <c r="B62" s="50" t="s">
        <v>181</v>
      </c>
      <c r="C62" s="51"/>
      <c r="D62" s="51"/>
      <c r="E62" s="61">
        <f t="shared" ref="E62:H62" si="33">SUM(E48:E60)/13</f>
        <v>0</v>
      </c>
      <c r="F62" s="61">
        <f>SUM(F48:F60)/13</f>
        <v>3410</v>
      </c>
      <c r="G62" s="61">
        <f>SUM(G48:G60)/13</f>
        <v>45657</v>
      </c>
      <c r="H62" s="61">
        <f t="shared" si="33"/>
        <v>0</v>
      </c>
      <c r="I62" s="61">
        <f>SUM(I48:I60)/13</f>
        <v>1595611</v>
      </c>
      <c r="J62" s="33"/>
    </row>
    <row r="64" spans="1:10" ht="20.100000000000001" customHeight="1">
      <c r="A64" s="33" t="s">
        <v>183</v>
      </c>
    </row>
    <row r="65" spans="1:2" ht="20.100000000000001" customHeight="1">
      <c r="A65" s="37" t="s">
        <v>182</v>
      </c>
      <c r="B65" s="33" t="s">
        <v>774</v>
      </c>
    </row>
    <row r="66" spans="1:2" ht="20.100000000000001" customHeight="1">
      <c r="A66" s="37" t="s">
        <v>189</v>
      </c>
      <c r="B66" s="33" t="s">
        <v>184</v>
      </c>
    </row>
    <row r="67" spans="1:2" ht="20.100000000000001" customHeight="1">
      <c r="A67" s="37" t="s">
        <v>221</v>
      </c>
      <c r="B67" s="33" t="s">
        <v>499</v>
      </c>
    </row>
    <row r="68" spans="1:2" ht="20.100000000000001" customHeight="1">
      <c r="A68" s="33"/>
    </row>
  </sheetData>
  <customSheetViews>
    <customSheetView guid="{E1861F40-EBD5-44AE-868B-FDE0ED504D72}" scale="85">
      <selection activeCell="E9" sqref="E9"/>
      <pageMargins left="0.7" right="0.7" top="0.75" bottom="0.75" header="0.3" footer="0.3"/>
      <pageSetup scale="55" orientation="portrait" r:id="rId1"/>
    </customSheetView>
  </customSheetViews>
  <pageMargins left="0.7" right="0.7" top="0.75" bottom="0.75" header="0.3" footer="0.3"/>
  <pageSetup scale="48" fitToWidth="0" fitToHeight="0" orientation="portrait" r:id="rId2"/>
  <headerFooter alignWithMargins="0"/>
  <colBreaks count="1" manualBreakCount="1">
    <brk id="1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dimension ref="A1:L69"/>
  <sheetViews>
    <sheetView view="pageBreakPreview" zoomScale="80" zoomScaleNormal="85" zoomScaleSheetLayoutView="80" workbookViewId="0">
      <selection activeCell="E2" sqref="E2"/>
    </sheetView>
  </sheetViews>
  <sheetFormatPr defaultColWidth="8.81640625" defaultRowHeight="20.100000000000001" customHeight="1"/>
  <cols>
    <col min="1" max="1" width="5.7265625" style="37" bestFit="1" customWidth="1"/>
    <col min="2" max="2" width="10.7265625" style="33" customWidth="1"/>
    <col min="3" max="3" width="8.81640625" style="33"/>
    <col min="4" max="4" width="2.7265625" style="33" customWidth="1"/>
    <col min="5" max="9" width="12.7265625" style="37" customWidth="1"/>
    <col min="10" max="10" width="5.7265625" style="37" customWidth="1"/>
    <col min="11" max="11" width="13.7265625" style="33" bestFit="1" customWidth="1"/>
    <col min="12" max="12" width="19.7265625" style="33" customWidth="1"/>
    <col min="13" max="13" width="17.7265625" style="33" bestFit="1" customWidth="1"/>
    <col min="14" max="14" width="13.81640625" style="33" bestFit="1" customWidth="1"/>
    <col min="15" max="16384" width="8.81640625" style="33"/>
  </cols>
  <sheetData>
    <row r="1" spans="1:11" ht="20.100000000000001" customHeight="1">
      <c r="A1" s="42"/>
      <c r="B1" s="42"/>
      <c r="C1" s="42"/>
      <c r="D1" s="42"/>
      <c r="E1" s="42"/>
      <c r="F1" s="590"/>
      <c r="K1" s="3" t="s">
        <v>453</v>
      </c>
    </row>
    <row r="2" spans="1:11" ht="20.100000000000001" customHeight="1">
      <c r="A2" s="42"/>
      <c r="B2" s="42"/>
      <c r="C2" s="42"/>
      <c r="D2" s="42"/>
      <c r="E2" s="42"/>
      <c r="K2" s="3" t="s">
        <v>144</v>
      </c>
    </row>
    <row r="3" spans="1:11" ht="20.100000000000001" customHeight="1">
      <c r="A3" s="42"/>
      <c r="B3" s="42"/>
      <c r="C3" s="42"/>
      <c r="D3" s="42"/>
      <c r="E3" s="42"/>
      <c r="G3" s="39" t="s">
        <v>421</v>
      </c>
      <c r="K3" s="3" t="str">
        <f>'Attachment 1 - Sched 1A'!$J$3</f>
        <v>For the 12 months ended 12/31/2022</v>
      </c>
    </row>
    <row r="4" spans="1:11" ht="20.100000000000001" customHeight="1">
      <c r="A4" s="42"/>
      <c r="B4" s="42"/>
      <c r="C4" s="42"/>
      <c r="D4" s="42"/>
      <c r="E4" s="42"/>
    </row>
    <row r="5" spans="1:11" ht="20.100000000000001" customHeight="1">
      <c r="E5" s="289" t="s">
        <v>392</v>
      </c>
      <c r="F5" s="289" t="s">
        <v>393</v>
      </c>
      <c r="G5" s="289" t="s">
        <v>394</v>
      </c>
      <c r="H5" s="289" t="s">
        <v>395</v>
      </c>
      <c r="I5" s="289" t="s">
        <v>396</v>
      </c>
      <c r="J5" s="290"/>
      <c r="K5" s="289" t="s">
        <v>397</v>
      </c>
    </row>
    <row r="6" spans="1:11" ht="20.100000000000001" customHeight="1">
      <c r="E6" s="39" t="s">
        <v>174</v>
      </c>
      <c r="F6" s="39" t="s">
        <v>22</v>
      </c>
      <c r="G6" s="39" t="s">
        <v>175</v>
      </c>
      <c r="H6" s="39" t="s">
        <v>177</v>
      </c>
      <c r="I6" s="39" t="s">
        <v>176</v>
      </c>
      <c r="J6" s="33"/>
      <c r="K6" s="39" t="s">
        <v>9</v>
      </c>
    </row>
    <row r="7" spans="1:11" ht="20.100000000000001" customHeight="1">
      <c r="D7" s="36"/>
      <c r="E7" s="38"/>
      <c r="F7" s="38"/>
      <c r="G7" s="38"/>
      <c r="H7" s="38"/>
      <c r="I7" s="38"/>
      <c r="J7" s="33"/>
    </row>
    <row r="8" spans="1:11" ht="20.100000000000001" customHeight="1">
      <c r="A8" s="41">
        <v>1</v>
      </c>
      <c r="B8" s="33" t="s">
        <v>157</v>
      </c>
      <c r="C8" s="34">
        <f>'Attachment 3 - Gross Plant'!C8</f>
        <v>2021</v>
      </c>
      <c r="E8" s="62">
        <f t="shared" ref="E8:I8" si="0">E27-E48</f>
        <v>0</v>
      </c>
      <c r="F8" s="62">
        <f t="shared" si="0"/>
        <v>450267937.16240746</v>
      </c>
      <c r="G8" s="62">
        <f t="shared" si="0"/>
        <v>1613191202.9399998</v>
      </c>
      <c r="H8" s="62">
        <f t="shared" si="0"/>
        <v>109718709.65000001</v>
      </c>
      <c r="I8" s="62">
        <f t="shared" si="0"/>
        <v>97651952.390000001</v>
      </c>
      <c r="J8" s="307"/>
      <c r="K8" s="307">
        <f t="shared" ref="K8:K20" si="1">SUM(E8:I8)</f>
        <v>2270829802.1424069</v>
      </c>
    </row>
    <row r="9" spans="1:11" ht="20.100000000000001" customHeight="1">
      <c r="A9" s="41">
        <v>2</v>
      </c>
      <c r="B9" s="33" t="s">
        <v>158</v>
      </c>
      <c r="C9" s="34">
        <f>C8+1</f>
        <v>2022</v>
      </c>
      <c r="E9" s="62">
        <f t="shared" ref="E9:F20" si="2">E28-E49</f>
        <v>0</v>
      </c>
      <c r="F9" s="62">
        <f t="shared" si="2"/>
        <v>452098650.83085763</v>
      </c>
      <c r="G9" s="62">
        <f t="shared" ref="G9:I9" si="3">G28-G49</f>
        <v>1614542159.9198844</v>
      </c>
      <c r="H9" s="62">
        <f t="shared" si="3"/>
        <v>110636706.61</v>
      </c>
      <c r="I9" s="62">
        <f t="shared" si="3"/>
        <v>98490572.780000001</v>
      </c>
      <c r="J9" s="307"/>
      <c r="K9" s="307">
        <f t="shared" si="1"/>
        <v>2275768090.1407423</v>
      </c>
    </row>
    <row r="10" spans="1:11" ht="20.100000000000001" customHeight="1">
      <c r="A10" s="41">
        <v>3</v>
      </c>
      <c r="B10" s="33" t="s">
        <v>159</v>
      </c>
      <c r="C10" s="34">
        <f>C9</f>
        <v>2022</v>
      </c>
      <c r="E10" s="62">
        <f t="shared" si="2"/>
        <v>0</v>
      </c>
      <c r="F10" s="62">
        <f t="shared" si="2"/>
        <v>452215988.53768587</v>
      </c>
      <c r="G10" s="62">
        <f t="shared" ref="G10:I10" si="4">G29-G50</f>
        <v>1618150137.0895388</v>
      </c>
      <c r="H10" s="62">
        <f t="shared" si="4"/>
        <v>111560856.37</v>
      </c>
      <c r="I10" s="62">
        <f t="shared" si="4"/>
        <v>99380644.930000007</v>
      </c>
      <c r="J10" s="307"/>
      <c r="K10" s="307">
        <f t="shared" si="1"/>
        <v>2281307626.9272246</v>
      </c>
    </row>
    <row r="11" spans="1:11" ht="20.100000000000001" customHeight="1">
      <c r="A11" s="41">
        <v>4</v>
      </c>
      <c r="B11" s="33" t="s">
        <v>160</v>
      </c>
      <c r="C11" s="34">
        <f t="shared" ref="C11:C20" si="5">C10</f>
        <v>2022</v>
      </c>
      <c r="E11" s="62">
        <f t="shared" si="2"/>
        <v>0</v>
      </c>
      <c r="F11" s="62">
        <f t="shared" si="2"/>
        <v>454731197.82628709</v>
      </c>
      <c r="G11" s="62">
        <f t="shared" ref="G11:I11" si="6">G30-G51</f>
        <v>1623431091.2889624</v>
      </c>
      <c r="H11" s="62">
        <f t="shared" si="6"/>
        <v>112489408.95999999</v>
      </c>
      <c r="I11" s="62">
        <f t="shared" si="6"/>
        <v>100274120.83999999</v>
      </c>
      <c r="J11" s="307"/>
      <c r="K11" s="307">
        <f t="shared" si="1"/>
        <v>2290925818.9152493</v>
      </c>
    </row>
    <row r="12" spans="1:11" ht="20.100000000000001" customHeight="1">
      <c r="A12" s="41">
        <v>5</v>
      </c>
      <c r="B12" s="33" t="s">
        <v>161</v>
      </c>
      <c r="C12" s="34">
        <f t="shared" si="5"/>
        <v>2022</v>
      </c>
      <c r="E12" s="62">
        <f t="shared" si="2"/>
        <v>0</v>
      </c>
      <c r="F12" s="62">
        <f t="shared" si="2"/>
        <v>456282913.86170375</v>
      </c>
      <c r="G12" s="62">
        <f t="shared" ref="G12:I12" si="7">G31-G52</f>
        <v>1630430722.5381556</v>
      </c>
      <c r="H12" s="62">
        <f t="shared" si="7"/>
        <v>113393867.02</v>
      </c>
      <c r="I12" s="62">
        <f t="shared" si="7"/>
        <v>101250572.43000001</v>
      </c>
      <c r="J12" s="307"/>
      <c r="K12" s="307">
        <f t="shared" si="1"/>
        <v>2301358075.8498592</v>
      </c>
    </row>
    <row r="13" spans="1:11" ht="20.100000000000001" customHeight="1">
      <c r="A13" s="41">
        <v>6</v>
      </c>
      <c r="B13" s="33" t="s">
        <v>162</v>
      </c>
      <c r="C13" s="34">
        <f t="shared" si="5"/>
        <v>2022</v>
      </c>
      <c r="E13" s="62">
        <f t="shared" si="2"/>
        <v>0</v>
      </c>
      <c r="F13" s="62">
        <f t="shared" si="2"/>
        <v>458407611.82712966</v>
      </c>
      <c r="G13" s="62">
        <f t="shared" ref="G13:I13" si="8">G32-G53</f>
        <v>1638689499.5771186</v>
      </c>
      <c r="H13" s="62">
        <f t="shared" si="8"/>
        <v>114299571.34</v>
      </c>
      <c r="I13" s="62">
        <f t="shared" si="8"/>
        <v>102165720.53</v>
      </c>
      <c r="J13" s="307"/>
      <c r="K13" s="307">
        <f t="shared" si="1"/>
        <v>2313562403.2742486</v>
      </c>
    </row>
    <row r="14" spans="1:11" ht="20.100000000000001" customHeight="1">
      <c r="A14" s="41">
        <v>7</v>
      </c>
      <c r="B14" s="33" t="s">
        <v>173</v>
      </c>
      <c r="C14" s="34">
        <f t="shared" si="5"/>
        <v>2022</v>
      </c>
      <c r="E14" s="62">
        <f t="shared" si="2"/>
        <v>0</v>
      </c>
      <c r="F14" s="62">
        <f t="shared" si="2"/>
        <v>461023640.58177245</v>
      </c>
      <c r="G14" s="62">
        <f t="shared" ref="G14:I14" si="9">G33-G54</f>
        <v>1641658882.4417994</v>
      </c>
      <c r="H14" s="62">
        <f t="shared" si="9"/>
        <v>115239209.5</v>
      </c>
      <c r="I14" s="62">
        <f t="shared" si="9"/>
        <v>103092658.87</v>
      </c>
      <c r="J14" s="307"/>
      <c r="K14" s="307">
        <f t="shared" si="1"/>
        <v>2321014391.3935719</v>
      </c>
    </row>
    <row r="15" spans="1:11" ht="20.100000000000001" customHeight="1">
      <c r="A15" s="41">
        <v>8</v>
      </c>
      <c r="B15" s="33" t="s">
        <v>163</v>
      </c>
      <c r="C15" s="34">
        <f t="shared" si="5"/>
        <v>2022</v>
      </c>
      <c r="E15" s="62">
        <f t="shared" si="2"/>
        <v>0</v>
      </c>
      <c r="F15" s="62">
        <f t="shared" si="2"/>
        <v>460064978.50262487</v>
      </c>
      <c r="G15" s="62">
        <f t="shared" ref="G15:I15" si="10">G34-G55</f>
        <v>1650639092.420146</v>
      </c>
      <c r="H15" s="62">
        <f t="shared" si="10"/>
        <v>116073570.81</v>
      </c>
      <c r="I15" s="62">
        <f t="shared" si="10"/>
        <v>99227731.25</v>
      </c>
      <c r="J15" s="307"/>
      <c r="K15" s="307">
        <f t="shared" si="1"/>
        <v>2326005372.9827709</v>
      </c>
    </row>
    <row r="16" spans="1:11" ht="20.100000000000001" customHeight="1">
      <c r="A16" s="41">
        <v>9</v>
      </c>
      <c r="B16" s="33" t="s">
        <v>164</v>
      </c>
      <c r="C16" s="34">
        <f t="shared" si="5"/>
        <v>2022</v>
      </c>
      <c r="E16" s="62">
        <f t="shared" si="2"/>
        <v>0</v>
      </c>
      <c r="F16" s="62">
        <f t="shared" si="2"/>
        <v>461285970.18422824</v>
      </c>
      <c r="G16" s="62">
        <f t="shared" ref="G16:I16" si="11">G35-G56</f>
        <v>1659151671.918159</v>
      </c>
      <c r="H16" s="62">
        <f t="shared" si="11"/>
        <v>116909378.34</v>
      </c>
      <c r="I16" s="62">
        <f t="shared" si="11"/>
        <v>100131538.22</v>
      </c>
      <c r="J16" s="307"/>
      <c r="K16" s="307">
        <f t="shared" si="1"/>
        <v>2337478558.6623869</v>
      </c>
    </row>
    <row r="17" spans="1:12" ht="20.100000000000001" customHeight="1">
      <c r="A17" s="41">
        <v>10</v>
      </c>
      <c r="B17" s="33" t="s">
        <v>165</v>
      </c>
      <c r="C17" s="34">
        <f t="shared" si="5"/>
        <v>2022</v>
      </c>
      <c r="E17" s="62">
        <f t="shared" si="2"/>
        <v>0</v>
      </c>
      <c r="F17" s="62">
        <f t="shared" si="2"/>
        <v>463897017.84532487</v>
      </c>
      <c r="G17" s="62">
        <f t="shared" ref="G17:I17" si="12">G36-G57</f>
        <v>1666215726.5560985</v>
      </c>
      <c r="H17" s="62">
        <f t="shared" si="12"/>
        <v>117826122.18000001</v>
      </c>
      <c r="I17" s="62">
        <f t="shared" si="12"/>
        <v>101044996.31</v>
      </c>
      <c r="J17" s="307"/>
      <c r="K17" s="307">
        <f t="shared" si="1"/>
        <v>2348983862.8914232</v>
      </c>
    </row>
    <row r="18" spans="1:12" ht="20.100000000000001" customHeight="1">
      <c r="A18" s="41">
        <v>11</v>
      </c>
      <c r="B18" s="33" t="s">
        <v>167</v>
      </c>
      <c r="C18" s="34">
        <f t="shared" si="5"/>
        <v>2022</v>
      </c>
      <c r="E18" s="62">
        <f t="shared" si="2"/>
        <v>0</v>
      </c>
      <c r="F18" s="62">
        <f t="shared" si="2"/>
        <v>466050593.87538481</v>
      </c>
      <c r="G18" s="62">
        <f t="shared" ref="G18:I18" si="13">G37-G58</f>
        <v>1671237665.7239652</v>
      </c>
      <c r="H18" s="62">
        <f t="shared" si="13"/>
        <v>118819692.33</v>
      </c>
      <c r="I18" s="62">
        <f t="shared" si="13"/>
        <v>101975974.03</v>
      </c>
      <c r="J18" s="307"/>
      <c r="K18" s="307">
        <f t="shared" si="1"/>
        <v>2358083925.9593501</v>
      </c>
    </row>
    <row r="19" spans="1:12" ht="20.100000000000001" customHeight="1">
      <c r="A19" s="41">
        <v>12</v>
      </c>
      <c r="B19" s="33" t="s">
        <v>166</v>
      </c>
      <c r="C19" s="34">
        <f t="shared" si="5"/>
        <v>2022</v>
      </c>
      <c r="E19" s="62">
        <f t="shared" si="2"/>
        <v>0</v>
      </c>
      <c r="F19" s="62">
        <f t="shared" si="2"/>
        <v>467430700.76822317</v>
      </c>
      <c r="G19" s="62">
        <f t="shared" ref="G19:I19" si="14">G38-G59</f>
        <v>1678542121.6734977</v>
      </c>
      <c r="H19" s="62">
        <f t="shared" si="14"/>
        <v>119810338.31999999</v>
      </c>
      <c r="I19" s="62">
        <f t="shared" si="14"/>
        <v>101200584.61</v>
      </c>
      <c r="J19" s="307"/>
      <c r="K19" s="307">
        <f t="shared" si="1"/>
        <v>2366983745.3717213</v>
      </c>
    </row>
    <row r="20" spans="1:12" ht="20.100000000000001" customHeight="1">
      <c r="A20" s="41">
        <v>13</v>
      </c>
      <c r="B20" s="33" t="s">
        <v>157</v>
      </c>
      <c r="C20" s="34">
        <f t="shared" si="5"/>
        <v>2022</v>
      </c>
      <c r="E20" s="62">
        <f t="shared" si="2"/>
        <v>0</v>
      </c>
      <c r="F20" s="62">
        <f t="shared" si="2"/>
        <v>466834634.74783951</v>
      </c>
      <c r="G20" s="62">
        <f t="shared" ref="G20:I20" si="15">G39-G60</f>
        <v>1687796412.5961804</v>
      </c>
      <c r="H20" s="62">
        <f t="shared" si="15"/>
        <v>119292477</v>
      </c>
      <c r="I20" s="62">
        <f t="shared" si="15"/>
        <v>101725606.16999999</v>
      </c>
      <c r="J20" s="307"/>
      <c r="K20" s="307">
        <f t="shared" si="1"/>
        <v>2375649130.51402</v>
      </c>
    </row>
    <row r="21" spans="1:12" ht="20.100000000000001" customHeight="1">
      <c r="E21" s="62"/>
      <c r="F21" s="62"/>
      <c r="G21" s="62"/>
      <c r="H21" s="62"/>
      <c r="I21" s="62"/>
      <c r="J21" s="307"/>
      <c r="K21" s="307"/>
    </row>
    <row r="22" spans="1:12" s="42" customFormat="1" ht="20.100000000000001" customHeight="1">
      <c r="A22" s="139">
        <v>14</v>
      </c>
      <c r="B22" s="42" t="s">
        <v>181</v>
      </c>
      <c r="D22" s="305" t="s">
        <v>473</v>
      </c>
      <c r="E22" s="304">
        <f>SUM(E8:E20)/13</f>
        <v>0</v>
      </c>
      <c r="F22" s="304">
        <f t="shared" ref="F22" si="16">SUM(F8:F20)/13</f>
        <v>459276295.11934376</v>
      </c>
      <c r="G22" s="304">
        <f>SUM(G8:G20)/13</f>
        <v>1645667414.3602693</v>
      </c>
      <c r="H22" s="304">
        <f>SUM(H8:H20)/13</f>
        <v>115082300.64846152</v>
      </c>
      <c r="I22" s="304">
        <f>SUM(I8:I20)/13</f>
        <v>100585590.25846153</v>
      </c>
      <c r="J22" s="304"/>
      <c r="K22" s="304">
        <f t="shared" ref="K22" si="17">SUM(K8:K20)/13</f>
        <v>2320611600.3865366</v>
      </c>
    </row>
    <row r="23" spans="1:12" ht="20.100000000000001" customHeight="1">
      <c r="A23" s="40"/>
    </row>
    <row r="24" spans="1:12" ht="20.100000000000001" customHeight="1">
      <c r="E24" s="39" t="s">
        <v>174</v>
      </c>
      <c r="F24" s="39" t="s">
        <v>22</v>
      </c>
      <c r="G24" s="39" t="s">
        <v>175</v>
      </c>
      <c r="H24" s="39" t="s">
        <v>177</v>
      </c>
      <c r="I24" s="39" t="s">
        <v>176</v>
      </c>
      <c r="J24" s="33"/>
      <c r="K24" s="39" t="s">
        <v>9</v>
      </c>
    </row>
    <row r="25" spans="1:12" ht="20.100000000000001" customHeight="1">
      <c r="E25" s="39"/>
      <c r="F25" s="39"/>
      <c r="G25" s="39"/>
      <c r="H25" s="39"/>
      <c r="I25" s="39"/>
      <c r="J25" s="33"/>
    </row>
    <row r="26" spans="1:12" ht="20.100000000000001" customHeight="1">
      <c r="D26" s="36" t="s">
        <v>189</v>
      </c>
      <c r="E26" s="38" t="s">
        <v>36</v>
      </c>
      <c r="F26" s="38" t="s">
        <v>185</v>
      </c>
      <c r="G26" s="38" t="s">
        <v>37</v>
      </c>
      <c r="H26" s="38" t="s">
        <v>186</v>
      </c>
      <c r="I26" s="38" t="s">
        <v>187</v>
      </c>
      <c r="J26" s="33"/>
    </row>
    <row r="27" spans="1:12" ht="20.100000000000001" customHeight="1">
      <c r="A27" s="41">
        <v>15</v>
      </c>
      <c r="B27" s="33" t="s">
        <v>157</v>
      </c>
      <c r="C27" s="34">
        <f>C8</f>
        <v>2021</v>
      </c>
      <c r="E27" s="56"/>
      <c r="F27" s="56">
        <v>450269583.18240744</v>
      </c>
      <c r="G27" s="56">
        <v>1613220887.3499999</v>
      </c>
      <c r="H27" s="56">
        <v>109718709.65000001</v>
      </c>
      <c r="I27" s="56">
        <v>98446087.439999998</v>
      </c>
      <c r="J27" s="57"/>
      <c r="K27" s="57">
        <f t="shared" ref="K27:K39" si="18">SUM(E27:I27)</f>
        <v>2271655267.6224074</v>
      </c>
    </row>
    <row r="28" spans="1:12" ht="20.100000000000001" customHeight="1">
      <c r="A28" s="41">
        <v>16</v>
      </c>
      <c r="B28" s="33" t="s">
        <v>158</v>
      </c>
      <c r="C28" s="34">
        <f>C27+1</f>
        <v>2022</v>
      </c>
      <c r="E28" s="56"/>
      <c r="F28" s="56">
        <v>452100300.82085764</v>
      </c>
      <c r="G28" s="56">
        <v>1614571918.1098845</v>
      </c>
      <c r="H28" s="56">
        <v>110636706.61</v>
      </c>
      <c r="I28" s="56">
        <v>99291476.650000006</v>
      </c>
      <c r="J28" s="57"/>
      <c r="K28" s="57">
        <f t="shared" si="18"/>
        <v>2276600402.1907425</v>
      </c>
      <c r="L28" s="56"/>
    </row>
    <row r="29" spans="1:12" ht="20.100000000000001" customHeight="1">
      <c r="A29" s="41">
        <v>17</v>
      </c>
      <c r="B29" s="33" t="s">
        <v>159</v>
      </c>
      <c r="C29" s="34">
        <f>C28</f>
        <v>2022</v>
      </c>
      <c r="E29" s="56"/>
      <c r="F29" s="56">
        <v>452217642.49768585</v>
      </c>
      <c r="G29" s="56">
        <v>1618179969.0495389</v>
      </c>
      <c r="H29" s="56">
        <v>111560856.37</v>
      </c>
      <c r="I29" s="56">
        <v>100188317.62</v>
      </c>
      <c r="J29" s="57"/>
      <c r="K29" s="57">
        <f t="shared" si="18"/>
        <v>2282146785.5372248</v>
      </c>
      <c r="L29" s="56"/>
    </row>
    <row r="30" spans="1:12" ht="20.100000000000001" customHeight="1">
      <c r="A30" s="41">
        <v>18</v>
      </c>
      <c r="B30" s="33" t="s">
        <v>160</v>
      </c>
      <c r="C30" s="34">
        <f t="shared" ref="C30:C39" si="19">C29</f>
        <v>2022</v>
      </c>
      <c r="E30" s="56"/>
      <c r="F30" s="56">
        <v>454732855.7562871</v>
      </c>
      <c r="G30" s="56">
        <v>1623460997.0289624</v>
      </c>
      <c r="H30" s="56">
        <v>112489408.95999999</v>
      </c>
      <c r="I30" s="56">
        <v>101088562.34999999</v>
      </c>
      <c r="J30" s="57"/>
      <c r="K30" s="57">
        <f t="shared" si="18"/>
        <v>2291771824.0952492</v>
      </c>
      <c r="L30" s="56"/>
    </row>
    <row r="31" spans="1:12" ht="20.100000000000001" customHeight="1">
      <c r="A31" s="41">
        <v>19</v>
      </c>
      <c r="B31" s="33" t="s">
        <v>161</v>
      </c>
      <c r="C31" s="34">
        <f t="shared" si="19"/>
        <v>2022</v>
      </c>
      <c r="E31" s="56"/>
      <c r="F31" s="56">
        <v>456284575.76170373</v>
      </c>
      <c r="G31" s="56">
        <v>1630460702.0481555</v>
      </c>
      <c r="H31" s="56">
        <v>113393867.02</v>
      </c>
      <c r="I31" s="56">
        <v>102071782.75</v>
      </c>
      <c r="J31" s="57"/>
      <c r="K31" s="57">
        <f t="shared" si="18"/>
        <v>2302210927.5798593</v>
      </c>
      <c r="L31" s="56"/>
    </row>
    <row r="32" spans="1:12" ht="20.100000000000001" customHeight="1">
      <c r="A32" s="41">
        <v>20</v>
      </c>
      <c r="B32" s="33" t="s">
        <v>162</v>
      </c>
      <c r="C32" s="34">
        <f t="shared" si="19"/>
        <v>2022</v>
      </c>
      <c r="E32" s="56"/>
      <c r="F32" s="56">
        <v>458409277.69712967</v>
      </c>
      <c r="G32" s="56">
        <v>1638719552.8571186</v>
      </c>
      <c r="H32" s="56">
        <v>114299571.34</v>
      </c>
      <c r="I32" s="56">
        <v>102993699.67</v>
      </c>
      <c r="J32" s="57"/>
      <c r="K32" s="57">
        <f t="shared" si="18"/>
        <v>2314422101.5642486</v>
      </c>
      <c r="L32" s="56"/>
    </row>
    <row r="33" spans="1:12" ht="20.100000000000001" customHeight="1">
      <c r="A33" s="41">
        <v>21</v>
      </c>
      <c r="B33" s="33" t="s">
        <v>173</v>
      </c>
      <c r="C33" s="34">
        <f t="shared" si="19"/>
        <v>2022</v>
      </c>
      <c r="E33" s="56"/>
      <c r="F33" s="56">
        <v>461025310.42177242</v>
      </c>
      <c r="G33" s="56">
        <v>1641689009.4917994</v>
      </c>
      <c r="H33" s="56">
        <v>115239209.5</v>
      </c>
      <c r="I33" s="56">
        <v>103927406.83</v>
      </c>
      <c r="J33" s="57"/>
      <c r="K33" s="57">
        <f t="shared" si="18"/>
        <v>2321880936.2435718</v>
      </c>
      <c r="L33" s="56"/>
    </row>
    <row r="34" spans="1:12" ht="20.100000000000001" customHeight="1">
      <c r="A34" s="41">
        <v>22</v>
      </c>
      <c r="B34" s="33" t="s">
        <v>163</v>
      </c>
      <c r="C34" s="34">
        <f t="shared" si="19"/>
        <v>2022</v>
      </c>
      <c r="E34" s="56"/>
      <c r="F34" s="56">
        <v>460066652.31262487</v>
      </c>
      <c r="G34" s="56">
        <v>1650669293.2401459</v>
      </c>
      <c r="H34" s="56">
        <v>116073570.81</v>
      </c>
      <c r="I34" s="56">
        <v>100069248.03</v>
      </c>
      <c r="J34" s="57"/>
      <c r="K34" s="57">
        <f t="shared" si="18"/>
        <v>2326878764.3927712</v>
      </c>
      <c r="L34" s="56"/>
    </row>
    <row r="35" spans="1:12" ht="20.100000000000001" customHeight="1">
      <c r="A35" s="41">
        <v>23</v>
      </c>
      <c r="B35" s="33" t="s">
        <v>164</v>
      </c>
      <c r="C35" s="34">
        <f t="shared" si="19"/>
        <v>2022</v>
      </c>
      <c r="E35" s="56"/>
      <c r="F35" s="56">
        <v>461287647.96422821</v>
      </c>
      <c r="G35" s="56">
        <v>1659181946.5181589</v>
      </c>
      <c r="H35" s="56">
        <v>116909378.34</v>
      </c>
      <c r="I35" s="56">
        <v>100979823.81999999</v>
      </c>
      <c r="J35" s="57"/>
      <c r="K35" s="57">
        <f t="shared" si="18"/>
        <v>2338358796.6423874</v>
      </c>
      <c r="L35" s="56"/>
    </row>
    <row r="36" spans="1:12" ht="20.100000000000001" customHeight="1">
      <c r="A36" s="41">
        <v>24</v>
      </c>
      <c r="B36" s="33" t="s">
        <v>165</v>
      </c>
      <c r="C36" s="34">
        <f t="shared" si="19"/>
        <v>2022</v>
      </c>
      <c r="E36" s="56"/>
      <c r="F36" s="56">
        <v>463898699.59532487</v>
      </c>
      <c r="G36" s="56">
        <v>1666246074.9360986</v>
      </c>
      <c r="H36" s="56">
        <v>117826122.18000001</v>
      </c>
      <c r="I36" s="56">
        <v>101900050.72</v>
      </c>
      <c r="J36" s="57"/>
      <c r="K36" s="57">
        <f t="shared" si="18"/>
        <v>2349870947.4314232</v>
      </c>
      <c r="L36" s="56"/>
    </row>
    <row r="37" spans="1:12" ht="20.100000000000001" customHeight="1">
      <c r="A37" s="41">
        <v>25</v>
      </c>
      <c r="B37" s="33" t="s">
        <v>167</v>
      </c>
      <c r="C37" s="34">
        <f t="shared" si="19"/>
        <v>2022</v>
      </c>
      <c r="E37" s="56"/>
      <c r="F37" s="56">
        <v>466052279.59538484</v>
      </c>
      <c r="G37" s="56">
        <v>1671268087.8839653</v>
      </c>
      <c r="H37" s="56">
        <v>118819692.33</v>
      </c>
      <c r="I37" s="56">
        <v>102837797.25</v>
      </c>
      <c r="J37" s="57"/>
      <c r="K37" s="57">
        <f t="shared" si="18"/>
        <v>2358977857.05935</v>
      </c>
      <c r="L37" s="56"/>
    </row>
    <row r="38" spans="1:12" ht="20.100000000000001" customHeight="1">
      <c r="A38" s="41">
        <v>26</v>
      </c>
      <c r="B38" s="33" t="s">
        <v>166</v>
      </c>
      <c r="C38" s="34">
        <f t="shared" si="19"/>
        <v>2022</v>
      </c>
      <c r="E38" s="56"/>
      <c r="F38" s="56">
        <v>467432390.45822316</v>
      </c>
      <c r="G38" s="56">
        <v>1678572617.6134977</v>
      </c>
      <c r="H38" s="56">
        <v>119810338.31999999</v>
      </c>
      <c r="I38" s="56">
        <v>102069176.64</v>
      </c>
      <c r="J38" s="57"/>
      <c r="K38" s="57">
        <f t="shared" si="18"/>
        <v>2367884523.0317206</v>
      </c>
      <c r="L38" s="56"/>
    </row>
    <row r="39" spans="1:12" ht="20.100000000000001" customHeight="1">
      <c r="A39" s="41">
        <v>27</v>
      </c>
      <c r="B39" s="33" t="s">
        <v>157</v>
      </c>
      <c r="C39" s="34">
        <f t="shared" si="19"/>
        <v>2022</v>
      </c>
      <c r="E39" s="56"/>
      <c r="F39" s="56">
        <v>466836328.40783954</v>
      </c>
      <c r="G39" s="56">
        <v>1687826982.3061805</v>
      </c>
      <c r="H39" s="56">
        <v>119292477</v>
      </c>
      <c r="I39" s="56">
        <v>102600967.00999999</v>
      </c>
      <c r="J39" s="57"/>
      <c r="K39" s="57">
        <f t="shared" si="18"/>
        <v>2376556754.72402</v>
      </c>
      <c r="L39" s="56"/>
    </row>
    <row r="40" spans="1:12" ht="20.100000000000001" customHeight="1">
      <c r="E40" s="58"/>
      <c r="F40" s="58"/>
      <c r="G40" s="58"/>
      <c r="H40" s="58"/>
      <c r="I40" s="58"/>
      <c r="J40" s="57"/>
      <c r="K40" s="57"/>
    </row>
    <row r="41" spans="1:12" ht="20.100000000000001" customHeight="1">
      <c r="A41" s="41">
        <v>28</v>
      </c>
      <c r="B41" s="33" t="s">
        <v>181</v>
      </c>
      <c r="E41" s="58">
        <f>SUM(E27:E39)/13</f>
        <v>0</v>
      </c>
      <c r="F41" s="58">
        <f t="shared" ref="F41:K41" si="20">SUM(F27:F39)/13</f>
        <v>459277964.95934385</v>
      </c>
      <c r="G41" s="58">
        <f>SUM(G27:G39)/13</f>
        <v>1645697541.4179621</v>
      </c>
      <c r="H41" s="58">
        <f>SUM(H27:H39)/13</f>
        <v>115082300.64846152</v>
      </c>
      <c r="I41" s="58">
        <f t="shared" si="20"/>
        <v>101420338.21384618</v>
      </c>
      <c r="J41" s="58"/>
      <c r="K41" s="58">
        <f t="shared" si="20"/>
        <v>2321478145.2396135</v>
      </c>
    </row>
    <row r="44" spans="1:12" ht="20.100000000000001" customHeight="1">
      <c r="B44" s="45" t="s">
        <v>498</v>
      </c>
      <c r="C44" s="46"/>
      <c r="D44" s="46"/>
      <c r="E44" s="47"/>
      <c r="F44" s="47"/>
      <c r="G44" s="48"/>
      <c r="H44" s="292"/>
      <c r="I44" s="292"/>
      <c r="J44" s="53"/>
      <c r="K44" s="54"/>
      <c r="L44" s="54"/>
    </row>
    <row r="45" spans="1:12" ht="20.100000000000001" customHeight="1">
      <c r="B45" s="49"/>
      <c r="E45" s="39" t="s">
        <v>174</v>
      </c>
      <c r="F45" s="39" t="s">
        <v>22</v>
      </c>
      <c r="G45" s="39" t="s">
        <v>175</v>
      </c>
      <c r="H45" s="39" t="s">
        <v>177</v>
      </c>
      <c r="I45" s="39" t="s">
        <v>176</v>
      </c>
      <c r="J45" s="33"/>
    </row>
    <row r="46" spans="1:12" ht="20.100000000000001" customHeight="1">
      <c r="B46" s="49"/>
      <c r="E46" s="33"/>
      <c r="F46" s="39"/>
      <c r="G46" s="39"/>
      <c r="H46" s="33"/>
      <c r="I46" s="39"/>
      <c r="J46" s="33"/>
    </row>
    <row r="47" spans="1:12" ht="20.100000000000001" customHeight="1">
      <c r="B47" s="49"/>
      <c r="D47" s="36" t="s">
        <v>189</v>
      </c>
      <c r="E47" s="38" t="s">
        <v>485</v>
      </c>
      <c r="F47" s="38" t="s">
        <v>485</v>
      </c>
      <c r="G47" s="38" t="s">
        <v>485</v>
      </c>
      <c r="H47" s="38" t="s">
        <v>485</v>
      </c>
      <c r="I47" s="38" t="s">
        <v>485</v>
      </c>
      <c r="J47" s="33"/>
    </row>
    <row r="48" spans="1:12" ht="20.100000000000001" customHeight="1">
      <c r="A48" s="41">
        <v>29</v>
      </c>
      <c r="B48" s="49" t="s">
        <v>157</v>
      </c>
      <c r="C48" s="34">
        <f>C8</f>
        <v>2021</v>
      </c>
      <c r="E48" s="56"/>
      <c r="F48" s="56">
        <v>1646.02</v>
      </c>
      <c r="G48" s="56">
        <v>29684.41</v>
      </c>
      <c r="H48" s="297"/>
      <c r="I48" s="56">
        <v>794135.05</v>
      </c>
      <c r="J48" s="33"/>
    </row>
    <row r="49" spans="1:10" ht="20.100000000000001" customHeight="1">
      <c r="A49" s="41">
        <v>30</v>
      </c>
      <c r="B49" s="49" t="s">
        <v>158</v>
      </c>
      <c r="C49" s="34">
        <f>C48+1</f>
        <v>2022</v>
      </c>
      <c r="E49" s="56"/>
      <c r="F49" s="56">
        <v>1649.99</v>
      </c>
      <c r="G49" s="56">
        <v>29758.19</v>
      </c>
      <c r="H49" s="297"/>
      <c r="I49" s="56">
        <v>800903.87</v>
      </c>
      <c r="J49" s="33"/>
    </row>
    <row r="50" spans="1:10" ht="20.100000000000001" customHeight="1">
      <c r="A50" s="41">
        <v>31</v>
      </c>
      <c r="B50" s="49" t="s">
        <v>159</v>
      </c>
      <c r="C50" s="34">
        <f>C49</f>
        <v>2022</v>
      </c>
      <c r="E50" s="56"/>
      <c r="F50" s="56">
        <v>1653.96</v>
      </c>
      <c r="G50" s="56">
        <v>29831.96</v>
      </c>
      <c r="H50" s="297"/>
      <c r="I50" s="56">
        <v>807672.69</v>
      </c>
      <c r="J50" s="33"/>
    </row>
    <row r="51" spans="1:10" ht="20.100000000000001" customHeight="1">
      <c r="A51" s="41">
        <v>32</v>
      </c>
      <c r="B51" s="49" t="s">
        <v>160</v>
      </c>
      <c r="C51" s="34">
        <f t="shared" ref="C51:C60" si="21">C50</f>
        <v>2022</v>
      </c>
      <c r="E51" s="56"/>
      <c r="F51" s="56">
        <v>1657.93</v>
      </c>
      <c r="G51" s="56">
        <v>29905.739999999998</v>
      </c>
      <c r="H51" s="297"/>
      <c r="I51" s="56">
        <v>814441.50999999989</v>
      </c>
      <c r="J51" s="33"/>
    </row>
    <row r="52" spans="1:10" ht="20.100000000000001" customHeight="1">
      <c r="A52" s="41">
        <v>33</v>
      </c>
      <c r="B52" s="49" t="s">
        <v>161</v>
      </c>
      <c r="C52" s="34">
        <f t="shared" si="21"/>
        <v>2022</v>
      </c>
      <c r="E52" s="56"/>
      <c r="F52" s="56">
        <v>1661.9</v>
      </c>
      <c r="G52" s="56">
        <v>29979.51</v>
      </c>
      <c r="H52" s="297"/>
      <c r="I52" s="56">
        <v>821210.32</v>
      </c>
      <c r="J52" s="33"/>
    </row>
    <row r="53" spans="1:10" ht="20.100000000000001" customHeight="1">
      <c r="A53" s="41">
        <v>34</v>
      </c>
      <c r="B53" s="49" t="s">
        <v>162</v>
      </c>
      <c r="C53" s="34">
        <f t="shared" si="21"/>
        <v>2022</v>
      </c>
      <c r="E53" s="56"/>
      <c r="F53" s="56">
        <v>1665.8700000000001</v>
      </c>
      <c r="G53" s="56">
        <v>30053.279999999999</v>
      </c>
      <c r="H53" s="297"/>
      <c r="I53" s="56">
        <v>827979.1399999999</v>
      </c>
      <c r="J53" s="33"/>
    </row>
    <row r="54" spans="1:10" ht="20.100000000000001" customHeight="1">
      <c r="A54" s="41">
        <v>35</v>
      </c>
      <c r="B54" s="49" t="s">
        <v>173</v>
      </c>
      <c r="C54" s="34">
        <f t="shared" si="21"/>
        <v>2022</v>
      </c>
      <c r="E54" s="56"/>
      <c r="F54" s="56">
        <v>1669.8400000000001</v>
      </c>
      <c r="G54" s="56">
        <v>30127.05</v>
      </c>
      <c r="H54" s="297"/>
      <c r="I54" s="56">
        <v>834747.95999999985</v>
      </c>
      <c r="J54" s="33"/>
    </row>
    <row r="55" spans="1:10" ht="20.100000000000001" customHeight="1">
      <c r="A55" s="41">
        <v>36</v>
      </c>
      <c r="B55" s="49" t="s">
        <v>163</v>
      </c>
      <c r="C55" s="34">
        <f t="shared" si="21"/>
        <v>2022</v>
      </c>
      <c r="E55" s="56"/>
      <c r="F55" s="56">
        <v>1673.8100000000002</v>
      </c>
      <c r="G55" s="56">
        <v>30200.82</v>
      </c>
      <c r="H55" s="297"/>
      <c r="I55" s="56">
        <v>841516.7799999998</v>
      </c>
      <c r="J55" s="33"/>
    </row>
    <row r="56" spans="1:10" ht="20.100000000000001" customHeight="1">
      <c r="A56" s="41">
        <v>37</v>
      </c>
      <c r="B56" s="49" t="s">
        <v>164</v>
      </c>
      <c r="C56" s="34">
        <f t="shared" si="21"/>
        <v>2022</v>
      </c>
      <c r="E56" s="56"/>
      <c r="F56" s="56">
        <v>1677.7800000000002</v>
      </c>
      <c r="G56" s="56">
        <v>30274.6</v>
      </c>
      <c r="H56" s="297"/>
      <c r="I56" s="56">
        <v>848285.59999999974</v>
      </c>
      <c r="J56" s="33"/>
    </row>
    <row r="57" spans="1:10" ht="20.100000000000001" customHeight="1">
      <c r="A57" s="41">
        <v>38</v>
      </c>
      <c r="B57" s="49" t="s">
        <v>165</v>
      </c>
      <c r="C57" s="34">
        <f t="shared" si="21"/>
        <v>2022</v>
      </c>
      <c r="E57" s="56"/>
      <c r="F57" s="56">
        <v>1681.7500000000002</v>
      </c>
      <c r="G57" s="56">
        <v>30348.379999999997</v>
      </c>
      <c r="H57" s="297"/>
      <c r="I57" s="56">
        <v>855054.4099999998</v>
      </c>
      <c r="J57" s="33"/>
    </row>
    <row r="58" spans="1:10" ht="20.100000000000001" customHeight="1">
      <c r="A58" s="41">
        <v>39</v>
      </c>
      <c r="B58" s="49" t="s">
        <v>167</v>
      </c>
      <c r="C58" s="34">
        <f t="shared" si="21"/>
        <v>2022</v>
      </c>
      <c r="E58" s="56"/>
      <c r="F58" s="56">
        <v>1685.7200000000003</v>
      </c>
      <c r="G58" s="56">
        <v>30422.159999999996</v>
      </c>
      <c r="H58" s="297"/>
      <c r="I58" s="56">
        <v>861823.21999999986</v>
      </c>
      <c r="J58" s="33"/>
    </row>
    <row r="59" spans="1:10" ht="20.100000000000001" customHeight="1">
      <c r="A59" s="41">
        <v>40</v>
      </c>
      <c r="B59" s="49" t="s">
        <v>166</v>
      </c>
      <c r="C59" s="34">
        <f t="shared" si="21"/>
        <v>2022</v>
      </c>
      <c r="E59" s="56"/>
      <c r="F59" s="56">
        <v>1689.6900000000003</v>
      </c>
      <c r="G59" s="56">
        <v>30495.939999999995</v>
      </c>
      <c r="H59" s="297"/>
      <c r="I59" s="56">
        <v>868592.02999999991</v>
      </c>
      <c r="J59" s="33"/>
    </row>
    <row r="60" spans="1:10" ht="20.100000000000001" customHeight="1">
      <c r="A60" s="41">
        <v>41</v>
      </c>
      <c r="B60" s="49" t="s">
        <v>157</v>
      </c>
      <c r="C60" s="34">
        <f t="shared" si="21"/>
        <v>2022</v>
      </c>
      <c r="E60" s="56"/>
      <c r="F60" s="56">
        <v>1693.6600000000003</v>
      </c>
      <c r="G60" s="56">
        <v>30569.709999999995</v>
      </c>
      <c r="H60" s="297"/>
      <c r="I60" s="56">
        <v>875360.84</v>
      </c>
      <c r="J60" s="33"/>
    </row>
    <row r="61" spans="1:10" ht="20.100000000000001" customHeight="1">
      <c r="B61" s="49"/>
      <c r="E61" s="33"/>
      <c r="F61" s="60"/>
      <c r="G61" s="33"/>
      <c r="H61" s="33"/>
      <c r="I61" s="33"/>
      <c r="J61" s="33"/>
    </row>
    <row r="62" spans="1:10" ht="20.100000000000001" customHeight="1">
      <c r="A62" s="41">
        <v>42</v>
      </c>
      <c r="B62" s="50" t="s">
        <v>181</v>
      </c>
      <c r="C62" s="51"/>
      <c r="D62" s="51"/>
      <c r="E62" s="61">
        <f t="shared" ref="E62:I62" si="22">SUM(E48:E60)/13</f>
        <v>0</v>
      </c>
      <c r="F62" s="61">
        <f>SUM(F48:F60)/13</f>
        <v>1669.8400000000001</v>
      </c>
      <c r="G62" s="61">
        <f t="shared" si="22"/>
        <v>30127.057692307691</v>
      </c>
      <c r="H62" s="61">
        <f t="shared" si="22"/>
        <v>0</v>
      </c>
      <c r="I62" s="61">
        <f t="shared" si="22"/>
        <v>834747.95538461523</v>
      </c>
      <c r="J62" s="33"/>
    </row>
    <row r="64" spans="1:10" ht="20.100000000000001" customHeight="1">
      <c r="A64" s="33" t="s">
        <v>183</v>
      </c>
    </row>
    <row r="65" spans="1:2" ht="20.100000000000001" customHeight="1">
      <c r="A65" s="37" t="s">
        <v>182</v>
      </c>
      <c r="B65" s="33" t="s">
        <v>773</v>
      </c>
    </row>
    <row r="66" spans="1:2" ht="20.100000000000001" customHeight="1">
      <c r="A66" s="37" t="s">
        <v>189</v>
      </c>
      <c r="B66" s="33" t="s">
        <v>184</v>
      </c>
    </row>
    <row r="67" spans="1:2" ht="20.100000000000001" customHeight="1">
      <c r="A67" s="37" t="s">
        <v>221</v>
      </c>
      <c r="B67" s="33" t="s">
        <v>500</v>
      </c>
    </row>
    <row r="69" spans="1:2" ht="20.100000000000001" customHeight="1">
      <c r="A69" s="33"/>
    </row>
  </sheetData>
  <customSheetViews>
    <customSheetView guid="{E1861F40-EBD5-44AE-868B-FDE0ED504D72}" scale="85">
      <selection activeCell="E9" sqref="E9"/>
      <pageMargins left="0.7" right="0.7" top="0.75" bottom="0.75" header="0.3" footer="0.3"/>
      <pageSetup scale="55" fitToWidth="0" fitToHeight="0" orientation="portrait" r:id="rId1"/>
    </customSheetView>
  </customSheetViews>
  <pageMargins left="0.7" right="0.7" top="0.75" bottom="0.75" header="0.3" footer="0.3"/>
  <pageSetup scale="48" fitToWidth="0" fitToHeight="0"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7">
    <pageSetUpPr fitToPage="1"/>
  </sheetPr>
  <dimension ref="A1:AV124"/>
  <sheetViews>
    <sheetView zoomScale="70" zoomScaleNormal="70" zoomScalePageLayoutView="50" workbookViewId="0">
      <selection activeCell="C2" sqref="C2"/>
    </sheetView>
  </sheetViews>
  <sheetFormatPr defaultColWidth="5" defaultRowHeight="15.6"/>
  <cols>
    <col min="1" max="1" width="7.08984375" style="605" customWidth="1"/>
    <col min="2" max="2" width="2.7265625" style="605" bestFit="1" customWidth="1"/>
    <col min="3" max="3" width="89.08984375" style="604" bestFit="1" customWidth="1"/>
    <col min="4" max="4" width="0.7265625" style="604" customWidth="1"/>
    <col min="5" max="5" width="11.453125" style="741" customWidth="1"/>
    <col min="6" max="6" width="1.08984375" style="741" customWidth="1"/>
    <col min="7" max="7" width="10.08984375" style="606" bestFit="1" customWidth="1"/>
    <col min="8" max="8" width="1" style="741" customWidth="1"/>
    <col min="9" max="9" width="13.453125" style="606" customWidth="1"/>
    <col min="10" max="10" width="1.08984375" style="606" customWidth="1"/>
    <col min="11" max="11" width="0.7265625" style="604" customWidth="1"/>
    <col min="12" max="12" width="13.453125" style="606" customWidth="1"/>
    <col min="13" max="14" width="0.7265625" style="604" customWidth="1"/>
    <col min="15" max="15" width="13.453125" style="606" customWidth="1"/>
    <col min="16" max="17" width="0.7265625" style="604" customWidth="1"/>
    <col min="18" max="18" width="13.453125" style="606" customWidth="1"/>
    <col min="19" max="20" width="0.7265625" style="604" customWidth="1"/>
    <col min="21" max="21" width="13.453125" style="605" customWidth="1"/>
    <col min="22" max="22" width="0.54296875" style="604" customWidth="1"/>
    <col min="23" max="23" width="13.453125" style="605" customWidth="1"/>
    <col min="24" max="24" width="0.54296875" style="604" customWidth="1"/>
    <col min="25" max="25" width="15.7265625" style="605" customWidth="1"/>
    <col min="26" max="26" width="0.54296875" style="604" customWidth="1"/>
    <col min="27" max="28" width="5" style="604"/>
    <col min="29" max="29" width="12.08984375" style="604" customWidth="1"/>
    <col min="30" max="236" width="5" style="604"/>
    <col min="237" max="237" width="4.7265625" style="604" customWidth="1"/>
    <col min="238" max="238" width="2" style="604" customWidth="1"/>
    <col min="239" max="239" width="40.7265625" style="604" customWidth="1"/>
    <col min="240" max="240" width="3.54296875" style="604" customWidth="1"/>
    <col min="241" max="241" width="11.08984375" style="604" customWidth="1"/>
    <col min="242" max="242" width="2.7265625" style="604" customWidth="1"/>
    <col min="243" max="243" width="11.26953125" style="604" customWidth="1"/>
    <col min="244" max="244" width="2.7265625" style="604" customWidth="1"/>
    <col min="245" max="245" width="11.26953125" style="604" customWidth="1"/>
    <col min="246" max="246" width="2.7265625" style="604" customWidth="1"/>
    <col min="247" max="247" width="19.08984375" style="604" bestFit="1" customWidth="1"/>
    <col min="248" max="248" width="1.81640625" style="604" customWidth="1"/>
    <col min="249" max="249" width="6.7265625" style="604" customWidth="1"/>
    <col min="250" max="250" width="14.7265625" style="604" customWidth="1"/>
    <col min="251" max="251" width="9" style="604" bestFit="1" customWidth="1"/>
    <col min="252" max="492" width="5" style="604"/>
    <col min="493" max="493" width="4.7265625" style="604" customWidth="1"/>
    <col min="494" max="494" width="2" style="604" customWidth="1"/>
    <col min="495" max="495" width="40.7265625" style="604" customWidth="1"/>
    <col min="496" max="496" width="3.54296875" style="604" customWidth="1"/>
    <col min="497" max="497" width="11.08984375" style="604" customWidth="1"/>
    <col min="498" max="498" width="2.7265625" style="604" customWidth="1"/>
    <col min="499" max="499" width="11.26953125" style="604" customWidth="1"/>
    <col min="500" max="500" width="2.7265625" style="604" customWidth="1"/>
    <col min="501" max="501" width="11.26953125" style="604" customWidth="1"/>
    <col min="502" max="502" width="2.7265625" style="604" customWidth="1"/>
    <col min="503" max="503" width="19.08984375" style="604" bestFit="1" customWidth="1"/>
    <col min="504" max="504" width="1.81640625" style="604" customWidth="1"/>
    <col min="505" max="505" width="6.7265625" style="604" customWidth="1"/>
    <col min="506" max="506" width="14.7265625" style="604" customWidth="1"/>
    <col min="507" max="507" width="9" style="604" bestFit="1" customWidth="1"/>
    <col min="508" max="748" width="5" style="604"/>
    <col min="749" max="749" width="4.7265625" style="604" customWidth="1"/>
    <col min="750" max="750" width="2" style="604" customWidth="1"/>
    <col min="751" max="751" width="40.7265625" style="604" customWidth="1"/>
    <col min="752" max="752" width="3.54296875" style="604" customWidth="1"/>
    <col min="753" max="753" width="11.08984375" style="604" customWidth="1"/>
    <col min="754" max="754" width="2.7265625" style="604" customWidth="1"/>
    <col min="755" max="755" width="11.26953125" style="604" customWidth="1"/>
    <col min="756" max="756" width="2.7265625" style="604" customWidth="1"/>
    <col min="757" max="757" width="11.26953125" style="604" customWidth="1"/>
    <col min="758" max="758" width="2.7265625" style="604" customWidth="1"/>
    <col min="759" max="759" width="19.08984375" style="604" bestFit="1" customWidth="1"/>
    <col min="760" max="760" width="1.81640625" style="604" customWidth="1"/>
    <col min="761" max="761" width="6.7265625" style="604" customWidth="1"/>
    <col min="762" max="762" width="14.7265625" style="604" customWidth="1"/>
    <col min="763" max="763" width="9" style="604" bestFit="1" customWidth="1"/>
    <col min="764" max="1004" width="5" style="604"/>
    <col min="1005" max="1005" width="4.7265625" style="604" customWidth="1"/>
    <col min="1006" max="1006" width="2" style="604" customWidth="1"/>
    <col min="1007" max="1007" width="40.7265625" style="604" customWidth="1"/>
    <col min="1008" max="1008" width="3.54296875" style="604" customWidth="1"/>
    <col min="1009" max="1009" width="11.08984375" style="604" customWidth="1"/>
    <col min="1010" max="1010" width="2.7265625" style="604" customWidth="1"/>
    <col min="1011" max="1011" width="11.26953125" style="604" customWidth="1"/>
    <col min="1012" max="1012" width="2.7265625" style="604" customWidth="1"/>
    <col min="1013" max="1013" width="11.26953125" style="604" customWidth="1"/>
    <col min="1014" max="1014" width="2.7265625" style="604" customWidth="1"/>
    <col min="1015" max="1015" width="19.08984375" style="604" bestFit="1" customWidth="1"/>
    <col min="1016" max="1016" width="1.81640625" style="604" customWidth="1"/>
    <col min="1017" max="1017" width="6.7265625" style="604" customWidth="1"/>
    <col min="1018" max="1018" width="14.7265625" style="604" customWidth="1"/>
    <col min="1019" max="1019" width="9" style="604" bestFit="1" customWidth="1"/>
    <col min="1020" max="1260" width="5" style="604"/>
    <col min="1261" max="1261" width="4.7265625" style="604" customWidth="1"/>
    <col min="1262" max="1262" width="2" style="604" customWidth="1"/>
    <col min="1263" max="1263" width="40.7265625" style="604" customWidth="1"/>
    <col min="1264" max="1264" width="3.54296875" style="604" customWidth="1"/>
    <col min="1265" max="1265" width="11.08984375" style="604" customWidth="1"/>
    <col min="1266" max="1266" width="2.7265625" style="604" customWidth="1"/>
    <col min="1267" max="1267" width="11.26953125" style="604" customWidth="1"/>
    <col min="1268" max="1268" width="2.7265625" style="604" customWidth="1"/>
    <col min="1269" max="1269" width="11.26953125" style="604" customWidth="1"/>
    <col min="1270" max="1270" width="2.7265625" style="604" customWidth="1"/>
    <col min="1271" max="1271" width="19.08984375" style="604" bestFit="1" customWidth="1"/>
    <col min="1272" max="1272" width="1.81640625" style="604" customWidth="1"/>
    <col min="1273" max="1273" width="6.7265625" style="604" customWidth="1"/>
    <col min="1274" max="1274" width="14.7265625" style="604" customWidth="1"/>
    <col min="1275" max="1275" width="9" style="604" bestFit="1" customWidth="1"/>
    <col min="1276" max="1516" width="5" style="604"/>
    <col min="1517" max="1517" width="4.7265625" style="604" customWidth="1"/>
    <col min="1518" max="1518" width="2" style="604" customWidth="1"/>
    <col min="1519" max="1519" width="40.7265625" style="604" customWidth="1"/>
    <col min="1520" max="1520" width="3.54296875" style="604" customWidth="1"/>
    <col min="1521" max="1521" width="11.08984375" style="604" customWidth="1"/>
    <col min="1522" max="1522" width="2.7265625" style="604" customWidth="1"/>
    <col min="1523" max="1523" width="11.26953125" style="604" customWidth="1"/>
    <col min="1524" max="1524" width="2.7265625" style="604" customWidth="1"/>
    <col min="1525" max="1525" width="11.26953125" style="604" customWidth="1"/>
    <col min="1526" max="1526" width="2.7265625" style="604" customWidth="1"/>
    <col min="1527" max="1527" width="19.08984375" style="604" bestFit="1" customWidth="1"/>
    <col min="1528" max="1528" width="1.81640625" style="604" customWidth="1"/>
    <col min="1529" max="1529" width="6.7265625" style="604" customWidth="1"/>
    <col min="1530" max="1530" width="14.7265625" style="604" customWidth="1"/>
    <col min="1531" max="1531" width="9" style="604" bestFit="1" customWidth="1"/>
    <col min="1532" max="1772" width="5" style="604"/>
    <col min="1773" max="1773" width="4.7265625" style="604" customWidth="1"/>
    <col min="1774" max="1774" width="2" style="604" customWidth="1"/>
    <col min="1775" max="1775" width="40.7265625" style="604" customWidth="1"/>
    <col min="1776" max="1776" width="3.54296875" style="604" customWidth="1"/>
    <col min="1777" max="1777" width="11.08984375" style="604" customWidth="1"/>
    <col min="1778" max="1778" width="2.7265625" style="604" customWidth="1"/>
    <col min="1779" max="1779" width="11.26953125" style="604" customWidth="1"/>
    <col min="1780" max="1780" width="2.7265625" style="604" customWidth="1"/>
    <col min="1781" max="1781" width="11.26953125" style="604" customWidth="1"/>
    <col min="1782" max="1782" width="2.7265625" style="604" customWidth="1"/>
    <col min="1783" max="1783" width="19.08984375" style="604" bestFit="1" customWidth="1"/>
    <col min="1784" max="1784" width="1.81640625" style="604" customWidth="1"/>
    <col min="1785" max="1785" width="6.7265625" style="604" customWidth="1"/>
    <col min="1786" max="1786" width="14.7265625" style="604" customWidth="1"/>
    <col min="1787" max="1787" width="9" style="604" bestFit="1" customWidth="1"/>
    <col min="1788" max="2028" width="5" style="604"/>
    <col min="2029" max="2029" width="4.7265625" style="604" customWidth="1"/>
    <col min="2030" max="2030" width="2" style="604" customWidth="1"/>
    <col min="2031" max="2031" width="40.7265625" style="604" customWidth="1"/>
    <col min="2032" max="2032" width="3.54296875" style="604" customWidth="1"/>
    <col min="2033" max="2033" width="11.08984375" style="604" customWidth="1"/>
    <col min="2034" max="2034" width="2.7265625" style="604" customWidth="1"/>
    <col min="2035" max="2035" width="11.26953125" style="604" customWidth="1"/>
    <col min="2036" max="2036" width="2.7265625" style="604" customWidth="1"/>
    <col min="2037" max="2037" width="11.26953125" style="604" customWidth="1"/>
    <col min="2038" max="2038" width="2.7265625" style="604" customWidth="1"/>
    <col min="2039" max="2039" width="19.08984375" style="604" bestFit="1" customWidth="1"/>
    <col min="2040" max="2040" width="1.81640625" style="604" customWidth="1"/>
    <col min="2041" max="2041" width="6.7265625" style="604" customWidth="1"/>
    <col min="2042" max="2042" width="14.7265625" style="604" customWidth="1"/>
    <col min="2043" max="2043" width="9" style="604" bestFit="1" customWidth="1"/>
    <col min="2044" max="2284" width="5" style="604"/>
    <col min="2285" max="2285" width="4.7265625" style="604" customWidth="1"/>
    <col min="2286" max="2286" width="2" style="604" customWidth="1"/>
    <col min="2287" max="2287" width="40.7265625" style="604" customWidth="1"/>
    <col min="2288" max="2288" width="3.54296875" style="604" customWidth="1"/>
    <col min="2289" max="2289" width="11.08984375" style="604" customWidth="1"/>
    <col min="2290" max="2290" width="2.7265625" style="604" customWidth="1"/>
    <col min="2291" max="2291" width="11.26953125" style="604" customWidth="1"/>
    <col min="2292" max="2292" width="2.7265625" style="604" customWidth="1"/>
    <col min="2293" max="2293" width="11.26953125" style="604" customWidth="1"/>
    <col min="2294" max="2294" width="2.7265625" style="604" customWidth="1"/>
    <col min="2295" max="2295" width="19.08984375" style="604" bestFit="1" customWidth="1"/>
    <col min="2296" max="2296" width="1.81640625" style="604" customWidth="1"/>
    <col min="2297" max="2297" width="6.7265625" style="604" customWidth="1"/>
    <col min="2298" max="2298" width="14.7265625" style="604" customWidth="1"/>
    <col min="2299" max="2299" width="9" style="604" bestFit="1" customWidth="1"/>
    <col min="2300" max="2540" width="5" style="604"/>
    <col min="2541" max="2541" width="4.7265625" style="604" customWidth="1"/>
    <col min="2542" max="2542" width="2" style="604" customWidth="1"/>
    <col min="2543" max="2543" width="40.7265625" style="604" customWidth="1"/>
    <col min="2544" max="2544" width="3.54296875" style="604" customWidth="1"/>
    <col min="2545" max="2545" width="11.08984375" style="604" customWidth="1"/>
    <col min="2546" max="2546" width="2.7265625" style="604" customWidth="1"/>
    <col min="2547" max="2547" width="11.26953125" style="604" customWidth="1"/>
    <col min="2548" max="2548" width="2.7265625" style="604" customWidth="1"/>
    <col min="2549" max="2549" width="11.26953125" style="604" customWidth="1"/>
    <col min="2550" max="2550" width="2.7265625" style="604" customWidth="1"/>
    <col min="2551" max="2551" width="19.08984375" style="604" bestFit="1" customWidth="1"/>
    <col min="2552" max="2552" width="1.81640625" style="604" customWidth="1"/>
    <col min="2553" max="2553" width="6.7265625" style="604" customWidth="1"/>
    <col min="2554" max="2554" width="14.7265625" style="604" customWidth="1"/>
    <col min="2555" max="2555" width="9" style="604" bestFit="1" customWidth="1"/>
    <col min="2556" max="2796" width="5" style="604"/>
    <col min="2797" max="2797" width="4.7265625" style="604" customWidth="1"/>
    <col min="2798" max="2798" width="2" style="604" customWidth="1"/>
    <col min="2799" max="2799" width="40.7265625" style="604" customWidth="1"/>
    <col min="2800" max="2800" width="3.54296875" style="604" customWidth="1"/>
    <col min="2801" max="2801" width="11.08984375" style="604" customWidth="1"/>
    <col min="2802" max="2802" width="2.7265625" style="604" customWidth="1"/>
    <col min="2803" max="2803" width="11.26953125" style="604" customWidth="1"/>
    <col min="2804" max="2804" width="2.7265625" style="604" customWidth="1"/>
    <col min="2805" max="2805" width="11.26953125" style="604" customWidth="1"/>
    <col min="2806" max="2806" width="2.7265625" style="604" customWidth="1"/>
    <col min="2807" max="2807" width="19.08984375" style="604" bestFit="1" customWidth="1"/>
    <col min="2808" max="2808" width="1.81640625" style="604" customWidth="1"/>
    <col min="2809" max="2809" width="6.7265625" style="604" customWidth="1"/>
    <col min="2810" max="2810" width="14.7265625" style="604" customWidth="1"/>
    <col min="2811" max="2811" width="9" style="604" bestFit="1" customWidth="1"/>
    <col min="2812" max="3052" width="5" style="604"/>
    <col min="3053" max="3053" width="4.7265625" style="604" customWidth="1"/>
    <col min="3054" max="3054" width="2" style="604" customWidth="1"/>
    <col min="3055" max="3055" width="40.7265625" style="604" customWidth="1"/>
    <col min="3056" max="3056" width="3.54296875" style="604" customWidth="1"/>
    <col min="3057" max="3057" width="11.08984375" style="604" customWidth="1"/>
    <col min="3058" max="3058" width="2.7265625" style="604" customWidth="1"/>
    <col min="3059" max="3059" width="11.26953125" style="604" customWidth="1"/>
    <col min="3060" max="3060" width="2.7265625" style="604" customWidth="1"/>
    <col min="3061" max="3061" width="11.26953125" style="604" customWidth="1"/>
    <col min="3062" max="3062" width="2.7265625" style="604" customWidth="1"/>
    <col min="3063" max="3063" width="19.08984375" style="604" bestFit="1" customWidth="1"/>
    <col min="3064" max="3064" width="1.81640625" style="604" customWidth="1"/>
    <col min="3065" max="3065" width="6.7265625" style="604" customWidth="1"/>
    <col min="3066" max="3066" width="14.7265625" style="604" customWidth="1"/>
    <col min="3067" max="3067" width="9" style="604" bestFit="1" customWidth="1"/>
    <col min="3068" max="3308" width="5" style="604"/>
    <col min="3309" max="3309" width="4.7265625" style="604" customWidth="1"/>
    <col min="3310" max="3310" width="2" style="604" customWidth="1"/>
    <col min="3311" max="3311" width="40.7265625" style="604" customWidth="1"/>
    <col min="3312" max="3312" width="3.54296875" style="604" customWidth="1"/>
    <col min="3313" max="3313" width="11.08984375" style="604" customWidth="1"/>
    <col min="3314" max="3314" width="2.7265625" style="604" customWidth="1"/>
    <col min="3315" max="3315" width="11.26953125" style="604" customWidth="1"/>
    <col min="3316" max="3316" width="2.7265625" style="604" customWidth="1"/>
    <col min="3317" max="3317" width="11.26953125" style="604" customWidth="1"/>
    <col min="3318" max="3318" width="2.7265625" style="604" customWidth="1"/>
    <col min="3319" max="3319" width="19.08984375" style="604" bestFit="1" customWidth="1"/>
    <col min="3320" max="3320" width="1.81640625" style="604" customWidth="1"/>
    <col min="3321" max="3321" width="6.7265625" style="604" customWidth="1"/>
    <col min="3322" max="3322" width="14.7265625" style="604" customWidth="1"/>
    <col min="3323" max="3323" width="9" style="604" bestFit="1" customWidth="1"/>
    <col min="3324" max="3564" width="5" style="604"/>
    <col min="3565" max="3565" width="4.7265625" style="604" customWidth="1"/>
    <col min="3566" max="3566" width="2" style="604" customWidth="1"/>
    <col min="3567" max="3567" width="40.7265625" style="604" customWidth="1"/>
    <col min="3568" max="3568" width="3.54296875" style="604" customWidth="1"/>
    <col min="3569" max="3569" width="11.08984375" style="604" customWidth="1"/>
    <col min="3570" max="3570" width="2.7265625" style="604" customWidth="1"/>
    <col min="3571" max="3571" width="11.26953125" style="604" customWidth="1"/>
    <col min="3572" max="3572" width="2.7265625" style="604" customWidth="1"/>
    <col min="3573" max="3573" width="11.26953125" style="604" customWidth="1"/>
    <col min="3574" max="3574" width="2.7265625" style="604" customWidth="1"/>
    <col min="3575" max="3575" width="19.08984375" style="604" bestFit="1" customWidth="1"/>
    <col min="3576" max="3576" width="1.81640625" style="604" customWidth="1"/>
    <col min="3577" max="3577" width="6.7265625" style="604" customWidth="1"/>
    <col min="3578" max="3578" width="14.7265625" style="604" customWidth="1"/>
    <col min="3579" max="3579" width="9" style="604" bestFit="1" customWidth="1"/>
    <col min="3580" max="3820" width="5" style="604"/>
    <col min="3821" max="3821" width="4.7265625" style="604" customWidth="1"/>
    <col min="3822" max="3822" width="2" style="604" customWidth="1"/>
    <col min="3823" max="3823" width="40.7265625" style="604" customWidth="1"/>
    <col min="3824" max="3824" width="3.54296875" style="604" customWidth="1"/>
    <col min="3825" max="3825" width="11.08984375" style="604" customWidth="1"/>
    <col min="3826" max="3826" width="2.7265625" style="604" customWidth="1"/>
    <col min="3827" max="3827" width="11.26953125" style="604" customWidth="1"/>
    <col min="3828" max="3828" width="2.7265625" style="604" customWidth="1"/>
    <col min="3829" max="3829" width="11.26953125" style="604" customWidth="1"/>
    <col min="3830" max="3830" width="2.7265625" style="604" customWidth="1"/>
    <col min="3831" max="3831" width="19.08984375" style="604" bestFit="1" customWidth="1"/>
    <col min="3832" max="3832" width="1.81640625" style="604" customWidth="1"/>
    <col min="3833" max="3833" width="6.7265625" style="604" customWidth="1"/>
    <col min="3834" max="3834" width="14.7265625" style="604" customWidth="1"/>
    <col min="3835" max="3835" width="9" style="604" bestFit="1" customWidth="1"/>
    <col min="3836" max="4076" width="5" style="604"/>
    <col min="4077" max="4077" width="4.7265625" style="604" customWidth="1"/>
    <col min="4078" max="4078" width="2" style="604" customWidth="1"/>
    <col min="4079" max="4079" width="40.7265625" style="604" customWidth="1"/>
    <col min="4080" max="4080" width="3.54296875" style="604" customWidth="1"/>
    <col min="4081" max="4081" width="11.08984375" style="604" customWidth="1"/>
    <col min="4082" max="4082" width="2.7265625" style="604" customWidth="1"/>
    <col min="4083" max="4083" width="11.26953125" style="604" customWidth="1"/>
    <col min="4084" max="4084" width="2.7265625" style="604" customWidth="1"/>
    <col min="4085" max="4085" width="11.26953125" style="604" customWidth="1"/>
    <col min="4086" max="4086" width="2.7265625" style="604" customWidth="1"/>
    <col min="4087" max="4087" width="19.08984375" style="604" bestFit="1" customWidth="1"/>
    <col min="4088" max="4088" width="1.81640625" style="604" customWidth="1"/>
    <col min="4089" max="4089" width="6.7265625" style="604" customWidth="1"/>
    <col min="4090" max="4090" width="14.7265625" style="604" customWidth="1"/>
    <col min="4091" max="4091" width="9" style="604" bestFit="1" customWidth="1"/>
    <col min="4092" max="4332" width="5" style="604"/>
    <col min="4333" max="4333" width="4.7265625" style="604" customWidth="1"/>
    <col min="4334" max="4334" width="2" style="604" customWidth="1"/>
    <col min="4335" max="4335" width="40.7265625" style="604" customWidth="1"/>
    <col min="4336" max="4336" width="3.54296875" style="604" customWidth="1"/>
    <col min="4337" max="4337" width="11.08984375" style="604" customWidth="1"/>
    <col min="4338" max="4338" width="2.7265625" style="604" customWidth="1"/>
    <col min="4339" max="4339" width="11.26953125" style="604" customWidth="1"/>
    <col min="4340" max="4340" width="2.7265625" style="604" customWidth="1"/>
    <col min="4341" max="4341" width="11.26953125" style="604" customWidth="1"/>
    <col min="4342" max="4342" width="2.7265625" style="604" customWidth="1"/>
    <col min="4343" max="4343" width="19.08984375" style="604" bestFit="1" customWidth="1"/>
    <col min="4344" max="4344" width="1.81640625" style="604" customWidth="1"/>
    <col min="4345" max="4345" width="6.7265625" style="604" customWidth="1"/>
    <col min="4346" max="4346" width="14.7265625" style="604" customWidth="1"/>
    <col min="4347" max="4347" width="9" style="604" bestFit="1" customWidth="1"/>
    <col min="4348" max="4588" width="5" style="604"/>
    <col min="4589" max="4589" width="4.7265625" style="604" customWidth="1"/>
    <col min="4590" max="4590" width="2" style="604" customWidth="1"/>
    <col min="4591" max="4591" width="40.7265625" style="604" customWidth="1"/>
    <col min="4592" max="4592" width="3.54296875" style="604" customWidth="1"/>
    <col min="4593" max="4593" width="11.08984375" style="604" customWidth="1"/>
    <col min="4594" max="4594" width="2.7265625" style="604" customWidth="1"/>
    <col min="4595" max="4595" width="11.26953125" style="604" customWidth="1"/>
    <col min="4596" max="4596" width="2.7265625" style="604" customWidth="1"/>
    <col min="4597" max="4597" width="11.26953125" style="604" customWidth="1"/>
    <col min="4598" max="4598" width="2.7265625" style="604" customWidth="1"/>
    <col min="4599" max="4599" width="19.08984375" style="604" bestFit="1" customWidth="1"/>
    <col min="4600" max="4600" width="1.81640625" style="604" customWidth="1"/>
    <col min="4601" max="4601" width="6.7265625" style="604" customWidth="1"/>
    <col min="4602" max="4602" width="14.7265625" style="604" customWidth="1"/>
    <col min="4603" max="4603" width="9" style="604" bestFit="1" customWidth="1"/>
    <col min="4604" max="4844" width="5" style="604"/>
    <col min="4845" max="4845" width="4.7265625" style="604" customWidth="1"/>
    <col min="4846" max="4846" width="2" style="604" customWidth="1"/>
    <col min="4847" max="4847" width="40.7265625" style="604" customWidth="1"/>
    <col min="4848" max="4848" width="3.54296875" style="604" customWidth="1"/>
    <col min="4849" max="4849" width="11.08984375" style="604" customWidth="1"/>
    <col min="4850" max="4850" width="2.7265625" style="604" customWidth="1"/>
    <col min="4851" max="4851" width="11.26953125" style="604" customWidth="1"/>
    <col min="4852" max="4852" width="2.7265625" style="604" customWidth="1"/>
    <col min="4853" max="4853" width="11.26953125" style="604" customWidth="1"/>
    <col min="4854" max="4854" width="2.7265625" style="604" customWidth="1"/>
    <col min="4855" max="4855" width="19.08984375" style="604" bestFit="1" customWidth="1"/>
    <col min="4856" max="4856" width="1.81640625" style="604" customWidth="1"/>
    <col min="4857" max="4857" width="6.7265625" style="604" customWidth="1"/>
    <col min="4858" max="4858" width="14.7265625" style="604" customWidth="1"/>
    <col min="4859" max="4859" width="9" style="604" bestFit="1" customWidth="1"/>
    <col min="4860" max="5100" width="5" style="604"/>
    <col min="5101" max="5101" width="4.7265625" style="604" customWidth="1"/>
    <col min="5102" max="5102" width="2" style="604" customWidth="1"/>
    <col min="5103" max="5103" width="40.7265625" style="604" customWidth="1"/>
    <col min="5104" max="5104" width="3.54296875" style="604" customWidth="1"/>
    <col min="5105" max="5105" width="11.08984375" style="604" customWidth="1"/>
    <col min="5106" max="5106" width="2.7265625" style="604" customWidth="1"/>
    <col min="5107" max="5107" width="11.26953125" style="604" customWidth="1"/>
    <col min="5108" max="5108" width="2.7265625" style="604" customWidth="1"/>
    <col min="5109" max="5109" width="11.26953125" style="604" customWidth="1"/>
    <col min="5110" max="5110" width="2.7265625" style="604" customWidth="1"/>
    <col min="5111" max="5111" width="19.08984375" style="604" bestFit="1" customWidth="1"/>
    <col min="5112" max="5112" width="1.81640625" style="604" customWidth="1"/>
    <col min="5113" max="5113" width="6.7265625" style="604" customWidth="1"/>
    <col min="5114" max="5114" width="14.7265625" style="604" customWidth="1"/>
    <col min="5115" max="5115" width="9" style="604" bestFit="1" customWidth="1"/>
    <col min="5116" max="5356" width="5" style="604"/>
    <col min="5357" max="5357" width="4.7265625" style="604" customWidth="1"/>
    <col min="5358" max="5358" width="2" style="604" customWidth="1"/>
    <col min="5359" max="5359" width="40.7265625" style="604" customWidth="1"/>
    <col min="5360" max="5360" width="3.54296875" style="604" customWidth="1"/>
    <col min="5361" max="5361" width="11.08984375" style="604" customWidth="1"/>
    <col min="5362" max="5362" width="2.7265625" style="604" customWidth="1"/>
    <col min="5363" max="5363" width="11.26953125" style="604" customWidth="1"/>
    <col min="5364" max="5364" width="2.7265625" style="604" customWidth="1"/>
    <col min="5365" max="5365" width="11.26953125" style="604" customWidth="1"/>
    <col min="5366" max="5366" width="2.7265625" style="604" customWidth="1"/>
    <col min="5367" max="5367" width="19.08984375" style="604" bestFit="1" customWidth="1"/>
    <col min="5368" max="5368" width="1.81640625" style="604" customWidth="1"/>
    <col min="5369" max="5369" width="6.7265625" style="604" customWidth="1"/>
    <col min="5370" max="5370" width="14.7265625" style="604" customWidth="1"/>
    <col min="5371" max="5371" width="9" style="604" bestFit="1" customWidth="1"/>
    <col min="5372" max="5612" width="5" style="604"/>
    <col min="5613" max="5613" width="4.7265625" style="604" customWidth="1"/>
    <col min="5614" max="5614" width="2" style="604" customWidth="1"/>
    <col min="5615" max="5615" width="40.7265625" style="604" customWidth="1"/>
    <col min="5616" max="5616" width="3.54296875" style="604" customWidth="1"/>
    <col min="5617" max="5617" width="11.08984375" style="604" customWidth="1"/>
    <col min="5618" max="5618" width="2.7265625" style="604" customWidth="1"/>
    <col min="5619" max="5619" width="11.26953125" style="604" customWidth="1"/>
    <col min="5620" max="5620" width="2.7265625" style="604" customWidth="1"/>
    <col min="5621" max="5621" width="11.26953125" style="604" customWidth="1"/>
    <col min="5622" max="5622" width="2.7265625" style="604" customWidth="1"/>
    <col min="5623" max="5623" width="19.08984375" style="604" bestFit="1" customWidth="1"/>
    <col min="5624" max="5624" width="1.81640625" style="604" customWidth="1"/>
    <col min="5625" max="5625" width="6.7265625" style="604" customWidth="1"/>
    <col min="5626" max="5626" width="14.7265625" style="604" customWidth="1"/>
    <col min="5627" max="5627" width="9" style="604" bestFit="1" customWidth="1"/>
    <col min="5628" max="5868" width="5" style="604"/>
    <col min="5869" max="5869" width="4.7265625" style="604" customWidth="1"/>
    <col min="5870" max="5870" width="2" style="604" customWidth="1"/>
    <col min="5871" max="5871" width="40.7265625" style="604" customWidth="1"/>
    <col min="5872" max="5872" width="3.54296875" style="604" customWidth="1"/>
    <col min="5873" max="5873" width="11.08984375" style="604" customWidth="1"/>
    <col min="5874" max="5874" width="2.7265625" style="604" customWidth="1"/>
    <col min="5875" max="5875" width="11.26953125" style="604" customWidth="1"/>
    <col min="5876" max="5876" width="2.7265625" style="604" customWidth="1"/>
    <col min="5877" max="5877" width="11.26953125" style="604" customWidth="1"/>
    <col min="5878" max="5878" width="2.7265625" style="604" customWidth="1"/>
    <col min="5879" max="5879" width="19.08984375" style="604" bestFit="1" customWidth="1"/>
    <col min="5880" max="5880" width="1.81640625" style="604" customWidth="1"/>
    <col min="5881" max="5881" width="6.7265625" style="604" customWidth="1"/>
    <col min="5882" max="5882" width="14.7265625" style="604" customWidth="1"/>
    <col min="5883" max="5883" width="9" style="604" bestFit="1" customWidth="1"/>
    <col min="5884" max="6124" width="5" style="604"/>
    <col min="6125" max="6125" width="4.7265625" style="604" customWidth="1"/>
    <col min="6126" max="6126" width="2" style="604" customWidth="1"/>
    <col min="6127" max="6127" width="40.7265625" style="604" customWidth="1"/>
    <col min="6128" max="6128" width="3.54296875" style="604" customWidth="1"/>
    <col min="6129" max="6129" width="11.08984375" style="604" customWidth="1"/>
    <col min="6130" max="6130" width="2.7265625" style="604" customWidth="1"/>
    <col min="6131" max="6131" width="11.26953125" style="604" customWidth="1"/>
    <col min="6132" max="6132" width="2.7265625" style="604" customWidth="1"/>
    <col min="6133" max="6133" width="11.26953125" style="604" customWidth="1"/>
    <col min="6134" max="6134" width="2.7265625" style="604" customWidth="1"/>
    <col min="6135" max="6135" width="19.08984375" style="604" bestFit="1" customWidth="1"/>
    <col min="6136" max="6136" width="1.81640625" style="604" customWidth="1"/>
    <col min="6137" max="6137" width="6.7265625" style="604" customWidth="1"/>
    <col min="6138" max="6138" width="14.7265625" style="604" customWidth="1"/>
    <col min="6139" max="6139" width="9" style="604" bestFit="1" customWidth="1"/>
    <col min="6140" max="6380" width="5" style="604"/>
    <col min="6381" max="6381" width="4.7265625" style="604" customWidth="1"/>
    <col min="6382" max="6382" width="2" style="604" customWidth="1"/>
    <col min="6383" max="6383" width="40.7265625" style="604" customWidth="1"/>
    <col min="6384" max="6384" width="3.54296875" style="604" customWidth="1"/>
    <col min="6385" max="6385" width="11.08984375" style="604" customWidth="1"/>
    <col min="6386" max="6386" width="2.7265625" style="604" customWidth="1"/>
    <col min="6387" max="6387" width="11.26953125" style="604" customWidth="1"/>
    <col min="6388" max="6388" width="2.7265625" style="604" customWidth="1"/>
    <col min="6389" max="6389" width="11.26953125" style="604" customWidth="1"/>
    <col min="6390" max="6390" width="2.7265625" style="604" customWidth="1"/>
    <col min="6391" max="6391" width="19.08984375" style="604" bestFit="1" customWidth="1"/>
    <col min="6392" max="6392" width="1.81640625" style="604" customWidth="1"/>
    <col min="6393" max="6393" width="6.7265625" style="604" customWidth="1"/>
    <col min="6394" max="6394" width="14.7265625" style="604" customWidth="1"/>
    <col min="6395" max="6395" width="9" style="604" bestFit="1" customWidth="1"/>
    <col min="6396" max="6636" width="5" style="604"/>
    <col min="6637" max="6637" width="4.7265625" style="604" customWidth="1"/>
    <col min="6638" max="6638" width="2" style="604" customWidth="1"/>
    <col min="6639" max="6639" width="40.7265625" style="604" customWidth="1"/>
    <col min="6640" max="6640" width="3.54296875" style="604" customWidth="1"/>
    <col min="6641" max="6641" width="11.08984375" style="604" customWidth="1"/>
    <col min="6642" max="6642" width="2.7265625" style="604" customWidth="1"/>
    <col min="6643" max="6643" width="11.26953125" style="604" customWidth="1"/>
    <col min="6644" max="6644" width="2.7265625" style="604" customWidth="1"/>
    <col min="6645" max="6645" width="11.26953125" style="604" customWidth="1"/>
    <col min="6646" max="6646" width="2.7265625" style="604" customWidth="1"/>
    <col min="6647" max="6647" width="19.08984375" style="604" bestFit="1" customWidth="1"/>
    <col min="6648" max="6648" width="1.81640625" style="604" customWidth="1"/>
    <col min="6649" max="6649" width="6.7265625" style="604" customWidth="1"/>
    <col min="6650" max="6650" width="14.7265625" style="604" customWidth="1"/>
    <col min="6651" max="6651" width="9" style="604" bestFit="1" customWidth="1"/>
    <col min="6652" max="6892" width="5" style="604"/>
    <col min="6893" max="6893" width="4.7265625" style="604" customWidth="1"/>
    <col min="6894" max="6894" width="2" style="604" customWidth="1"/>
    <col min="6895" max="6895" width="40.7265625" style="604" customWidth="1"/>
    <col min="6896" max="6896" width="3.54296875" style="604" customWidth="1"/>
    <col min="6897" max="6897" width="11.08984375" style="604" customWidth="1"/>
    <col min="6898" max="6898" width="2.7265625" style="604" customWidth="1"/>
    <col min="6899" max="6899" width="11.26953125" style="604" customWidth="1"/>
    <col min="6900" max="6900" width="2.7265625" style="604" customWidth="1"/>
    <col min="6901" max="6901" width="11.26953125" style="604" customWidth="1"/>
    <col min="6902" max="6902" width="2.7265625" style="604" customWidth="1"/>
    <col min="6903" max="6903" width="19.08984375" style="604" bestFit="1" customWidth="1"/>
    <col min="6904" max="6904" width="1.81640625" style="604" customWidth="1"/>
    <col min="6905" max="6905" width="6.7265625" style="604" customWidth="1"/>
    <col min="6906" max="6906" width="14.7265625" style="604" customWidth="1"/>
    <col min="6907" max="6907" width="9" style="604" bestFit="1" customWidth="1"/>
    <col min="6908" max="7148" width="5" style="604"/>
    <col min="7149" max="7149" width="4.7265625" style="604" customWidth="1"/>
    <col min="7150" max="7150" width="2" style="604" customWidth="1"/>
    <col min="7151" max="7151" width="40.7265625" style="604" customWidth="1"/>
    <col min="7152" max="7152" width="3.54296875" style="604" customWidth="1"/>
    <col min="7153" max="7153" width="11.08984375" style="604" customWidth="1"/>
    <col min="7154" max="7154" width="2.7265625" style="604" customWidth="1"/>
    <col min="7155" max="7155" width="11.26953125" style="604" customWidth="1"/>
    <col min="7156" max="7156" width="2.7265625" style="604" customWidth="1"/>
    <col min="7157" max="7157" width="11.26953125" style="604" customWidth="1"/>
    <col min="7158" max="7158" width="2.7265625" style="604" customWidth="1"/>
    <col min="7159" max="7159" width="19.08984375" style="604" bestFit="1" customWidth="1"/>
    <col min="7160" max="7160" width="1.81640625" style="604" customWidth="1"/>
    <col min="7161" max="7161" width="6.7265625" style="604" customWidth="1"/>
    <col min="7162" max="7162" width="14.7265625" style="604" customWidth="1"/>
    <col min="7163" max="7163" width="9" style="604" bestFit="1" customWidth="1"/>
    <col min="7164" max="7404" width="5" style="604"/>
    <col min="7405" max="7405" width="4.7265625" style="604" customWidth="1"/>
    <col min="7406" max="7406" width="2" style="604" customWidth="1"/>
    <col min="7407" max="7407" width="40.7265625" style="604" customWidth="1"/>
    <col min="7408" max="7408" width="3.54296875" style="604" customWidth="1"/>
    <col min="7409" max="7409" width="11.08984375" style="604" customWidth="1"/>
    <col min="7410" max="7410" width="2.7265625" style="604" customWidth="1"/>
    <col min="7411" max="7411" width="11.26953125" style="604" customWidth="1"/>
    <col min="7412" max="7412" width="2.7265625" style="604" customWidth="1"/>
    <col min="7413" max="7413" width="11.26953125" style="604" customWidth="1"/>
    <col min="7414" max="7414" width="2.7265625" style="604" customWidth="1"/>
    <col min="7415" max="7415" width="19.08984375" style="604" bestFit="1" customWidth="1"/>
    <col min="7416" max="7416" width="1.81640625" style="604" customWidth="1"/>
    <col min="7417" max="7417" width="6.7265625" style="604" customWidth="1"/>
    <col min="7418" max="7418" width="14.7265625" style="604" customWidth="1"/>
    <col min="7419" max="7419" width="9" style="604" bestFit="1" customWidth="1"/>
    <col min="7420" max="7660" width="5" style="604"/>
    <col min="7661" max="7661" width="4.7265625" style="604" customWidth="1"/>
    <col min="7662" max="7662" width="2" style="604" customWidth="1"/>
    <col min="7663" max="7663" width="40.7265625" style="604" customWidth="1"/>
    <col min="7664" max="7664" width="3.54296875" style="604" customWidth="1"/>
    <col min="7665" max="7665" width="11.08984375" style="604" customWidth="1"/>
    <col min="7666" max="7666" width="2.7265625" style="604" customWidth="1"/>
    <col min="7667" max="7667" width="11.26953125" style="604" customWidth="1"/>
    <col min="7668" max="7668" width="2.7265625" style="604" customWidth="1"/>
    <col min="7669" max="7669" width="11.26953125" style="604" customWidth="1"/>
    <col min="7670" max="7670" width="2.7265625" style="604" customWidth="1"/>
    <col min="7671" max="7671" width="19.08984375" style="604" bestFit="1" customWidth="1"/>
    <col min="7672" max="7672" width="1.81640625" style="604" customWidth="1"/>
    <col min="7673" max="7673" width="6.7265625" style="604" customWidth="1"/>
    <col min="7674" max="7674" width="14.7265625" style="604" customWidth="1"/>
    <col min="7675" max="7675" width="9" style="604" bestFit="1" customWidth="1"/>
    <col min="7676" max="7916" width="5" style="604"/>
    <col min="7917" max="7917" width="4.7265625" style="604" customWidth="1"/>
    <col min="7918" max="7918" width="2" style="604" customWidth="1"/>
    <col min="7919" max="7919" width="40.7265625" style="604" customWidth="1"/>
    <col min="7920" max="7920" width="3.54296875" style="604" customWidth="1"/>
    <col min="7921" max="7921" width="11.08984375" style="604" customWidth="1"/>
    <col min="7922" max="7922" width="2.7265625" style="604" customWidth="1"/>
    <col min="7923" max="7923" width="11.26953125" style="604" customWidth="1"/>
    <col min="7924" max="7924" width="2.7265625" style="604" customWidth="1"/>
    <col min="7925" max="7925" width="11.26953125" style="604" customWidth="1"/>
    <col min="7926" max="7926" width="2.7265625" style="604" customWidth="1"/>
    <col min="7927" max="7927" width="19.08984375" style="604" bestFit="1" customWidth="1"/>
    <col min="7928" max="7928" width="1.81640625" style="604" customWidth="1"/>
    <col min="7929" max="7929" width="6.7265625" style="604" customWidth="1"/>
    <col min="7930" max="7930" width="14.7265625" style="604" customWidth="1"/>
    <col min="7931" max="7931" width="9" style="604" bestFit="1" customWidth="1"/>
    <col min="7932" max="8172" width="5" style="604"/>
    <col min="8173" max="8173" width="4.7265625" style="604" customWidth="1"/>
    <col min="8174" max="8174" width="2" style="604" customWidth="1"/>
    <col min="8175" max="8175" width="40.7265625" style="604" customWidth="1"/>
    <col min="8176" max="8176" width="3.54296875" style="604" customWidth="1"/>
    <col min="8177" max="8177" width="11.08984375" style="604" customWidth="1"/>
    <col min="8178" max="8178" width="2.7265625" style="604" customWidth="1"/>
    <col min="8179" max="8179" width="11.26953125" style="604" customWidth="1"/>
    <col min="8180" max="8180" width="2.7265625" style="604" customWidth="1"/>
    <col min="8181" max="8181" width="11.26953125" style="604" customWidth="1"/>
    <col min="8182" max="8182" width="2.7265625" style="604" customWidth="1"/>
    <col min="8183" max="8183" width="19.08984375" style="604" bestFit="1" customWidth="1"/>
    <col min="8184" max="8184" width="1.81640625" style="604" customWidth="1"/>
    <col min="8185" max="8185" width="6.7265625" style="604" customWidth="1"/>
    <col min="8186" max="8186" width="14.7265625" style="604" customWidth="1"/>
    <col min="8187" max="8187" width="9" style="604" bestFit="1" customWidth="1"/>
    <col min="8188" max="8428" width="5" style="604"/>
    <col min="8429" max="8429" width="4.7265625" style="604" customWidth="1"/>
    <col min="8430" max="8430" width="2" style="604" customWidth="1"/>
    <col min="8431" max="8431" width="40.7265625" style="604" customWidth="1"/>
    <col min="8432" max="8432" width="3.54296875" style="604" customWidth="1"/>
    <col min="8433" max="8433" width="11.08984375" style="604" customWidth="1"/>
    <col min="8434" max="8434" width="2.7265625" style="604" customWidth="1"/>
    <col min="8435" max="8435" width="11.26953125" style="604" customWidth="1"/>
    <col min="8436" max="8436" width="2.7265625" style="604" customWidth="1"/>
    <col min="8437" max="8437" width="11.26953125" style="604" customWidth="1"/>
    <col min="8438" max="8438" width="2.7265625" style="604" customWidth="1"/>
    <col min="8439" max="8439" width="19.08984375" style="604" bestFit="1" customWidth="1"/>
    <col min="8440" max="8440" width="1.81640625" style="604" customWidth="1"/>
    <col min="8441" max="8441" width="6.7265625" style="604" customWidth="1"/>
    <col min="8442" max="8442" width="14.7265625" style="604" customWidth="1"/>
    <col min="8443" max="8443" width="9" style="604" bestFit="1" customWidth="1"/>
    <col min="8444" max="8684" width="5" style="604"/>
    <col min="8685" max="8685" width="4.7265625" style="604" customWidth="1"/>
    <col min="8686" max="8686" width="2" style="604" customWidth="1"/>
    <col min="8687" max="8687" width="40.7265625" style="604" customWidth="1"/>
    <col min="8688" max="8688" width="3.54296875" style="604" customWidth="1"/>
    <col min="8689" max="8689" width="11.08984375" style="604" customWidth="1"/>
    <col min="8690" max="8690" width="2.7265625" style="604" customWidth="1"/>
    <col min="8691" max="8691" width="11.26953125" style="604" customWidth="1"/>
    <col min="8692" max="8692" width="2.7265625" style="604" customWidth="1"/>
    <col min="8693" max="8693" width="11.26953125" style="604" customWidth="1"/>
    <col min="8694" max="8694" width="2.7265625" style="604" customWidth="1"/>
    <col min="8695" max="8695" width="19.08984375" style="604" bestFit="1" customWidth="1"/>
    <col min="8696" max="8696" width="1.81640625" style="604" customWidth="1"/>
    <col min="8697" max="8697" width="6.7265625" style="604" customWidth="1"/>
    <col min="8698" max="8698" width="14.7265625" style="604" customWidth="1"/>
    <col min="8699" max="8699" width="9" style="604" bestFit="1" customWidth="1"/>
    <col min="8700" max="8940" width="5" style="604"/>
    <col min="8941" max="8941" width="4.7265625" style="604" customWidth="1"/>
    <col min="8942" max="8942" width="2" style="604" customWidth="1"/>
    <col min="8943" max="8943" width="40.7265625" style="604" customWidth="1"/>
    <col min="8944" max="8944" width="3.54296875" style="604" customWidth="1"/>
    <col min="8945" max="8945" width="11.08984375" style="604" customWidth="1"/>
    <col min="8946" max="8946" width="2.7265625" style="604" customWidth="1"/>
    <col min="8947" max="8947" width="11.26953125" style="604" customWidth="1"/>
    <col min="8948" max="8948" width="2.7265625" style="604" customWidth="1"/>
    <col min="8949" max="8949" width="11.26953125" style="604" customWidth="1"/>
    <col min="8950" max="8950" width="2.7265625" style="604" customWidth="1"/>
    <col min="8951" max="8951" width="19.08984375" style="604" bestFit="1" customWidth="1"/>
    <col min="8952" max="8952" width="1.81640625" style="604" customWidth="1"/>
    <col min="8953" max="8953" width="6.7265625" style="604" customWidth="1"/>
    <col min="8954" max="8954" width="14.7265625" style="604" customWidth="1"/>
    <col min="8955" max="8955" width="9" style="604" bestFit="1" customWidth="1"/>
    <col min="8956" max="9196" width="5" style="604"/>
    <col min="9197" max="9197" width="4.7265625" style="604" customWidth="1"/>
    <col min="9198" max="9198" width="2" style="604" customWidth="1"/>
    <col min="9199" max="9199" width="40.7265625" style="604" customWidth="1"/>
    <col min="9200" max="9200" width="3.54296875" style="604" customWidth="1"/>
    <col min="9201" max="9201" width="11.08984375" style="604" customWidth="1"/>
    <col min="9202" max="9202" width="2.7265625" style="604" customWidth="1"/>
    <col min="9203" max="9203" width="11.26953125" style="604" customWidth="1"/>
    <col min="9204" max="9204" width="2.7265625" style="604" customWidth="1"/>
    <col min="9205" max="9205" width="11.26953125" style="604" customWidth="1"/>
    <col min="9206" max="9206" width="2.7265625" style="604" customWidth="1"/>
    <col min="9207" max="9207" width="19.08984375" style="604" bestFit="1" customWidth="1"/>
    <col min="9208" max="9208" width="1.81640625" style="604" customWidth="1"/>
    <col min="9209" max="9209" width="6.7265625" style="604" customWidth="1"/>
    <col min="9210" max="9210" width="14.7265625" style="604" customWidth="1"/>
    <col min="9211" max="9211" width="9" style="604" bestFit="1" customWidth="1"/>
    <col min="9212" max="9452" width="5" style="604"/>
    <col min="9453" max="9453" width="4.7265625" style="604" customWidth="1"/>
    <col min="9454" max="9454" width="2" style="604" customWidth="1"/>
    <col min="9455" max="9455" width="40.7265625" style="604" customWidth="1"/>
    <col min="9456" max="9456" width="3.54296875" style="604" customWidth="1"/>
    <col min="9457" max="9457" width="11.08984375" style="604" customWidth="1"/>
    <col min="9458" max="9458" width="2.7265625" style="604" customWidth="1"/>
    <col min="9459" max="9459" width="11.26953125" style="604" customWidth="1"/>
    <col min="9460" max="9460" width="2.7265625" style="604" customWidth="1"/>
    <col min="9461" max="9461" width="11.26953125" style="604" customWidth="1"/>
    <col min="9462" max="9462" width="2.7265625" style="604" customWidth="1"/>
    <col min="9463" max="9463" width="19.08984375" style="604" bestFit="1" customWidth="1"/>
    <col min="9464" max="9464" width="1.81640625" style="604" customWidth="1"/>
    <col min="9465" max="9465" width="6.7265625" style="604" customWidth="1"/>
    <col min="9466" max="9466" width="14.7265625" style="604" customWidth="1"/>
    <col min="9467" max="9467" width="9" style="604" bestFit="1" customWidth="1"/>
    <col min="9468" max="9708" width="5" style="604"/>
    <col min="9709" max="9709" width="4.7265625" style="604" customWidth="1"/>
    <col min="9710" max="9710" width="2" style="604" customWidth="1"/>
    <col min="9711" max="9711" width="40.7265625" style="604" customWidth="1"/>
    <col min="9712" max="9712" width="3.54296875" style="604" customWidth="1"/>
    <col min="9713" max="9713" width="11.08984375" style="604" customWidth="1"/>
    <col min="9714" max="9714" width="2.7265625" style="604" customWidth="1"/>
    <col min="9715" max="9715" width="11.26953125" style="604" customWidth="1"/>
    <col min="9716" max="9716" width="2.7265625" style="604" customWidth="1"/>
    <col min="9717" max="9717" width="11.26953125" style="604" customWidth="1"/>
    <col min="9718" max="9718" width="2.7265625" style="604" customWidth="1"/>
    <col min="9719" max="9719" width="19.08984375" style="604" bestFit="1" customWidth="1"/>
    <col min="9720" max="9720" width="1.81640625" style="604" customWidth="1"/>
    <col min="9721" max="9721" width="6.7265625" style="604" customWidth="1"/>
    <col min="9722" max="9722" width="14.7265625" style="604" customWidth="1"/>
    <col min="9723" max="9723" width="9" style="604" bestFit="1" customWidth="1"/>
    <col min="9724" max="9964" width="5" style="604"/>
    <col min="9965" max="9965" width="4.7265625" style="604" customWidth="1"/>
    <col min="9966" max="9966" width="2" style="604" customWidth="1"/>
    <col min="9967" max="9967" width="40.7265625" style="604" customWidth="1"/>
    <col min="9968" max="9968" width="3.54296875" style="604" customWidth="1"/>
    <col min="9969" max="9969" width="11.08984375" style="604" customWidth="1"/>
    <col min="9970" max="9970" width="2.7265625" style="604" customWidth="1"/>
    <col min="9971" max="9971" width="11.26953125" style="604" customWidth="1"/>
    <col min="9972" max="9972" width="2.7265625" style="604" customWidth="1"/>
    <col min="9973" max="9973" width="11.26953125" style="604" customWidth="1"/>
    <col min="9974" max="9974" width="2.7265625" style="604" customWidth="1"/>
    <col min="9975" max="9975" width="19.08984375" style="604" bestFit="1" customWidth="1"/>
    <col min="9976" max="9976" width="1.81640625" style="604" customWidth="1"/>
    <col min="9977" max="9977" width="6.7265625" style="604" customWidth="1"/>
    <col min="9978" max="9978" width="14.7265625" style="604" customWidth="1"/>
    <col min="9979" max="9979" width="9" style="604" bestFit="1" customWidth="1"/>
    <col min="9980" max="10220" width="5" style="604"/>
    <col min="10221" max="10221" width="4.7265625" style="604" customWidth="1"/>
    <col min="10222" max="10222" width="2" style="604" customWidth="1"/>
    <col min="10223" max="10223" width="40.7265625" style="604" customWidth="1"/>
    <col min="10224" max="10224" width="3.54296875" style="604" customWidth="1"/>
    <col min="10225" max="10225" width="11.08984375" style="604" customWidth="1"/>
    <col min="10226" max="10226" width="2.7265625" style="604" customWidth="1"/>
    <col min="10227" max="10227" width="11.26953125" style="604" customWidth="1"/>
    <col min="10228" max="10228" width="2.7265625" style="604" customWidth="1"/>
    <col min="10229" max="10229" width="11.26953125" style="604" customWidth="1"/>
    <col min="10230" max="10230" width="2.7265625" style="604" customWidth="1"/>
    <col min="10231" max="10231" width="19.08984375" style="604" bestFit="1" customWidth="1"/>
    <col min="10232" max="10232" width="1.81640625" style="604" customWidth="1"/>
    <col min="10233" max="10233" width="6.7265625" style="604" customWidth="1"/>
    <col min="10234" max="10234" width="14.7265625" style="604" customWidth="1"/>
    <col min="10235" max="10235" width="9" style="604" bestFit="1" customWidth="1"/>
    <col min="10236" max="10476" width="5" style="604"/>
    <col min="10477" max="10477" width="4.7265625" style="604" customWidth="1"/>
    <col min="10478" max="10478" width="2" style="604" customWidth="1"/>
    <col min="10479" max="10479" width="40.7265625" style="604" customWidth="1"/>
    <col min="10480" max="10480" width="3.54296875" style="604" customWidth="1"/>
    <col min="10481" max="10481" width="11.08984375" style="604" customWidth="1"/>
    <col min="10482" max="10482" width="2.7265625" style="604" customWidth="1"/>
    <col min="10483" max="10483" width="11.26953125" style="604" customWidth="1"/>
    <col min="10484" max="10484" width="2.7265625" style="604" customWidth="1"/>
    <col min="10485" max="10485" width="11.26953125" style="604" customWidth="1"/>
    <col min="10486" max="10486" width="2.7265625" style="604" customWidth="1"/>
    <col min="10487" max="10487" width="19.08984375" style="604" bestFit="1" customWidth="1"/>
    <col min="10488" max="10488" width="1.81640625" style="604" customWidth="1"/>
    <col min="10489" max="10489" width="6.7265625" style="604" customWidth="1"/>
    <col min="10490" max="10490" width="14.7265625" style="604" customWidth="1"/>
    <col min="10491" max="10491" width="9" style="604" bestFit="1" customWidth="1"/>
    <col min="10492" max="10732" width="5" style="604"/>
    <col min="10733" max="10733" width="4.7265625" style="604" customWidth="1"/>
    <col min="10734" max="10734" width="2" style="604" customWidth="1"/>
    <col min="10735" max="10735" width="40.7265625" style="604" customWidth="1"/>
    <col min="10736" max="10736" width="3.54296875" style="604" customWidth="1"/>
    <col min="10737" max="10737" width="11.08984375" style="604" customWidth="1"/>
    <col min="10738" max="10738" width="2.7265625" style="604" customWidth="1"/>
    <col min="10739" max="10739" width="11.26953125" style="604" customWidth="1"/>
    <col min="10740" max="10740" width="2.7265625" style="604" customWidth="1"/>
    <col min="10741" max="10741" width="11.26953125" style="604" customWidth="1"/>
    <col min="10742" max="10742" width="2.7265625" style="604" customWidth="1"/>
    <col min="10743" max="10743" width="19.08984375" style="604" bestFit="1" customWidth="1"/>
    <col min="10744" max="10744" width="1.81640625" style="604" customWidth="1"/>
    <col min="10745" max="10745" width="6.7265625" style="604" customWidth="1"/>
    <col min="10746" max="10746" width="14.7265625" style="604" customWidth="1"/>
    <col min="10747" max="10747" width="9" style="604" bestFit="1" customWidth="1"/>
    <col min="10748" max="10988" width="5" style="604"/>
    <col min="10989" max="10989" width="4.7265625" style="604" customWidth="1"/>
    <col min="10990" max="10990" width="2" style="604" customWidth="1"/>
    <col min="10991" max="10991" width="40.7265625" style="604" customWidth="1"/>
    <col min="10992" max="10992" width="3.54296875" style="604" customWidth="1"/>
    <col min="10993" max="10993" width="11.08984375" style="604" customWidth="1"/>
    <col min="10994" max="10994" width="2.7265625" style="604" customWidth="1"/>
    <col min="10995" max="10995" width="11.26953125" style="604" customWidth="1"/>
    <col min="10996" max="10996" width="2.7265625" style="604" customWidth="1"/>
    <col min="10997" max="10997" width="11.26953125" style="604" customWidth="1"/>
    <col min="10998" max="10998" width="2.7265625" style="604" customWidth="1"/>
    <col min="10999" max="10999" width="19.08984375" style="604" bestFit="1" customWidth="1"/>
    <col min="11000" max="11000" width="1.81640625" style="604" customWidth="1"/>
    <col min="11001" max="11001" width="6.7265625" style="604" customWidth="1"/>
    <col min="11002" max="11002" width="14.7265625" style="604" customWidth="1"/>
    <col min="11003" max="11003" width="9" style="604" bestFit="1" customWidth="1"/>
    <col min="11004" max="11244" width="5" style="604"/>
    <col min="11245" max="11245" width="4.7265625" style="604" customWidth="1"/>
    <col min="11246" max="11246" width="2" style="604" customWidth="1"/>
    <col min="11247" max="11247" width="40.7265625" style="604" customWidth="1"/>
    <col min="11248" max="11248" width="3.54296875" style="604" customWidth="1"/>
    <col min="11249" max="11249" width="11.08984375" style="604" customWidth="1"/>
    <col min="11250" max="11250" width="2.7265625" style="604" customWidth="1"/>
    <col min="11251" max="11251" width="11.26953125" style="604" customWidth="1"/>
    <col min="11252" max="11252" width="2.7265625" style="604" customWidth="1"/>
    <col min="11253" max="11253" width="11.26953125" style="604" customWidth="1"/>
    <col min="11254" max="11254" width="2.7265625" style="604" customWidth="1"/>
    <col min="11255" max="11255" width="19.08984375" style="604" bestFit="1" customWidth="1"/>
    <col min="11256" max="11256" width="1.81640625" style="604" customWidth="1"/>
    <col min="11257" max="11257" width="6.7265625" style="604" customWidth="1"/>
    <col min="11258" max="11258" width="14.7265625" style="604" customWidth="1"/>
    <col min="11259" max="11259" width="9" style="604" bestFit="1" customWidth="1"/>
    <col min="11260" max="11500" width="5" style="604"/>
    <col min="11501" max="11501" width="4.7265625" style="604" customWidth="1"/>
    <col min="11502" max="11502" width="2" style="604" customWidth="1"/>
    <col min="11503" max="11503" width="40.7265625" style="604" customWidth="1"/>
    <col min="11504" max="11504" width="3.54296875" style="604" customWidth="1"/>
    <col min="11505" max="11505" width="11.08984375" style="604" customWidth="1"/>
    <col min="11506" max="11506" width="2.7265625" style="604" customWidth="1"/>
    <col min="11507" max="11507" width="11.26953125" style="604" customWidth="1"/>
    <col min="11508" max="11508" width="2.7265625" style="604" customWidth="1"/>
    <col min="11509" max="11509" width="11.26953125" style="604" customWidth="1"/>
    <col min="11510" max="11510" width="2.7265625" style="604" customWidth="1"/>
    <col min="11511" max="11511" width="19.08984375" style="604" bestFit="1" customWidth="1"/>
    <col min="11512" max="11512" width="1.81640625" style="604" customWidth="1"/>
    <col min="11513" max="11513" width="6.7265625" style="604" customWidth="1"/>
    <col min="11514" max="11514" width="14.7265625" style="604" customWidth="1"/>
    <col min="11515" max="11515" width="9" style="604" bestFit="1" customWidth="1"/>
    <col min="11516" max="11756" width="5" style="604"/>
    <col min="11757" max="11757" width="4.7265625" style="604" customWidth="1"/>
    <col min="11758" max="11758" width="2" style="604" customWidth="1"/>
    <col min="11759" max="11759" width="40.7265625" style="604" customWidth="1"/>
    <col min="11760" max="11760" width="3.54296875" style="604" customWidth="1"/>
    <col min="11761" max="11761" width="11.08984375" style="604" customWidth="1"/>
    <col min="11762" max="11762" width="2.7265625" style="604" customWidth="1"/>
    <col min="11763" max="11763" width="11.26953125" style="604" customWidth="1"/>
    <col min="11764" max="11764" width="2.7265625" style="604" customWidth="1"/>
    <col min="11765" max="11765" width="11.26953125" style="604" customWidth="1"/>
    <col min="11766" max="11766" width="2.7265625" style="604" customWidth="1"/>
    <col min="11767" max="11767" width="19.08984375" style="604" bestFit="1" customWidth="1"/>
    <col min="11768" max="11768" width="1.81640625" style="604" customWidth="1"/>
    <col min="11769" max="11769" width="6.7265625" style="604" customWidth="1"/>
    <col min="11770" max="11770" width="14.7265625" style="604" customWidth="1"/>
    <col min="11771" max="11771" width="9" style="604" bestFit="1" customWidth="1"/>
    <col min="11772" max="12012" width="5" style="604"/>
    <col min="12013" max="12013" width="4.7265625" style="604" customWidth="1"/>
    <col min="12014" max="12014" width="2" style="604" customWidth="1"/>
    <col min="12015" max="12015" width="40.7265625" style="604" customWidth="1"/>
    <col min="12016" max="12016" width="3.54296875" style="604" customWidth="1"/>
    <col min="12017" max="12017" width="11.08984375" style="604" customWidth="1"/>
    <col min="12018" max="12018" width="2.7265625" style="604" customWidth="1"/>
    <col min="12019" max="12019" width="11.26953125" style="604" customWidth="1"/>
    <col min="12020" max="12020" width="2.7265625" style="604" customWidth="1"/>
    <col min="12021" max="12021" width="11.26953125" style="604" customWidth="1"/>
    <col min="12022" max="12022" width="2.7265625" style="604" customWidth="1"/>
    <col min="12023" max="12023" width="19.08984375" style="604" bestFit="1" customWidth="1"/>
    <col min="12024" max="12024" width="1.81640625" style="604" customWidth="1"/>
    <col min="12025" max="12025" width="6.7265625" style="604" customWidth="1"/>
    <col min="12026" max="12026" width="14.7265625" style="604" customWidth="1"/>
    <col min="12027" max="12027" width="9" style="604" bestFit="1" customWidth="1"/>
    <col min="12028" max="12268" width="5" style="604"/>
    <col min="12269" max="12269" width="4.7265625" style="604" customWidth="1"/>
    <col min="12270" max="12270" width="2" style="604" customWidth="1"/>
    <col min="12271" max="12271" width="40.7265625" style="604" customWidth="1"/>
    <col min="12272" max="12272" width="3.54296875" style="604" customWidth="1"/>
    <col min="12273" max="12273" width="11.08984375" style="604" customWidth="1"/>
    <col min="12274" max="12274" width="2.7265625" style="604" customWidth="1"/>
    <col min="12275" max="12275" width="11.26953125" style="604" customWidth="1"/>
    <col min="12276" max="12276" width="2.7265625" style="604" customWidth="1"/>
    <col min="12277" max="12277" width="11.26953125" style="604" customWidth="1"/>
    <col min="12278" max="12278" width="2.7265625" style="604" customWidth="1"/>
    <col min="12279" max="12279" width="19.08984375" style="604" bestFit="1" customWidth="1"/>
    <col min="12280" max="12280" width="1.81640625" style="604" customWidth="1"/>
    <col min="12281" max="12281" width="6.7265625" style="604" customWidth="1"/>
    <col min="12282" max="12282" width="14.7265625" style="604" customWidth="1"/>
    <col min="12283" max="12283" width="9" style="604" bestFit="1" customWidth="1"/>
    <col min="12284" max="12524" width="5" style="604"/>
    <col min="12525" max="12525" width="4.7265625" style="604" customWidth="1"/>
    <col min="12526" max="12526" width="2" style="604" customWidth="1"/>
    <col min="12527" max="12527" width="40.7265625" style="604" customWidth="1"/>
    <col min="12528" max="12528" width="3.54296875" style="604" customWidth="1"/>
    <col min="12529" max="12529" width="11.08984375" style="604" customWidth="1"/>
    <col min="12530" max="12530" width="2.7265625" style="604" customWidth="1"/>
    <col min="12531" max="12531" width="11.26953125" style="604" customWidth="1"/>
    <col min="12532" max="12532" width="2.7265625" style="604" customWidth="1"/>
    <col min="12533" max="12533" width="11.26953125" style="604" customWidth="1"/>
    <col min="12534" max="12534" width="2.7265625" style="604" customWidth="1"/>
    <col min="12535" max="12535" width="19.08984375" style="604" bestFit="1" customWidth="1"/>
    <col min="12536" max="12536" width="1.81640625" style="604" customWidth="1"/>
    <col min="12537" max="12537" width="6.7265625" style="604" customWidth="1"/>
    <col min="12538" max="12538" width="14.7265625" style="604" customWidth="1"/>
    <col min="12539" max="12539" width="9" style="604" bestFit="1" customWidth="1"/>
    <col min="12540" max="12780" width="5" style="604"/>
    <col min="12781" max="12781" width="4.7265625" style="604" customWidth="1"/>
    <col min="12782" max="12782" width="2" style="604" customWidth="1"/>
    <col min="12783" max="12783" width="40.7265625" style="604" customWidth="1"/>
    <col min="12784" max="12784" width="3.54296875" style="604" customWidth="1"/>
    <col min="12785" max="12785" width="11.08984375" style="604" customWidth="1"/>
    <col min="12786" max="12786" width="2.7265625" style="604" customWidth="1"/>
    <col min="12787" max="12787" width="11.26953125" style="604" customWidth="1"/>
    <col min="12788" max="12788" width="2.7265625" style="604" customWidth="1"/>
    <col min="12789" max="12789" width="11.26953125" style="604" customWidth="1"/>
    <col min="12790" max="12790" width="2.7265625" style="604" customWidth="1"/>
    <col min="12791" max="12791" width="19.08984375" style="604" bestFit="1" customWidth="1"/>
    <col min="12792" max="12792" width="1.81640625" style="604" customWidth="1"/>
    <col min="12793" max="12793" width="6.7265625" style="604" customWidth="1"/>
    <col min="12794" max="12794" width="14.7265625" style="604" customWidth="1"/>
    <col min="12795" max="12795" width="9" style="604" bestFit="1" customWidth="1"/>
    <col min="12796" max="13036" width="5" style="604"/>
    <col min="13037" max="13037" width="4.7265625" style="604" customWidth="1"/>
    <col min="13038" max="13038" width="2" style="604" customWidth="1"/>
    <col min="13039" max="13039" width="40.7265625" style="604" customWidth="1"/>
    <col min="13040" max="13040" width="3.54296875" style="604" customWidth="1"/>
    <col min="13041" max="13041" width="11.08984375" style="604" customWidth="1"/>
    <col min="13042" max="13042" width="2.7265625" style="604" customWidth="1"/>
    <col min="13043" max="13043" width="11.26953125" style="604" customWidth="1"/>
    <col min="13044" max="13044" width="2.7265625" style="604" customWidth="1"/>
    <col min="13045" max="13045" width="11.26953125" style="604" customWidth="1"/>
    <col min="13046" max="13046" width="2.7265625" style="604" customWidth="1"/>
    <col min="13047" max="13047" width="19.08984375" style="604" bestFit="1" customWidth="1"/>
    <col min="13048" max="13048" width="1.81640625" style="604" customWidth="1"/>
    <col min="13049" max="13049" width="6.7265625" style="604" customWidth="1"/>
    <col min="13050" max="13050" width="14.7265625" style="604" customWidth="1"/>
    <col min="13051" max="13051" width="9" style="604" bestFit="1" customWidth="1"/>
    <col min="13052" max="13292" width="5" style="604"/>
    <col min="13293" max="13293" width="4.7265625" style="604" customWidth="1"/>
    <col min="13294" max="13294" width="2" style="604" customWidth="1"/>
    <col min="13295" max="13295" width="40.7265625" style="604" customWidth="1"/>
    <col min="13296" max="13296" width="3.54296875" style="604" customWidth="1"/>
    <col min="13297" max="13297" width="11.08984375" style="604" customWidth="1"/>
    <col min="13298" max="13298" width="2.7265625" style="604" customWidth="1"/>
    <col min="13299" max="13299" width="11.26953125" style="604" customWidth="1"/>
    <col min="13300" max="13300" width="2.7265625" style="604" customWidth="1"/>
    <col min="13301" max="13301" width="11.26953125" style="604" customWidth="1"/>
    <col min="13302" max="13302" width="2.7265625" style="604" customWidth="1"/>
    <col min="13303" max="13303" width="19.08984375" style="604" bestFit="1" customWidth="1"/>
    <col min="13304" max="13304" width="1.81640625" style="604" customWidth="1"/>
    <col min="13305" max="13305" width="6.7265625" style="604" customWidth="1"/>
    <col min="13306" max="13306" width="14.7265625" style="604" customWidth="1"/>
    <col min="13307" max="13307" width="9" style="604" bestFit="1" customWidth="1"/>
    <col min="13308" max="13548" width="5" style="604"/>
    <col min="13549" max="13549" width="4.7265625" style="604" customWidth="1"/>
    <col min="13550" max="13550" width="2" style="604" customWidth="1"/>
    <col min="13551" max="13551" width="40.7265625" style="604" customWidth="1"/>
    <col min="13552" max="13552" width="3.54296875" style="604" customWidth="1"/>
    <col min="13553" max="13553" width="11.08984375" style="604" customWidth="1"/>
    <col min="13554" max="13554" width="2.7265625" style="604" customWidth="1"/>
    <col min="13555" max="13555" width="11.26953125" style="604" customWidth="1"/>
    <col min="13556" max="13556" width="2.7265625" style="604" customWidth="1"/>
    <col min="13557" max="13557" width="11.26953125" style="604" customWidth="1"/>
    <col min="13558" max="13558" width="2.7265625" style="604" customWidth="1"/>
    <col min="13559" max="13559" width="19.08984375" style="604" bestFit="1" customWidth="1"/>
    <col min="13560" max="13560" width="1.81640625" style="604" customWidth="1"/>
    <col min="13561" max="13561" width="6.7265625" style="604" customWidth="1"/>
    <col min="13562" max="13562" width="14.7265625" style="604" customWidth="1"/>
    <col min="13563" max="13563" width="9" style="604" bestFit="1" customWidth="1"/>
    <col min="13564" max="13804" width="5" style="604"/>
    <col min="13805" max="13805" width="4.7265625" style="604" customWidth="1"/>
    <col min="13806" max="13806" width="2" style="604" customWidth="1"/>
    <col min="13807" max="13807" width="40.7265625" style="604" customWidth="1"/>
    <col min="13808" max="13808" width="3.54296875" style="604" customWidth="1"/>
    <col min="13809" max="13809" width="11.08984375" style="604" customWidth="1"/>
    <col min="13810" max="13810" width="2.7265625" style="604" customWidth="1"/>
    <col min="13811" max="13811" width="11.26953125" style="604" customWidth="1"/>
    <col min="13812" max="13812" width="2.7265625" style="604" customWidth="1"/>
    <col min="13813" max="13813" width="11.26953125" style="604" customWidth="1"/>
    <col min="13814" max="13814" width="2.7265625" style="604" customWidth="1"/>
    <col min="13815" max="13815" width="19.08984375" style="604" bestFit="1" customWidth="1"/>
    <col min="13816" max="13816" width="1.81640625" style="604" customWidth="1"/>
    <col min="13817" max="13817" width="6.7265625" style="604" customWidth="1"/>
    <col min="13818" max="13818" width="14.7265625" style="604" customWidth="1"/>
    <col min="13819" max="13819" width="9" style="604" bestFit="1" customWidth="1"/>
    <col min="13820" max="14060" width="5" style="604"/>
    <col min="14061" max="14061" width="4.7265625" style="604" customWidth="1"/>
    <col min="14062" max="14062" width="2" style="604" customWidth="1"/>
    <col min="14063" max="14063" width="40.7265625" style="604" customWidth="1"/>
    <col min="14064" max="14064" width="3.54296875" style="604" customWidth="1"/>
    <col min="14065" max="14065" width="11.08984375" style="604" customWidth="1"/>
    <col min="14066" max="14066" width="2.7265625" style="604" customWidth="1"/>
    <col min="14067" max="14067" width="11.26953125" style="604" customWidth="1"/>
    <col min="14068" max="14068" width="2.7265625" style="604" customWidth="1"/>
    <col min="14069" max="14069" width="11.26953125" style="604" customWidth="1"/>
    <col min="14070" max="14070" width="2.7265625" style="604" customWidth="1"/>
    <col min="14071" max="14071" width="19.08984375" style="604" bestFit="1" customWidth="1"/>
    <col min="14072" max="14072" width="1.81640625" style="604" customWidth="1"/>
    <col min="14073" max="14073" width="6.7265625" style="604" customWidth="1"/>
    <col min="14074" max="14074" width="14.7265625" style="604" customWidth="1"/>
    <col min="14075" max="14075" width="9" style="604" bestFit="1" customWidth="1"/>
    <col min="14076" max="14316" width="5" style="604"/>
    <col min="14317" max="14317" width="4.7265625" style="604" customWidth="1"/>
    <col min="14318" max="14318" width="2" style="604" customWidth="1"/>
    <col min="14319" max="14319" width="40.7265625" style="604" customWidth="1"/>
    <col min="14320" max="14320" width="3.54296875" style="604" customWidth="1"/>
    <col min="14321" max="14321" width="11.08984375" style="604" customWidth="1"/>
    <col min="14322" max="14322" width="2.7265625" style="604" customWidth="1"/>
    <col min="14323" max="14323" width="11.26953125" style="604" customWidth="1"/>
    <col min="14324" max="14324" width="2.7265625" style="604" customWidth="1"/>
    <col min="14325" max="14325" width="11.26953125" style="604" customWidth="1"/>
    <col min="14326" max="14326" width="2.7265625" style="604" customWidth="1"/>
    <col min="14327" max="14327" width="19.08984375" style="604" bestFit="1" customWidth="1"/>
    <col min="14328" max="14328" width="1.81640625" style="604" customWidth="1"/>
    <col min="14329" max="14329" width="6.7265625" style="604" customWidth="1"/>
    <col min="14330" max="14330" width="14.7265625" style="604" customWidth="1"/>
    <col min="14331" max="14331" width="9" style="604" bestFit="1" customWidth="1"/>
    <col min="14332" max="14572" width="5" style="604"/>
    <col min="14573" max="14573" width="4.7265625" style="604" customWidth="1"/>
    <col min="14574" max="14574" width="2" style="604" customWidth="1"/>
    <col min="14575" max="14575" width="40.7265625" style="604" customWidth="1"/>
    <col min="14576" max="14576" width="3.54296875" style="604" customWidth="1"/>
    <col min="14577" max="14577" width="11.08984375" style="604" customWidth="1"/>
    <col min="14578" max="14578" width="2.7265625" style="604" customWidth="1"/>
    <col min="14579" max="14579" width="11.26953125" style="604" customWidth="1"/>
    <col min="14580" max="14580" width="2.7265625" style="604" customWidth="1"/>
    <col min="14581" max="14581" width="11.26953125" style="604" customWidth="1"/>
    <col min="14582" max="14582" width="2.7265625" style="604" customWidth="1"/>
    <col min="14583" max="14583" width="19.08984375" style="604" bestFit="1" customWidth="1"/>
    <col min="14584" max="14584" width="1.81640625" style="604" customWidth="1"/>
    <col min="14585" max="14585" width="6.7265625" style="604" customWidth="1"/>
    <col min="14586" max="14586" width="14.7265625" style="604" customWidth="1"/>
    <col min="14587" max="14587" width="9" style="604" bestFit="1" customWidth="1"/>
    <col min="14588" max="14828" width="5" style="604"/>
    <col min="14829" max="14829" width="4.7265625" style="604" customWidth="1"/>
    <col min="14830" max="14830" width="2" style="604" customWidth="1"/>
    <col min="14831" max="14831" width="40.7265625" style="604" customWidth="1"/>
    <col min="14832" max="14832" width="3.54296875" style="604" customWidth="1"/>
    <col min="14833" max="14833" width="11.08984375" style="604" customWidth="1"/>
    <col min="14834" max="14834" width="2.7265625" style="604" customWidth="1"/>
    <col min="14835" max="14835" width="11.26953125" style="604" customWidth="1"/>
    <col min="14836" max="14836" width="2.7265625" style="604" customWidth="1"/>
    <col min="14837" max="14837" width="11.26953125" style="604" customWidth="1"/>
    <col min="14838" max="14838" width="2.7265625" style="604" customWidth="1"/>
    <col min="14839" max="14839" width="19.08984375" style="604" bestFit="1" customWidth="1"/>
    <col min="14840" max="14840" width="1.81640625" style="604" customWidth="1"/>
    <col min="14841" max="14841" width="6.7265625" style="604" customWidth="1"/>
    <col min="14842" max="14842" width="14.7265625" style="604" customWidth="1"/>
    <col min="14843" max="14843" width="9" style="604" bestFit="1" customWidth="1"/>
    <col min="14844" max="15084" width="5" style="604"/>
    <col min="15085" max="15085" width="4.7265625" style="604" customWidth="1"/>
    <col min="15086" max="15086" width="2" style="604" customWidth="1"/>
    <col min="15087" max="15087" width="40.7265625" style="604" customWidth="1"/>
    <col min="15088" max="15088" width="3.54296875" style="604" customWidth="1"/>
    <col min="15089" max="15089" width="11.08984375" style="604" customWidth="1"/>
    <col min="15090" max="15090" width="2.7265625" style="604" customWidth="1"/>
    <col min="15091" max="15091" width="11.26953125" style="604" customWidth="1"/>
    <col min="15092" max="15092" width="2.7265625" style="604" customWidth="1"/>
    <col min="15093" max="15093" width="11.26953125" style="604" customWidth="1"/>
    <col min="15094" max="15094" width="2.7265625" style="604" customWidth="1"/>
    <col min="15095" max="15095" width="19.08984375" style="604" bestFit="1" customWidth="1"/>
    <col min="15096" max="15096" width="1.81640625" style="604" customWidth="1"/>
    <col min="15097" max="15097" width="6.7265625" style="604" customWidth="1"/>
    <col min="15098" max="15098" width="14.7265625" style="604" customWidth="1"/>
    <col min="15099" max="15099" width="9" style="604" bestFit="1" customWidth="1"/>
    <col min="15100" max="15340" width="5" style="604"/>
    <col min="15341" max="15341" width="4.7265625" style="604" customWidth="1"/>
    <col min="15342" max="15342" width="2" style="604" customWidth="1"/>
    <col min="15343" max="15343" width="40.7265625" style="604" customWidth="1"/>
    <col min="15344" max="15344" width="3.54296875" style="604" customWidth="1"/>
    <col min="15345" max="15345" width="11.08984375" style="604" customWidth="1"/>
    <col min="15346" max="15346" width="2.7265625" style="604" customWidth="1"/>
    <col min="15347" max="15347" width="11.26953125" style="604" customWidth="1"/>
    <col min="15348" max="15348" width="2.7265625" style="604" customWidth="1"/>
    <col min="15349" max="15349" width="11.26953125" style="604" customWidth="1"/>
    <col min="15350" max="15350" width="2.7265625" style="604" customWidth="1"/>
    <col min="15351" max="15351" width="19.08984375" style="604" bestFit="1" customWidth="1"/>
    <col min="15352" max="15352" width="1.81640625" style="604" customWidth="1"/>
    <col min="15353" max="15353" width="6.7265625" style="604" customWidth="1"/>
    <col min="15354" max="15354" width="14.7265625" style="604" customWidth="1"/>
    <col min="15355" max="15355" width="9" style="604" bestFit="1" customWidth="1"/>
    <col min="15356" max="15596" width="5" style="604"/>
    <col min="15597" max="15597" width="4.7265625" style="604" customWidth="1"/>
    <col min="15598" max="15598" width="2" style="604" customWidth="1"/>
    <col min="15599" max="15599" width="40.7265625" style="604" customWidth="1"/>
    <col min="15600" max="15600" width="3.54296875" style="604" customWidth="1"/>
    <col min="15601" max="15601" width="11.08984375" style="604" customWidth="1"/>
    <col min="15602" max="15602" width="2.7265625" style="604" customWidth="1"/>
    <col min="15603" max="15603" width="11.26953125" style="604" customWidth="1"/>
    <col min="15604" max="15604" width="2.7265625" style="604" customWidth="1"/>
    <col min="15605" max="15605" width="11.26953125" style="604" customWidth="1"/>
    <col min="15606" max="15606" width="2.7265625" style="604" customWidth="1"/>
    <col min="15607" max="15607" width="19.08984375" style="604" bestFit="1" customWidth="1"/>
    <col min="15608" max="15608" width="1.81640625" style="604" customWidth="1"/>
    <col min="15609" max="15609" width="6.7265625" style="604" customWidth="1"/>
    <col min="15610" max="15610" width="14.7265625" style="604" customWidth="1"/>
    <col min="15611" max="15611" width="9" style="604" bestFit="1" customWidth="1"/>
    <col min="15612" max="15852" width="5" style="604"/>
    <col min="15853" max="15853" width="4.7265625" style="604" customWidth="1"/>
    <col min="15854" max="15854" width="2" style="604" customWidth="1"/>
    <col min="15855" max="15855" width="40.7265625" style="604" customWidth="1"/>
    <col min="15856" max="15856" width="3.54296875" style="604" customWidth="1"/>
    <col min="15857" max="15857" width="11.08984375" style="604" customWidth="1"/>
    <col min="15858" max="15858" width="2.7265625" style="604" customWidth="1"/>
    <col min="15859" max="15859" width="11.26953125" style="604" customWidth="1"/>
    <col min="15860" max="15860" width="2.7265625" style="604" customWidth="1"/>
    <col min="15861" max="15861" width="11.26953125" style="604" customWidth="1"/>
    <col min="15862" max="15862" width="2.7265625" style="604" customWidth="1"/>
    <col min="15863" max="15863" width="19.08984375" style="604" bestFit="1" customWidth="1"/>
    <col min="15864" max="15864" width="1.81640625" style="604" customWidth="1"/>
    <col min="15865" max="15865" width="6.7265625" style="604" customWidth="1"/>
    <col min="15866" max="15866" width="14.7265625" style="604" customWidth="1"/>
    <col min="15867" max="15867" width="9" style="604" bestFit="1" customWidth="1"/>
    <col min="15868" max="16108" width="5" style="604"/>
    <col min="16109" max="16109" width="4.7265625" style="604" customWidth="1"/>
    <col min="16110" max="16110" width="2" style="604" customWidth="1"/>
    <col min="16111" max="16111" width="40.7265625" style="604" customWidth="1"/>
    <col min="16112" max="16112" width="3.54296875" style="604" customWidth="1"/>
    <col min="16113" max="16113" width="11.08984375" style="604" customWidth="1"/>
    <col min="16114" max="16114" width="2.7265625" style="604" customWidth="1"/>
    <col min="16115" max="16115" width="11.26953125" style="604" customWidth="1"/>
    <col min="16116" max="16116" width="2.7265625" style="604" customWidth="1"/>
    <col min="16117" max="16117" width="11.26953125" style="604" customWidth="1"/>
    <col min="16118" max="16118" width="2.7265625" style="604" customWidth="1"/>
    <col min="16119" max="16119" width="19.08984375" style="604" bestFit="1" customWidth="1"/>
    <col min="16120" max="16120" width="1.81640625" style="604" customWidth="1"/>
    <col min="16121" max="16121" width="6.7265625" style="604" customWidth="1"/>
    <col min="16122" max="16122" width="14.7265625" style="604" customWidth="1"/>
    <col min="16123" max="16123" width="9" style="604" bestFit="1" customWidth="1"/>
    <col min="16124" max="16384" width="5" style="604"/>
  </cols>
  <sheetData>
    <row r="1" spans="1:26">
      <c r="W1" s="37"/>
      <c r="X1" s="37"/>
      <c r="Y1" s="3" t="s">
        <v>994</v>
      </c>
    </row>
    <row r="2" spans="1:26">
      <c r="W2" s="37"/>
      <c r="X2" s="37"/>
      <c r="Y2" s="3" t="s">
        <v>144</v>
      </c>
    </row>
    <row r="3" spans="1:26">
      <c r="W3" s="37"/>
      <c r="X3" s="37"/>
      <c r="Y3" s="3" t="str">
        <f>'Attachment 4 - Accum Depr'!K3</f>
        <v>For the 12 months ended 12/31/2022</v>
      </c>
    </row>
    <row r="5" spans="1:26">
      <c r="B5" s="604"/>
      <c r="C5" s="748" t="s">
        <v>627</v>
      </c>
      <c r="E5" s="748" t="str">
        <f>"("&amp;CHAR(CODE(MID(C5,2,1))+1)&amp;")"</f>
        <v>(B)</v>
      </c>
      <c r="F5" s="748"/>
      <c r="G5" s="748" t="str">
        <f t="shared" ref="G5" si="0">"("&amp;CHAR(CODE(MID(E5,2,1))+1)&amp;")"</f>
        <v>(C)</v>
      </c>
      <c r="H5" s="748"/>
      <c r="I5" s="748" t="str">
        <f t="shared" ref="I5" si="1">"("&amp;CHAR(CODE(MID(G5,2,1))+1)&amp;")"</f>
        <v>(D)</v>
      </c>
      <c r="J5" s="604"/>
      <c r="L5" s="748" t="str">
        <f>"("&amp;CHAR(CODE(MID(I5,2,1))+1)&amp;")"</f>
        <v>(E)</v>
      </c>
      <c r="M5" s="748"/>
      <c r="N5" s="748"/>
      <c r="O5" s="748" t="str">
        <f t="shared" ref="O5:U5" si="2">"("&amp;CHAR(CODE(MID(L5,2,1))+1)&amp;")"</f>
        <v>(F)</v>
      </c>
      <c r="P5" s="748"/>
      <c r="Q5" s="748"/>
      <c r="R5" s="748" t="str">
        <f t="shared" si="2"/>
        <v>(G)</v>
      </c>
      <c r="S5" s="748"/>
      <c r="T5" s="748"/>
      <c r="U5" s="748" t="str">
        <f t="shared" si="2"/>
        <v>(H)</v>
      </c>
      <c r="V5" s="748"/>
      <c r="W5" s="748" t="str">
        <f>"("&amp;CHAR(CODE(MID(U5,2,1))+1)&amp;")"</f>
        <v>(I)</v>
      </c>
      <c r="X5" s="748"/>
      <c r="Y5" s="748" t="str">
        <f t="shared" ref="Y5" si="3">"("&amp;CHAR(CODE(MID(W5,2,1))+1)&amp;")"</f>
        <v>(J)</v>
      </c>
    </row>
    <row r="6" spans="1:26">
      <c r="B6" s="604"/>
      <c r="E6" s="748"/>
      <c r="F6" s="748"/>
      <c r="G6" s="624"/>
      <c r="H6" s="748"/>
      <c r="I6" s="624"/>
      <c r="J6" s="624"/>
      <c r="L6" s="624"/>
      <c r="O6" s="624"/>
      <c r="R6" s="624"/>
      <c r="T6" s="605"/>
      <c r="V6" s="605"/>
      <c r="X6" s="605"/>
      <c r="Z6" s="605"/>
    </row>
    <row r="7" spans="1:26">
      <c r="B7" s="604"/>
      <c r="E7" s="604"/>
      <c r="F7" s="604"/>
      <c r="G7" s="604"/>
      <c r="H7" s="604"/>
      <c r="I7" s="623">
        <f>'Attachment 4 - Accum Depr'!C8</f>
        <v>2021</v>
      </c>
      <c r="J7" s="604"/>
      <c r="L7" s="623">
        <f>$I$7+1</f>
        <v>2022</v>
      </c>
      <c r="O7" s="623">
        <f>$I$7+1</f>
        <v>2022</v>
      </c>
      <c r="R7" s="623">
        <f>$I$7+1</f>
        <v>2022</v>
      </c>
      <c r="U7" s="623">
        <f>$I$7+1</f>
        <v>2022</v>
      </c>
      <c r="V7" s="605"/>
      <c r="X7" s="605"/>
      <c r="Y7" s="604"/>
    </row>
    <row r="8" spans="1:26" s="615" customFormat="1" ht="31.2">
      <c r="A8" s="622" t="s">
        <v>630</v>
      </c>
      <c r="B8" s="630"/>
      <c r="C8" s="744" t="s">
        <v>625</v>
      </c>
      <c r="D8" s="752"/>
      <c r="E8" s="631" t="s">
        <v>10</v>
      </c>
      <c r="F8" s="752"/>
      <c r="G8" s="631" t="s">
        <v>727</v>
      </c>
      <c r="H8" s="751"/>
      <c r="I8" s="619" t="s">
        <v>728</v>
      </c>
      <c r="J8" s="630"/>
      <c r="K8" s="630"/>
      <c r="L8" s="892" t="s">
        <v>799</v>
      </c>
      <c r="M8" s="630"/>
      <c r="N8" s="630"/>
      <c r="O8" s="892" t="s">
        <v>800</v>
      </c>
      <c r="P8" s="630"/>
      <c r="Q8" s="630"/>
      <c r="R8" s="892" t="s">
        <v>801</v>
      </c>
      <c r="S8" s="630"/>
      <c r="T8" s="630"/>
      <c r="U8" s="892" t="s">
        <v>729</v>
      </c>
      <c r="V8" s="629"/>
      <c r="W8" s="892" t="s">
        <v>911</v>
      </c>
      <c r="X8" s="612"/>
      <c r="Y8" s="892" t="s">
        <v>1026</v>
      </c>
    </row>
    <row r="9" spans="1:26">
      <c r="A9" s="615">
        <v>1</v>
      </c>
      <c r="B9" s="613"/>
      <c r="C9" s="758" t="s">
        <v>832</v>
      </c>
      <c r="D9" s="613"/>
      <c r="E9" s="613"/>
      <c r="F9" s="613"/>
      <c r="G9" s="613"/>
      <c r="H9" s="613"/>
      <c r="I9" s="613"/>
      <c r="J9" s="613"/>
      <c r="K9" s="613"/>
      <c r="L9" s="612"/>
      <c r="M9" s="613"/>
      <c r="N9" s="613"/>
      <c r="O9" s="612"/>
      <c r="P9" s="613"/>
      <c r="Q9" s="613"/>
      <c r="R9" s="612"/>
      <c r="S9" s="613"/>
      <c r="T9" s="613"/>
      <c r="U9" s="612"/>
      <c r="V9" s="613"/>
      <c r="W9" s="612"/>
      <c r="X9" s="611"/>
      <c r="Y9" s="612"/>
      <c r="Z9" s="612"/>
    </row>
    <row r="10" spans="1:26">
      <c r="C10" s="605"/>
      <c r="D10" s="605"/>
      <c r="E10" s="605"/>
      <c r="F10" s="605"/>
      <c r="G10" s="605"/>
      <c r="H10" s="605"/>
      <c r="I10" s="605"/>
      <c r="J10" s="605"/>
      <c r="K10" s="605"/>
      <c r="L10" s="605"/>
      <c r="M10" s="605"/>
      <c r="N10" s="605"/>
      <c r="O10" s="605"/>
      <c r="P10" s="605"/>
      <c r="Q10" s="605"/>
      <c r="R10" s="605"/>
      <c r="S10" s="605"/>
      <c r="T10" s="605"/>
      <c r="V10" s="605"/>
      <c r="X10" s="605"/>
      <c r="Z10" s="605"/>
    </row>
    <row r="11" spans="1:26">
      <c r="A11" s="739">
        <f>A9+0.01</f>
        <v>1.01</v>
      </c>
      <c r="B11" s="604"/>
      <c r="C11" s="663" t="s">
        <v>1090</v>
      </c>
      <c r="D11" s="634"/>
      <c r="E11" s="727" t="s">
        <v>1071</v>
      </c>
      <c r="F11" s="17"/>
      <c r="G11" s="636">
        <f ca="1">IFERROR(INDIRECT(E11),0)</f>
        <v>8.452849912295303E-2</v>
      </c>
      <c r="H11" s="753"/>
      <c r="I11" s="645">
        <v>268324</v>
      </c>
      <c r="J11" s="604"/>
      <c r="L11" s="645">
        <v>284752.89</v>
      </c>
      <c r="O11" s="645">
        <v>277822.09000000003</v>
      </c>
      <c r="R11" s="645">
        <v>274931.82</v>
      </c>
      <c r="U11" s="645">
        <v>255497</v>
      </c>
      <c r="W11" s="741">
        <f ca="1">U11*G11</f>
        <v>21596.777940417131</v>
      </c>
      <c r="Y11" s="604"/>
    </row>
    <row r="12" spans="1:26">
      <c r="A12" s="739">
        <f>A11+0.01</f>
        <v>1.02</v>
      </c>
      <c r="B12" s="604"/>
      <c r="C12" s="663" t="s">
        <v>1091</v>
      </c>
      <c r="D12" s="634"/>
      <c r="E12" s="727" t="s">
        <v>762</v>
      </c>
      <c r="F12" s="17"/>
      <c r="G12" s="636">
        <f t="shared" ref="G12:G35" ca="1" si="4">IFERROR(INDIRECT(E12),0)</f>
        <v>0.24533140330459982</v>
      </c>
      <c r="H12" s="753"/>
      <c r="I12" s="645">
        <v>63248</v>
      </c>
      <c r="J12" s="604"/>
      <c r="L12" s="645">
        <v>63247.5</v>
      </c>
      <c r="O12" s="645">
        <v>63247.5</v>
      </c>
      <c r="R12" s="645">
        <v>63247.5</v>
      </c>
      <c r="U12" s="645">
        <v>63248</v>
      </c>
      <c r="W12" s="741">
        <f t="shared" ref="W12:W19" ca="1" si="5">U12*G12</f>
        <v>15516.72059620933</v>
      </c>
      <c r="Y12" s="604"/>
    </row>
    <row r="13" spans="1:26">
      <c r="A13" s="739">
        <f t="shared" ref="A13:A21" si="6">A12+0.01</f>
        <v>1.03</v>
      </c>
      <c r="B13" s="604"/>
      <c r="C13" s="663" t="s">
        <v>1092</v>
      </c>
      <c r="D13" s="634"/>
      <c r="E13" s="727" t="s">
        <v>1071</v>
      </c>
      <c r="F13" s="17"/>
      <c r="G13" s="636">
        <f t="shared" ca="1" si="4"/>
        <v>8.452849912295303E-2</v>
      </c>
      <c r="H13" s="753"/>
      <c r="I13" s="645">
        <v>667289</v>
      </c>
      <c r="J13" s="604"/>
      <c r="L13" s="645">
        <v>596030.38</v>
      </c>
      <c r="O13" s="645">
        <v>319610.7</v>
      </c>
      <c r="R13" s="645">
        <v>26704.5</v>
      </c>
      <c r="U13" s="645">
        <v>5622</v>
      </c>
      <c r="W13" s="741">
        <f ca="1">U13*G13</f>
        <v>475.21922206924194</v>
      </c>
      <c r="Y13" s="604"/>
    </row>
    <row r="14" spans="1:26">
      <c r="A14" s="739">
        <f t="shared" si="6"/>
        <v>1.04</v>
      </c>
      <c r="B14" s="604"/>
      <c r="C14" s="663" t="s">
        <v>1093</v>
      </c>
      <c r="D14" s="634"/>
      <c r="E14" s="727" t="s">
        <v>1071</v>
      </c>
      <c r="F14" s="17"/>
      <c r="G14" s="636">
        <f t="shared" ca="1" si="4"/>
        <v>8.452849912295303E-2</v>
      </c>
      <c r="H14" s="753"/>
      <c r="I14" s="645">
        <v>1121722</v>
      </c>
      <c r="J14" s="604"/>
      <c r="L14" s="645">
        <v>1062380.78</v>
      </c>
      <c r="O14" s="645">
        <v>966816.52</v>
      </c>
      <c r="R14" s="645">
        <v>937186.77</v>
      </c>
      <c r="U14" s="645">
        <v>953059</v>
      </c>
      <c r="W14" s="741">
        <f t="shared" ca="1" si="5"/>
        <v>80560.646845622497</v>
      </c>
      <c r="Y14" s="604"/>
    </row>
    <row r="15" spans="1:26">
      <c r="A15" s="739">
        <f t="shared" si="6"/>
        <v>1.05</v>
      </c>
      <c r="B15" s="604"/>
      <c r="C15" s="663" t="s">
        <v>1094</v>
      </c>
      <c r="D15" s="634"/>
      <c r="E15" s="727" t="s">
        <v>762</v>
      </c>
      <c r="F15" s="17"/>
      <c r="G15" s="636">
        <f ca="1">IFERROR(INDIRECT(E15),0)</f>
        <v>0.24533140330459982</v>
      </c>
      <c r="H15" s="753"/>
      <c r="I15" s="645">
        <v>69150</v>
      </c>
      <c r="J15" s="604"/>
      <c r="L15" s="645">
        <v>63055.85</v>
      </c>
      <c r="O15" s="645">
        <v>56961.55</v>
      </c>
      <c r="R15" s="645">
        <v>50867.16</v>
      </c>
      <c r="U15" s="645">
        <v>44773</v>
      </c>
      <c r="W15" s="741">
        <f ca="1">U15*G15</f>
        <v>10984.222920156848</v>
      </c>
      <c r="Y15" s="604"/>
    </row>
    <row r="16" spans="1:26">
      <c r="A16" s="739">
        <f t="shared" si="6"/>
        <v>1.06</v>
      </c>
      <c r="B16" s="604"/>
      <c r="C16" s="663" t="s">
        <v>1095</v>
      </c>
      <c r="D16" s="634"/>
      <c r="E16" s="727" t="s">
        <v>1071</v>
      </c>
      <c r="F16" s="17"/>
      <c r="G16" s="636">
        <f t="shared" ca="1" si="4"/>
        <v>8.452849912295303E-2</v>
      </c>
      <c r="H16" s="753"/>
      <c r="I16" s="645">
        <v>2781563</v>
      </c>
      <c r="J16" s="604"/>
      <c r="L16" s="645">
        <v>2778353.61</v>
      </c>
      <c r="O16" s="645">
        <v>2778353.61</v>
      </c>
      <c r="R16" s="645">
        <v>2778353.61</v>
      </c>
      <c r="U16" s="645">
        <v>2901199</v>
      </c>
      <c r="W16" s="741">
        <f t="shared" ca="1" si="5"/>
        <v>245233.9971270122</v>
      </c>
      <c r="Y16" s="604"/>
    </row>
    <row r="17" spans="1:29">
      <c r="A17" s="739">
        <f t="shared" si="6"/>
        <v>1.07</v>
      </c>
      <c r="B17" s="604"/>
      <c r="C17" s="663" t="s">
        <v>1096</v>
      </c>
      <c r="D17" s="634"/>
      <c r="E17" s="727" t="s">
        <v>1071</v>
      </c>
      <c r="F17" s="17"/>
      <c r="G17" s="636">
        <f t="shared" ca="1" si="4"/>
        <v>8.452849912295303E-2</v>
      </c>
      <c r="H17" s="753"/>
      <c r="I17" s="645">
        <v>102353</v>
      </c>
      <c r="J17" s="604"/>
      <c r="L17" s="645">
        <v>54173.59</v>
      </c>
      <c r="O17" s="645">
        <v>62232.45</v>
      </c>
      <c r="R17" s="645">
        <v>71003.33</v>
      </c>
      <c r="U17" s="645">
        <v>102974</v>
      </c>
      <c r="W17" s="741">
        <f t="shared" ca="1" si="5"/>
        <v>8704.2376686869648</v>
      </c>
      <c r="Y17" s="604"/>
    </row>
    <row r="18" spans="1:29">
      <c r="A18" s="739">
        <f t="shared" si="6"/>
        <v>1.08</v>
      </c>
      <c r="B18" s="604"/>
      <c r="C18" s="663" t="s">
        <v>1097</v>
      </c>
      <c r="D18" s="634"/>
      <c r="E18" s="727" t="s">
        <v>1071</v>
      </c>
      <c r="F18" s="17"/>
      <c r="G18" s="636">
        <f ca="1">IFERROR(INDIRECT(E18),0)</f>
        <v>8.452849912295303E-2</v>
      </c>
      <c r="H18" s="753"/>
      <c r="I18" s="645">
        <v>82103</v>
      </c>
      <c r="J18" s="604"/>
      <c r="L18" s="645">
        <v>82103.11</v>
      </c>
      <c r="O18" s="645">
        <v>82103.11</v>
      </c>
      <c r="R18" s="645">
        <v>0</v>
      </c>
      <c r="U18" s="645">
        <v>0</v>
      </c>
      <c r="W18" s="741">
        <f ca="1">U18*G18</f>
        <v>0</v>
      </c>
      <c r="Y18" s="604"/>
    </row>
    <row r="19" spans="1:29">
      <c r="A19" s="739">
        <f t="shared" si="6"/>
        <v>1.0900000000000001</v>
      </c>
      <c r="B19" s="604"/>
      <c r="C19" s="663" t="s">
        <v>1098</v>
      </c>
      <c r="D19" s="634"/>
      <c r="E19" s="727" t="s">
        <v>1071</v>
      </c>
      <c r="F19" s="17"/>
      <c r="G19" s="636">
        <f ca="1">IFERROR(INDIRECT(E19),0)</f>
        <v>8.452849912295303E-2</v>
      </c>
      <c r="H19" s="753"/>
      <c r="I19" s="645">
        <v>213498</v>
      </c>
      <c r="J19" s="604"/>
      <c r="L19" s="645">
        <v>149034.25</v>
      </c>
      <c r="O19" s="645">
        <v>195507.17</v>
      </c>
      <c r="R19" s="645">
        <v>284779.62</v>
      </c>
      <c r="U19" s="645">
        <v>300414</v>
      </c>
      <c r="W19" s="741">
        <f t="shared" ca="1" si="5"/>
        <v>25393.544535522811</v>
      </c>
      <c r="Y19" s="604"/>
    </row>
    <row r="20" spans="1:29">
      <c r="A20" s="739">
        <f t="shared" si="6"/>
        <v>1.1000000000000001</v>
      </c>
      <c r="B20" s="604"/>
      <c r="C20" s="663" t="s">
        <v>1099</v>
      </c>
      <c r="D20" s="634"/>
      <c r="E20" s="727" t="s">
        <v>250</v>
      </c>
      <c r="F20" s="17"/>
      <c r="G20" s="636">
        <f t="shared" ca="1" si="4"/>
        <v>1</v>
      </c>
      <c r="H20" s="753"/>
      <c r="I20" s="645">
        <v>4145482.7856461937</v>
      </c>
      <c r="J20" s="604"/>
      <c r="L20" s="645">
        <v>4145482.7856461937</v>
      </c>
      <c r="O20" s="645">
        <v>4145482.7856461937</v>
      </c>
      <c r="R20" s="645">
        <v>4153561.5458547059</v>
      </c>
      <c r="U20" s="645">
        <v>4153561.5458547059</v>
      </c>
      <c r="W20" s="741">
        <f t="shared" ref="W20:W29" ca="1" si="7">U20*G20</f>
        <v>4153561.5458547059</v>
      </c>
      <c r="Y20" s="604"/>
    </row>
    <row r="21" spans="1:29">
      <c r="A21" s="739">
        <f t="shared" si="6"/>
        <v>1.1100000000000001</v>
      </c>
      <c r="B21" s="604"/>
      <c r="C21" s="663" t="s">
        <v>1100</v>
      </c>
      <c r="D21" s="634"/>
      <c r="E21" s="727" t="s">
        <v>250</v>
      </c>
      <c r="F21" s="17"/>
      <c r="G21" s="636">
        <f t="shared" ca="1" si="4"/>
        <v>1</v>
      </c>
      <c r="H21" s="753"/>
      <c r="I21" s="645">
        <v>6566359.0377289839</v>
      </c>
      <c r="J21" s="604"/>
      <c r="L21" s="645">
        <v>6566359.0377289839</v>
      </c>
      <c r="O21" s="645">
        <v>6566359.0377289839</v>
      </c>
      <c r="R21" s="645">
        <v>6579155.6268964726</v>
      </c>
      <c r="U21" s="645">
        <v>6579155.6268964726</v>
      </c>
      <c r="W21" s="741">
        <f t="shared" ca="1" si="7"/>
        <v>6579155.6268964726</v>
      </c>
      <c r="Y21" s="610"/>
    </row>
    <row r="22" spans="1:29">
      <c r="A22" s="739">
        <f>A21+0.01</f>
        <v>1.1200000000000001</v>
      </c>
      <c r="B22" s="604"/>
      <c r="C22" s="663" t="s">
        <v>1102</v>
      </c>
      <c r="D22" s="634"/>
      <c r="E22" s="727" t="s">
        <v>250</v>
      </c>
      <c r="F22" s="17"/>
      <c r="G22" s="636">
        <f t="shared" ca="1" si="4"/>
        <v>1</v>
      </c>
      <c r="H22" s="753"/>
      <c r="I22" s="645">
        <v>544507</v>
      </c>
      <c r="J22" s="604"/>
      <c r="L22" s="645">
        <v>531681.84</v>
      </c>
      <c r="O22" s="645">
        <v>518856.69</v>
      </c>
      <c r="R22" s="645">
        <v>506031.52</v>
      </c>
      <c r="U22" s="645">
        <v>493206</v>
      </c>
      <c r="W22" s="741">
        <f t="shared" ca="1" si="7"/>
        <v>493206</v>
      </c>
      <c r="Y22" s="604"/>
    </row>
    <row r="23" spans="1:29">
      <c r="A23" s="739">
        <f t="shared" ref="A23:A35" si="8">A22+0.01</f>
        <v>1.1300000000000001</v>
      </c>
      <c r="B23" s="604"/>
      <c r="C23" s="663" t="s">
        <v>1103</v>
      </c>
      <c r="D23" s="634"/>
      <c r="E23" s="727" t="s">
        <v>762</v>
      </c>
      <c r="F23" s="17"/>
      <c r="G23" s="636">
        <f t="shared" ca="1" si="4"/>
        <v>0.24533140330459982</v>
      </c>
      <c r="H23" s="753"/>
      <c r="I23" s="645">
        <v>36036673.145662673</v>
      </c>
      <c r="J23" s="604"/>
      <c r="L23" s="645">
        <v>36036673.145662673</v>
      </c>
      <c r="O23" s="645">
        <v>36036673.145662673</v>
      </c>
      <c r="R23" s="645">
        <v>36036673.145662673</v>
      </c>
      <c r="U23" s="645">
        <v>49107154.678258672</v>
      </c>
      <c r="W23" s="741">
        <f t="shared" ca="1" si="7"/>
        <v>12047527.169513244</v>
      </c>
      <c r="Y23" s="604"/>
    </row>
    <row r="24" spans="1:29">
      <c r="A24" s="739">
        <f t="shared" si="8"/>
        <v>1.1400000000000001</v>
      </c>
      <c r="B24" s="604"/>
      <c r="C24" s="663" t="s">
        <v>1104</v>
      </c>
      <c r="D24" s="634"/>
      <c r="E24" s="727" t="s">
        <v>1071</v>
      </c>
      <c r="F24" s="17"/>
      <c r="G24" s="636">
        <f t="shared" ca="1" si="4"/>
        <v>8.452849912295303E-2</v>
      </c>
      <c r="H24" s="753"/>
      <c r="I24" s="645">
        <v>1737546</v>
      </c>
      <c r="J24" s="604"/>
      <c r="L24" s="645">
        <v>1742885.74</v>
      </c>
      <c r="O24" s="645">
        <v>1748517</v>
      </c>
      <c r="R24" s="645">
        <v>1753964.12</v>
      </c>
      <c r="U24" s="645">
        <v>1295510</v>
      </c>
      <c r="W24" s="741">
        <f t="shared" ca="1" si="7"/>
        <v>109507.51589877688</v>
      </c>
      <c r="Y24" s="604"/>
    </row>
    <row r="25" spans="1:29">
      <c r="A25" s="739">
        <f t="shared" si="8"/>
        <v>1.1500000000000001</v>
      </c>
      <c r="B25" s="604"/>
      <c r="C25" s="663" t="s">
        <v>1105</v>
      </c>
      <c r="D25" s="634"/>
      <c r="E25" s="727" t="s">
        <v>1071</v>
      </c>
      <c r="F25" s="17"/>
      <c r="G25" s="636">
        <f t="shared" ca="1" si="4"/>
        <v>8.452849912295303E-2</v>
      </c>
      <c r="H25" s="753"/>
      <c r="I25" s="645">
        <v>74416356</v>
      </c>
      <c r="J25" s="604"/>
      <c r="L25" s="645">
        <v>74416356.430000007</v>
      </c>
      <c r="O25" s="645">
        <v>74416356.430000007</v>
      </c>
      <c r="R25" s="645">
        <v>74416356.159999996</v>
      </c>
      <c r="U25" s="645">
        <v>133822277</v>
      </c>
      <c r="W25" s="741">
        <f t="shared" ca="1" si="7"/>
        <v>11311796.224026076</v>
      </c>
      <c r="Y25" s="604"/>
      <c r="AC25" s="610"/>
    </row>
    <row r="26" spans="1:29">
      <c r="A26" s="739">
        <f t="shared" si="8"/>
        <v>1.1600000000000001</v>
      </c>
      <c r="B26" s="604"/>
      <c r="C26" s="663" t="s">
        <v>1106</v>
      </c>
      <c r="D26" s="634"/>
      <c r="E26" s="727" t="s">
        <v>1071</v>
      </c>
      <c r="F26" s="17"/>
      <c r="G26" s="636">
        <f t="shared" ca="1" si="4"/>
        <v>8.452849912295303E-2</v>
      </c>
      <c r="H26" s="753"/>
      <c r="I26" s="645">
        <v>720373</v>
      </c>
      <c r="J26" s="604"/>
      <c r="L26" s="645">
        <v>711658.36</v>
      </c>
      <c r="O26" s="645">
        <v>702948.86</v>
      </c>
      <c r="R26" s="645">
        <v>694206.21</v>
      </c>
      <c r="U26" s="645">
        <v>650691</v>
      </c>
      <c r="W26" s="741">
        <f t="shared" ca="1" si="7"/>
        <v>55001.933622813427</v>
      </c>
      <c r="Y26" s="604"/>
      <c r="AC26" s="963"/>
    </row>
    <row r="27" spans="1:29">
      <c r="A27" s="739">
        <f t="shared" si="8"/>
        <v>1.1700000000000002</v>
      </c>
      <c r="B27" s="604"/>
      <c r="C27" s="663" t="s">
        <v>1107</v>
      </c>
      <c r="D27" s="634"/>
      <c r="E27" s="727" t="s">
        <v>1071</v>
      </c>
      <c r="F27" s="17"/>
      <c r="G27" s="636">
        <f t="shared" ca="1" si="4"/>
        <v>8.452849912295303E-2</v>
      </c>
      <c r="H27" s="753"/>
      <c r="I27" s="645">
        <v>17473128</v>
      </c>
      <c r="J27" s="604"/>
      <c r="L27" s="645">
        <v>15297822.050000001</v>
      </c>
      <c r="O27" s="645">
        <v>13122516.210000001</v>
      </c>
      <c r="R27" s="645">
        <v>11343131.51</v>
      </c>
      <c r="U27" s="645">
        <v>17537016</v>
      </c>
      <c r="W27" s="741">
        <f t="shared" ca="1" si="7"/>
        <v>1482377.6415752133</v>
      </c>
      <c r="Y27" s="604"/>
      <c r="AC27" s="610"/>
    </row>
    <row r="28" spans="1:29">
      <c r="A28" s="739">
        <f t="shared" si="8"/>
        <v>1.1800000000000002</v>
      </c>
      <c r="B28" s="604"/>
      <c r="C28" s="663" t="s">
        <v>1157</v>
      </c>
      <c r="D28" s="634"/>
      <c r="E28" s="727" t="s">
        <v>250</v>
      </c>
      <c r="F28" s="17"/>
      <c r="G28" s="636">
        <f t="shared" ca="1" si="4"/>
        <v>1</v>
      </c>
      <c r="H28" s="753"/>
      <c r="I28" s="645">
        <v>4048628</v>
      </c>
      <c r="J28" s="604"/>
      <c r="L28" s="645">
        <v>4790685.3846023828</v>
      </c>
      <c r="O28" s="645">
        <v>4797321.5426611723</v>
      </c>
      <c r="R28" s="645">
        <v>4837825.159882958</v>
      </c>
      <c r="U28" s="645">
        <v>4881561.2418216495</v>
      </c>
      <c r="W28" s="741">
        <f t="shared" ca="1" si="7"/>
        <v>4881561.2418216495</v>
      </c>
      <c r="Y28" s="604"/>
    </row>
    <row r="29" spans="1:29">
      <c r="A29" s="739">
        <f t="shared" si="8"/>
        <v>1.1900000000000002</v>
      </c>
      <c r="B29" s="604"/>
      <c r="C29" s="663" t="s">
        <v>1108</v>
      </c>
      <c r="D29" s="634"/>
      <c r="E29" s="727" t="s">
        <v>1071</v>
      </c>
      <c r="F29" s="17"/>
      <c r="G29" s="636">
        <f t="shared" ca="1" si="4"/>
        <v>8.452849912295303E-2</v>
      </c>
      <c r="H29" s="753"/>
      <c r="I29" s="645">
        <v>57651660</v>
      </c>
      <c r="J29" s="604"/>
      <c r="L29" s="645">
        <v>57681738.68</v>
      </c>
      <c r="O29" s="645">
        <v>57711803.170000002</v>
      </c>
      <c r="R29" s="645">
        <v>57777551.579999998</v>
      </c>
      <c r="U29" s="645">
        <v>-2279165</v>
      </c>
      <c r="W29" s="741">
        <f t="shared" ca="1" si="7"/>
        <v>-192654.39670356523</v>
      </c>
      <c r="Y29" s="610"/>
    </row>
    <row r="30" spans="1:29">
      <c r="A30" s="739">
        <f t="shared" si="8"/>
        <v>1.2000000000000002</v>
      </c>
      <c r="B30" s="604"/>
      <c r="C30" s="663" t="s">
        <v>1109</v>
      </c>
      <c r="D30" s="634"/>
      <c r="E30" s="727" t="s">
        <v>1071</v>
      </c>
      <c r="F30" s="17"/>
      <c r="G30" s="636">
        <f t="shared" ca="1" si="4"/>
        <v>8.452849912295303E-2</v>
      </c>
      <c r="H30" s="753"/>
      <c r="I30" s="645">
        <v>3060939</v>
      </c>
      <c r="J30" s="604"/>
      <c r="L30" s="645">
        <v>3275691.91</v>
      </c>
      <c r="O30" s="645">
        <v>3185094.19</v>
      </c>
      <c r="R30" s="645">
        <v>3111605.53</v>
      </c>
      <c r="U30" s="645">
        <v>2857550</v>
      </c>
      <c r="W30" s="741">
        <f ca="1">U30*G30</f>
        <v>241544.41266879442</v>
      </c>
      <c r="Y30" s="604"/>
    </row>
    <row r="31" spans="1:29">
      <c r="A31" s="739">
        <f t="shared" si="8"/>
        <v>1.2100000000000002</v>
      </c>
      <c r="B31" s="604"/>
      <c r="C31" s="663" t="s">
        <v>1119</v>
      </c>
      <c r="D31" s="634"/>
      <c r="E31" s="727" t="s">
        <v>1071</v>
      </c>
      <c r="F31" s="17"/>
      <c r="G31" s="636">
        <f t="shared" ca="1" si="4"/>
        <v>8.452849912295303E-2</v>
      </c>
      <c r="H31" s="753"/>
      <c r="I31" s="645">
        <v>658115</v>
      </c>
      <c r="J31" s="604"/>
      <c r="L31" s="645">
        <v>658114.67000000004</v>
      </c>
      <c r="O31" s="645">
        <v>658114.67000000004</v>
      </c>
      <c r="R31" s="645">
        <v>658114.67000000004</v>
      </c>
      <c r="U31" s="645">
        <v>137613</v>
      </c>
      <c r="W31" s="741">
        <f ca="1">U31*G31</f>
        <v>11632.220349806936</v>
      </c>
      <c r="Y31" s="604"/>
    </row>
    <row r="32" spans="1:29">
      <c r="A32" s="739">
        <f t="shared" si="8"/>
        <v>1.2200000000000002</v>
      </c>
      <c r="B32" s="604"/>
      <c r="C32" s="663" t="s">
        <v>1136</v>
      </c>
      <c r="D32" s="634"/>
      <c r="E32" s="727" t="s">
        <v>250</v>
      </c>
      <c r="F32" s="17"/>
      <c r="G32" s="636">
        <f t="shared" ca="1" si="4"/>
        <v>1</v>
      </c>
      <c r="H32" s="753"/>
      <c r="I32" s="645">
        <v>8451951.5004419144</v>
      </c>
      <c r="J32" s="604"/>
      <c r="L32" s="645">
        <v>8343745.6739777867</v>
      </c>
      <c r="O32" s="645">
        <v>8235539.8475136589</v>
      </c>
      <c r="R32" s="645">
        <v>8127334.0210495312</v>
      </c>
      <c r="U32" s="645">
        <v>8019128.1945854044</v>
      </c>
      <c r="W32" s="741">
        <f t="shared" ref="W32:W35" ca="1" si="9">U32*G32</f>
        <v>8019128.1945854044</v>
      </c>
      <c r="Y32" s="604"/>
    </row>
    <row r="33" spans="1:48">
      <c r="A33" s="739">
        <f t="shared" si="8"/>
        <v>1.2300000000000002</v>
      </c>
      <c r="B33" s="604"/>
      <c r="C33" s="663" t="s">
        <v>1137</v>
      </c>
      <c r="D33" s="634"/>
      <c r="E33" s="727" t="s">
        <v>250</v>
      </c>
      <c r="F33" s="17"/>
      <c r="G33" s="636">
        <f t="shared" ca="1" si="4"/>
        <v>1</v>
      </c>
      <c r="H33" s="753"/>
      <c r="I33" s="645">
        <v>10315146.000690024</v>
      </c>
      <c r="J33" s="604"/>
      <c r="L33" s="645">
        <v>10378703.458461845</v>
      </c>
      <c r="O33" s="645">
        <v>10442260.916233666</v>
      </c>
      <c r="R33" s="645">
        <v>10505818.374005487</v>
      </c>
      <c r="U33" s="645">
        <v>10569375.831777306</v>
      </c>
      <c r="W33" s="741">
        <f t="shared" ca="1" si="9"/>
        <v>10569375.831777306</v>
      </c>
      <c r="Y33" s="604"/>
    </row>
    <row r="34" spans="1:48">
      <c r="A34" s="739">
        <f t="shared" si="8"/>
        <v>1.2400000000000002</v>
      </c>
      <c r="B34" s="604"/>
      <c r="C34" s="663" t="s">
        <v>1162</v>
      </c>
      <c r="D34" s="634"/>
      <c r="E34" s="727" t="s">
        <v>250</v>
      </c>
      <c r="F34" s="17"/>
      <c r="G34" s="636">
        <f t="shared" ca="1" si="4"/>
        <v>1</v>
      </c>
      <c r="H34" s="753"/>
      <c r="I34" s="645">
        <v>0</v>
      </c>
      <c r="J34" s="604"/>
      <c r="L34" s="645">
        <v>3892294.6349999998</v>
      </c>
      <c r="O34" s="645">
        <v>7784589.2699999996</v>
      </c>
      <c r="R34" s="645">
        <v>11676883.904999999</v>
      </c>
      <c r="U34" s="645">
        <v>15569178.539999999</v>
      </c>
      <c r="W34" s="741">
        <f t="shared" ca="1" si="9"/>
        <v>15569178.539999999</v>
      </c>
      <c r="Y34" s="666"/>
      <c r="Z34" s="666"/>
      <c r="AA34" s="666"/>
      <c r="AB34" s="666"/>
      <c r="AC34" s="666"/>
      <c r="AD34" s="666"/>
      <c r="AE34" s="666"/>
      <c r="AF34" s="666"/>
      <c r="AG34" s="666"/>
      <c r="AH34" s="666"/>
      <c r="AI34" s="666"/>
      <c r="AJ34" s="666"/>
      <c r="AK34" s="666"/>
      <c r="AL34" s="666"/>
      <c r="AM34" s="666"/>
      <c r="AN34" s="666"/>
      <c r="AO34" s="666"/>
      <c r="AP34" s="666"/>
      <c r="AQ34" s="666"/>
      <c r="AR34" s="666"/>
      <c r="AS34" s="666"/>
      <c r="AT34" s="666"/>
      <c r="AU34" s="666"/>
      <c r="AV34" s="666"/>
    </row>
    <row r="35" spans="1:48">
      <c r="A35" s="739">
        <f t="shared" si="8"/>
        <v>1.2500000000000002</v>
      </c>
      <c r="B35" s="604"/>
      <c r="C35" s="663" t="s">
        <v>1138</v>
      </c>
      <c r="D35" s="634"/>
      <c r="E35" s="727" t="s">
        <v>250</v>
      </c>
      <c r="F35" s="17"/>
      <c r="G35" s="636">
        <f t="shared" ca="1" si="4"/>
        <v>1</v>
      </c>
      <c r="H35" s="753"/>
      <c r="I35" s="645">
        <v>-1877609.3541868643</v>
      </c>
      <c r="J35" s="604"/>
      <c r="L35" s="645">
        <v>-2477894.3557223966</v>
      </c>
      <c r="O35" s="645">
        <v>-3078179.3572579292</v>
      </c>
      <c r="R35" s="645">
        <v>-3678464.3587934617</v>
      </c>
      <c r="U35" s="645">
        <v>-4278749.3603289947</v>
      </c>
      <c r="W35" s="741">
        <f t="shared" ca="1" si="9"/>
        <v>-4278749.3603289947</v>
      </c>
      <c r="Y35" s="604"/>
    </row>
    <row r="36" spans="1:48">
      <c r="A36" s="605">
        <f>A9+1</f>
        <v>2</v>
      </c>
      <c r="B36" s="604"/>
      <c r="C36" s="604" t="str">
        <f ca="1">"Sum of Lines "&amp;A11&amp;" through "&amp;OFFSET(A36,-1,0)</f>
        <v>Sum of Lines 1.01 through 1.25</v>
      </c>
      <c r="E36" s="610"/>
      <c r="F36" s="610"/>
      <c r="G36" s="636"/>
      <c r="H36" s="605"/>
      <c r="I36" s="609">
        <f>SUM(I11:I35)</f>
        <v>229318505.11598289</v>
      </c>
      <c r="J36" s="604"/>
      <c r="L36" s="609">
        <f>SUM(L11:L35)</f>
        <v>231125131.40535748</v>
      </c>
      <c r="O36" s="609">
        <f>SUM(O11:O35)</f>
        <v>231796909.10818839</v>
      </c>
      <c r="R36" s="609">
        <f>SUM(R11:R35)</f>
        <v>232986823.02955833</v>
      </c>
      <c r="U36" s="609">
        <f>SUM(U11:U35)</f>
        <v>253741850.2988652</v>
      </c>
      <c r="W36" s="838">
        <f ca="1">SUM(W11:W35)</f>
        <v>71461615.708413392</v>
      </c>
      <c r="Y36" s="604"/>
    </row>
    <row r="37" spans="1:48">
      <c r="B37" s="604"/>
      <c r="E37" s="604"/>
      <c r="F37" s="604"/>
      <c r="G37" s="646"/>
      <c r="H37" s="604"/>
      <c r="I37" s="696"/>
      <c r="J37" s="604"/>
      <c r="L37" s="741"/>
      <c r="O37" s="741"/>
      <c r="R37" s="741"/>
      <c r="U37" s="696"/>
      <c r="W37" s="606"/>
      <c r="Y37" s="604"/>
    </row>
    <row r="38" spans="1:48">
      <c r="B38" s="604"/>
      <c r="E38" s="604"/>
      <c r="F38" s="604"/>
      <c r="G38" s="789"/>
      <c r="H38" s="604"/>
      <c r="I38" s="696"/>
      <c r="J38" s="604"/>
      <c r="L38" s="741"/>
      <c r="O38" s="741"/>
      <c r="R38" s="741"/>
      <c r="U38" s="696"/>
      <c r="W38" s="741"/>
      <c r="Y38" s="604"/>
    </row>
    <row r="39" spans="1:48">
      <c r="A39" s="605">
        <f>A36+1</f>
        <v>3</v>
      </c>
      <c r="B39" s="604"/>
      <c r="C39" s="758" t="s">
        <v>833</v>
      </c>
      <c r="D39" s="613"/>
      <c r="E39" s="613"/>
      <c r="F39" s="613"/>
      <c r="G39" s="613"/>
      <c r="H39" s="613"/>
      <c r="I39" s="613"/>
      <c r="J39" s="613"/>
      <c r="K39" s="613"/>
      <c r="L39" s="612"/>
      <c r="M39" s="613"/>
      <c r="N39" s="613"/>
      <c r="O39" s="612"/>
      <c r="P39" s="613"/>
      <c r="Q39" s="613"/>
      <c r="R39" s="612"/>
      <c r="S39" s="613"/>
      <c r="T39" s="613"/>
      <c r="U39" s="612"/>
      <c r="V39" s="613"/>
      <c r="W39" s="612"/>
      <c r="Y39" s="604"/>
    </row>
    <row r="40" spans="1:48">
      <c r="B40" s="604"/>
      <c r="C40" s="605"/>
      <c r="D40" s="605"/>
      <c r="E40" s="605"/>
      <c r="F40" s="605"/>
      <c r="G40" s="605"/>
      <c r="H40" s="605"/>
      <c r="I40" s="605"/>
      <c r="J40" s="605"/>
      <c r="K40" s="605"/>
      <c r="L40" s="605"/>
      <c r="M40" s="605"/>
      <c r="N40" s="605"/>
      <c r="O40" s="605"/>
      <c r="P40" s="605"/>
      <c r="Q40" s="605"/>
      <c r="R40" s="605"/>
      <c r="S40" s="605"/>
      <c r="T40" s="605"/>
      <c r="V40" s="605"/>
      <c r="Y40" s="610"/>
    </row>
    <row r="41" spans="1:48">
      <c r="A41" s="739">
        <f>A39+0.01</f>
        <v>3.01</v>
      </c>
      <c r="B41" s="604"/>
      <c r="C41" s="663" t="s">
        <v>1110</v>
      </c>
      <c r="D41" s="605"/>
      <c r="E41" s="727" t="s">
        <v>250</v>
      </c>
      <c r="F41" s="605"/>
      <c r="G41" s="636">
        <f t="shared" ref="G41:G43" ca="1" si="10">IFERROR(INDIRECT(E41),0)</f>
        <v>1</v>
      </c>
      <c r="H41" s="605"/>
      <c r="I41" s="645">
        <v>-12853645.338223802</v>
      </c>
      <c r="J41" s="604"/>
      <c r="L41" s="645">
        <v>-12468000.380670728</v>
      </c>
      <c r="O41" s="645">
        <v>-12082355.423117651</v>
      </c>
      <c r="R41" s="645">
        <v>-11696710.465564575</v>
      </c>
      <c r="U41" s="645">
        <v>-11311065.508011501</v>
      </c>
      <c r="W41" s="741">
        <f ca="1">U41*G41</f>
        <v>-11311065.508011501</v>
      </c>
      <c r="Y41" s="604"/>
    </row>
    <row r="42" spans="1:48">
      <c r="A42" s="739">
        <f t="shared" ref="A42:A43" si="11">A41+0.01</f>
        <v>3.0199999999999996</v>
      </c>
      <c r="B42" s="604"/>
      <c r="C42" s="663" t="s">
        <v>1138</v>
      </c>
      <c r="D42" s="605"/>
      <c r="E42" s="727" t="s">
        <v>250</v>
      </c>
      <c r="F42" s="605"/>
      <c r="G42" s="636">
        <f ca="1">IFERROR(INDIRECT(E42),0)</f>
        <v>1</v>
      </c>
      <c r="H42" s="605"/>
      <c r="I42" s="645">
        <f>I35</f>
        <v>-1877609.3541868643</v>
      </c>
      <c r="J42" s="604"/>
      <c r="L42" s="645">
        <f>L35</f>
        <v>-2477894.3557223966</v>
      </c>
      <c r="O42" s="645">
        <f>O35</f>
        <v>-3078179.3572579292</v>
      </c>
      <c r="R42" s="645">
        <f>R35</f>
        <v>-3678464.3587934617</v>
      </c>
      <c r="U42" s="645">
        <f>U35</f>
        <v>-4278749.3603289947</v>
      </c>
      <c r="W42" s="741">
        <f t="shared" ref="W42:W43" ca="1" si="12">U42*G42</f>
        <v>-4278749.3603289947</v>
      </c>
      <c r="Y42" s="604"/>
    </row>
    <row r="43" spans="1:48">
      <c r="A43" s="739">
        <f t="shared" si="11"/>
        <v>3.0299999999999994</v>
      </c>
      <c r="B43" s="604"/>
      <c r="C43" s="663" t="s">
        <v>1102</v>
      </c>
      <c r="D43" s="605"/>
      <c r="E43" s="727" t="s">
        <v>250</v>
      </c>
      <c r="F43" s="605"/>
      <c r="G43" s="636">
        <f t="shared" ca="1" si="10"/>
        <v>1</v>
      </c>
      <c r="H43" s="605"/>
      <c r="I43" s="645">
        <f>I22</f>
        <v>544507</v>
      </c>
      <c r="J43" s="604"/>
      <c r="L43" s="645">
        <f>L22</f>
        <v>531681.84</v>
      </c>
      <c r="O43" s="645">
        <f>O22</f>
        <v>518856.69</v>
      </c>
      <c r="R43" s="645">
        <f>R22</f>
        <v>506031.52</v>
      </c>
      <c r="U43" s="645">
        <f>U22</f>
        <v>493206</v>
      </c>
      <c r="W43" s="741">
        <f t="shared" ca="1" si="12"/>
        <v>493206</v>
      </c>
      <c r="Y43" s="604"/>
    </row>
    <row r="44" spans="1:48">
      <c r="A44" s="739">
        <f>A43+0.01</f>
        <v>3.0399999999999991</v>
      </c>
      <c r="B44" s="604"/>
      <c r="C44" s="663" t="s">
        <v>1137</v>
      </c>
      <c r="D44" s="634"/>
      <c r="E44" s="727" t="s">
        <v>250</v>
      </c>
      <c r="F44" s="17"/>
      <c r="G44" s="636">
        <f ca="1">IFERROR(INDIRECT(E44),0)</f>
        <v>1</v>
      </c>
      <c r="H44" s="753"/>
      <c r="I44" s="645">
        <f>I33</f>
        <v>10315146.000690024</v>
      </c>
      <c r="J44" s="604"/>
      <c r="L44" s="645">
        <f>L33</f>
        <v>10378703.458461845</v>
      </c>
      <c r="O44" s="645">
        <f>O33</f>
        <v>10442260.916233666</v>
      </c>
      <c r="R44" s="645">
        <f>R33</f>
        <v>10505818.374005487</v>
      </c>
      <c r="U44" s="645">
        <f>U33</f>
        <v>10569375.831777306</v>
      </c>
      <c r="W44" s="741">
        <f ca="1">U44*G44</f>
        <v>10569375.831777306</v>
      </c>
      <c r="Y44" s="604"/>
    </row>
    <row r="45" spans="1:48">
      <c r="A45" s="739">
        <f t="shared" ref="A45:A46" si="13">A44+0.01</f>
        <v>3.0499999999999989</v>
      </c>
      <c r="B45" s="604"/>
      <c r="C45" s="663" t="s">
        <v>1108</v>
      </c>
      <c r="D45" s="634"/>
      <c r="E45" s="727" t="s">
        <v>1071</v>
      </c>
      <c r="F45" s="17"/>
      <c r="G45" s="636">
        <f ca="1">IFERROR(INDIRECT(E45),0)</f>
        <v>8.452849912295303E-2</v>
      </c>
      <c r="H45" s="753"/>
      <c r="I45" s="645">
        <f>I29</f>
        <v>57651660</v>
      </c>
      <c r="J45" s="604"/>
      <c r="L45" s="645">
        <f>L29</f>
        <v>57681738.68</v>
      </c>
      <c r="O45" s="645">
        <f>O29</f>
        <v>57711803.170000002</v>
      </c>
      <c r="R45" s="645">
        <f>R29</f>
        <v>57777551.579999998</v>
      </c>
      <c r="U45" s="645">
        <f>U29</f>
        <v>-2279165</v>
      </c>
      <c r="W45" s="741">
        <f ca="1">U45*G45</f>
        <v>-192654.39670356523</v>
      </c>
      <c r="Y45" s="604"/>
    </row>
    <row r="46" spans="1:48">
      <c r="A46" s="739">
        <f t="shared" si="13"/>
        <v>3.0599999999999987</v>
      </c>
      <c r="B46" s="604"/>
      <c r="C46" s="663" t="s">
        <v>846</v>
      </c>
      <c r="D46" s="634"/>
      <c r="E46" s="604"/>
      <c r="F46" s="17"/>
      <c r="G46" s="757"/>
      <c r="H46" s="753"/>
      <c r="I46" s="741"/>
      <c r="J46" s="604"/>
      <c r="L46" s="741"/>
      <c r="O46" s="741"/>
      <c r="R46" s="741"/>
      <c r="U46" s="645">
        <f>'Attachment 5b - ADIT Norm ATRR'!L67</f>
        <v>-3245934.5964792408</v>
      </c>
      <c r="W46" s="741">
        <f>U46</f>
        <v>-3245934.5964792408</v>
      </c>
      <c r="Y46" s="610"/>
      <c r="AC46" s="610"/>
    </row>
    <row r="47" spans="1:48">
      <c r="A47" s="605">
        <f>A39+1</f>
        <v>4</v>
      </c>
      <c r="B47" s="604"/>
      <c r="C47" s="634" t="str">
        <f ca="1">"Sum of Lines "&amp;A41&amp;" through "&amp;OFFSET(A47,-1,0)</f>
        <v>Sum of Lines 3.01 through 3.06</v>
      </c>
      <c r="E47" s="610"/>
      <c r="F47" s="610"/>
      <c r="G47" s="636"/>
      <c r="H47" s="605"/>
      <c r="I47" s="838">
        <f t="shared" ref="I47:V47" si="14">SUM(I41:I46)</f>
        <v>53780058.308279358</v>
      </c>
      <c r="J47" s="609">
        <f t="shared" si="14"/>
        <v>0</v>
      </c>
      <c r="K47" s="609">
        <f t="shared" si="14"/>
        <v>0</v>
      </c>
      <c r="L47" s="838">
        <f t="shared" si="14"/>
        <v>53646229.242068723</v>
      </c>
      <c r="M47" s="838">
        <f t="shared" si="14"/>
        <v>0</v>
      </c>
      <c r="N47" s="838">
        <f t="shared" si="14"/>
        <v>0</v>
      </c>
      <c r="O47" s="838">
        <f t="shared" si="14"/>
        <v>53512385.995858088</v>
      </c>
      <c r="P47" s="838">
        <f t="shared" si="14"/>
        <v>0</v>
      </c>
      <c r="Q47" s="838">
        <f t="shared" si="14"/>
        <v>0</v>
      </c>
      <c r="R47" s="838">
        <f t="shared" si="14"/>
        <v>53414226.649647444</v>
      </c>
      <c r="S47" s="838">
        <f t="shared" si="14"/>
        <v>0</v>
      </c>
      <c r="T47" s="838">
        <f t="shared" si="14"/>
        <v>0</v>
      </c>
      <c r="U47" s="838">
        <f t="shared" si="14"/>
        <v>-10052332.633042431</v>
      </c>
      <c r="V47" s="609">
        <f t="shared" si="14"/>
        <v>0</v>
      </c>
      <c r="W47" s="838">
        <f ca="1">SUM(W41:W46)</f>
        <v>-7965822.029745996</v>
      </c>
      <c r="Y47" s="610"/>
    </row>
    <row r="48" spans="1:48">
      <c r="B48" s="604"/>
      <c r="E48" s="604"/>
      <c r="F48" s="604"/>
      <c r="G48" s="789"/>
      <c r="H48" s="604"/>
      <c r="I48" s="696"/>
      <c r="J48" s="604"/>
      <c r="L48" s="741"/>
      <c r="O48" s="741"/>
      <c r="R48" s="741"/>
      <c r="U48" s="696"/>
      <c r="W48" s="741"/>
      <c r="Y48" s="604"/>
    </row>
    <row r="49" spans="1:25">
      <c r="A49" s="615">
        <f>A47+1</f>
        <v>5</v>
      </c>
      <c r="B49" s="613"/>
      <c r="C49" s="614" t="s">
        <v>726</v>
      </c>
      <c r="I49" s="646"/>
      <c r="K49" s="606"/>
      <c r="M49" s="606"/>
      <c r="N49" s="606"/>
      <c r="P49" s="606"/>
      <c r="Q49" s="606"/>
      <c r="S49" s="606"/>
      <c r="T49" s="606"/>
    </row>
    <row r="50" spans="1:25">
      <c r="C50" s="605"/>
      <c r="I50" s="646"/>
      <c r="K50" s="606"/>
      <c r="M50" s="606"/>
      <c r="N50" s="606"/>
      <c r="P50" s="606"/>
      <c r="Q50" s="606"/>
      <c r="S50" s="606"/>
      <c r="T50" s="606"/>
    </row>
    <row r="51" spans="1:25">
      <c r="A51" s="739">
        <f>A49+0.01</f>
        <v>5.01</v>
      </c>
      <c r="B51" s="604"/>
      <c r="C51" s="663"/>
      <c r="D51" s="634"/>
      <c r="E51" s="727"/>
      <c r="F51" s="634"/>
      <c r="G51" s="636">
        <f ca="1">IFERROR(INDIRECT(E51),0)</f>
        <v>0</v>
      </c>
      <c r="H51" s="753"/>
      <c r="I51" s="645"/>
      <c r="J51" s="604"/>
      <c r="L51" s="645"/>
      <c r="O51" s="645"/>
      <c r="R51" s="645"/>
      <c r="U51" s="645"/>
      <c r="W51" s="741">
        <f ca="1">U51*G51</f>
        <v>0</v>
      </c>
      <c r="Y51" s="604"/>
    </row>
    <row r="52" spans="1:25">
      <c r="A52" s="605">
        <f>A49+1</f>
        <v>6</v>
      </c>
      <c r="B52" s="604"/>
      <c r="C52" s="634" t="str">
        <f ca="1">"Sum of Lines "&amp;A51&amp;" through "&amp;OFFSET(A52,-1,0)</f>
        <v>Sum of Lines 5.01 through 5.01</v>
      </c>
      <c r="E52" s="610"/>
      <c r="F52" s="610"/>
      <c r="G52" s="763"/>
      <c r="H52" s="610"/>
      <c r="I52" s="609">
        <f>SUM(I51:I51)</f>
        <v>0</v>
      </c>
      <c r="J52" s="604"/>
      <c r="L52" s="609">
        <f>SUM(L51:L51)</f>
        <v>0</v>
      </c>
      <c r="O52" s="609">
        <f>SUM(O51:O51)</f>
        <v>0</v>
      </c>
      <c r="R52" s="609">
        <f>SUM(R51:R51)</f>
        <v>0</v>
      </c>
      <c r="U52" s="838">
        <f>SUM(U51:U51)</f>
        <v>0</v>
      </c>
      <c r="W52" s="838">
        <f ca="1">SUM(W51:W51)</f>
        <v>0</v>
      </c>
      <c r="Y52" s="604"/>
    </row>
    <row r="53" spans="1:25">
      <c r="B53" s="604"/>
      <c r="E53" s="604"/>
      <c r="F53" s="604"/>
      <c r="G53" s="646"/>
      <c r="H53" s="604"/>
      <c r="I53" s="696"/>
      <c r="J53" s="604"/>
      <c r="K53" s="741"/>
      <c r="L53" s="741"/>
      <c r="M53" s="741"/>
      <c r="N53" s="741"/>
      <c r="O53" s="741"/>
      <c r="P53" s="741"/>
      <c r="Q53" s="741"/>
      <c r="R53" s="741"/>
      <c r="S53" s="741"/>
      <c r="T53" s="741"/>
      <c r="U53" s="696"/>
      <c r="W53" s="741"/>
      <c r="Y53" s="604"/>
    </row>
    <row r="54" spans="1:25">
      <c r="B54" s="604"/>
      <c r="E54" s="604"/>
      <c r="F54" s="604"/>
      <c r="G54" s="646"/>
      <c r="H54" s="604"/>
      <c r="I54" s="696"/>
      <c r="J54" s="604"/>
      <c r="K54" s="741"/>
      <c r="L54" s="741"/>
      <c r="M54" s="741"/>
      <c r="N54" s="741"/>
      <c r="O54" s="741"/>
      <c r="P54" s="741"/>
      <c r="Q54" s="741"/>
      <c r="R54" s="741"/>
      <c r="S54" s="741"/>
      <c r="T54" s="741"/>
      <c r="U54" s="696"/>
      <c r="W54" s="741"/>
      <c r="Y54" s="604"/>
    </row>
    <row r="55" spans="1:25">
      <c r="A55" s="605">
        <f>A52+1</f>
        <v>7</v>
      </c>
      <c r="B55" s="604"/>
      <c r="C55" s="758" t="s">
        <v>779</v>
      </c>
      <c r="I55" s="646"/>
      <c r="K55" s="606"/>
      <c r="M55" s="606"/>
      <c r="N55" s="606"/>
      <c r="P55" s="606"/>
      <c r="Q55" s="606"/>
      <c r="S55" s="606"/>
      <c r="T55" s="606"/>
      <c r="Y55" s="604"/>
    </row>
    <row r="56" spans="1:25">
      <c r="B56" s="604"/>
      <c r="C56" s="605"/>
      <c r="I56" s="646"/>
      <c r="K56" s="606"/>
      <c r="M56" s="606"/>
      <c r="N56" s="606"/>
      <c r="P56" s="606"/>
      <c r="Q56" s="606"/>
      <c r="S56" s="606"/>
      <c r="T56" s="606"/>
      <c r="Y56" s="604"/>
    </row>
    <row r="57" spans="1:25">
      <c r="A57" s="739">
        <f>A55+0.01</f>
        <v>7.01</v>
      </c>
      <c r="B57" s="604"/>
      <c r="C57" s="663"/>
      <c r="D57" s="634"/>
      <c r="E57" s="727"/>
      <c r="F57" s="634"/>
      <c r="G57" s="636">
        <f ca="1">IFERROR(INDIRECT(E57),0)</f>
        <v>0</v>
      </c>
      <c r="H57" s="753"/>
      <c r="I57" s="645"/>
      <c r="J57" s="604"/>
      <c r="L57" s="645"/>
      <c r="O57" s="645"/>
      <c r="R57" s="645"/>
      <c r="U57" s="645"/>
      <c r="W57" s="741">
        <f ca="1">U57*G57</f>
        <v>0</v>
      </c>
      <c r="Y57" s="604"/>
    </row>
    <row r="58" spans="1:25">
      <c r="A58" s="605">
        <f>A55+1</f>
        <v>8</v>
      </c>
      <c r="C58" s="634" t="str">
        <f ca="1">"Sum of Lines "&amp;A57&amp;" through "&amp;OFFSET(A58,-1,0)</f>
        <v>Sum of Lines 7.01 through 7.01</v>
      </c>
      <c r="E58" s="610"/>
      <c r="F58" s="610"/>
      <c r="G58" s="763"/>
      <c r="H58" s="610"/>
      <c r="I58" s="609">
        <f>SUM(I57:I57)</f>
        <v>0</v>
      </c>
      <c r="J58" s="604"/>
      <c r="L58" s="609">
        <f>SUM(L57:L57)</f>
        <v>0</v>
      </c>
      <c r="O58" s="609">
        <f>SUM(O57:O57)</f>
        <v>0</v>
      </c>
      <c r="R58" s="609">
        <f>SUM(R57:R57)</f>
        <v>0</v>
      </c>
      <c r="U58" s="609">
        <f>SUM(U57:U57)</f>
        <v>0</v>
      </c>
      <c r="W58" s="838">
        <f ca="1">SUM(W57:W57)</f>
        <v>0</v>
      </c>
    </row>
    <row r="59" spans="1:25">
      <c r="E59" s="610"/>
      <c r="F59" s="610"/>
      <c r="G59" s="763"/>
      <c r="H59" s="610"/>
      <c r="I59" s="647"/>
      <c r="J59" s="604"/>
      <c r="L59" s="647"/>
      <c r="O59" s="647"/>
      <c r="R59" s="647"/>
      <c r="U59" s="647"/>
      <c r="W59" s="647"/>
    </row>
    <row r="60" spans="1:25">
      <c r="A60" s="615">
        <f>A58+1</f>
        <v>9</v>
      </c>
      <c r="B60" s="613"/>
      <c r="C60" s="758" t="s">
        <v>834</v>
      </c>
      <c r="I60" s="646"/>
    </row>
    <row r="61" spans="1:25">
      <c r="C61" s="605"/>
      <c r="I61" s="646"/>
    </row>
    <row r="62" spans="1:25">
      <c r="A62" s="739">
        <f>A60+0.01</f>
        <v>9.01</v>
      </c>
      <c r="B62" s="604"/>
      <c r="C62" s="663" t="s">
        <v>1139</v>
      </c>
      <c r="D62" s="634"/>
      <c r="E62" s="727" t="s">
        <v>250</v>
      </c>
      <c r="F62" s="634"/>
      <c r="G62" s="636">
        <f t="shared" ref="G62:G73" ca="1" si="15">IFERROR(INDIRECT(E62),0)</f>
        <v>1</v>
      </c>
      <c r="H62" s="753"/>
      <c r="I62" s="645">
        <v>79384881.010616735</v>
      </c>
      <c r="J62" s="604"/>
      <c r="L62" s="645">
        <v>80057907.868061528</v>
      </c>
      <c r="O62" s="645">
        <v>80730934.725506321</v>
      </c>
      <c r="R62" s="645">
        <v>81403961.582951114</v>
      </c>
      <c r="U62" s="645">
        <v>82076988.440395892</v>
      </c>
      <c r="W62" s="741">
        <f t="shared" ref="W62:W73" ca="1" si="16">U62*G62</f>
        <v>82076988.440395892</v>
      </c>
      <c r="Y62" s="971"/>
    </row>
    <row r="63" spans="1:25">
      <c r="A63" s="739">
        <f t="shared" ref="A63:A73" si="17">A62+0.01</f>
        <v>9.02</v>
      </c>
      <c r="B63" s="604"/>
      <c r="C63" s="663" t="s">
        <v>1140</v>
      </c>
      <c r="D63" s="634"/>
      <c r="E63" s="727" t="s">
        <v>250</v>
      </c>
      <c r="F63" s="634"/>
      <c r="G63" s="636">
        <f t="shared" ca="1" si="15"/>
        <v>1</v>
      </c>
      <c r="H63" s="753"/>
      <c r="I63" s="645">
        <v>271585169.39731348</v>
      </c>
      <c r="J63" s="604"/>
      <c r="L63" s="645">
        <v>278083298.58966458</v>
      </c>
      <c r="O63" s="645">
        <v>284581427.78201568</v>
      </c>
      <c r="R63" s="645">
        <v>291079556.97436678</v>
      </c>
      <c r="U63" s="645">
        <v>297577686.16671795</v>
      </c>
      <c r="W63" s="741">
        <f t="shared" ca="1" si="16"/>
        <v>297577686.16671795</v>
      </c>
      <c r="Y63" s="971"/>
    </row>
    <row r="64" spans="1:25">
      <c r="A64" s="739">
        <f t="shared" si="17"/>
        <v>9.0299999999999994</v>
      </c>
      <c r="B64" s="604"/>
      <c r="C64" s="663" t="s">
        <v>1141</v>
      </c>
      <c r="D64" s="634"/>
      <c r="E64" s="727" t="s">
        <v>250</v>
      </c>
      <c r="F64" s="634"/>
      <c r="G64" s="636">
        <f t="shared" ca="1" si="15"/>
        <v>1</v>
      </c>
      <c r="H64" s="753"/>
      <c r="I64" s="645">
        <v>7265589.8941822853</v>
      </c>
      <c r="J64" s="604"/>
      <c r="L64" s="645">
        <v>7360932.4642665908</v>
      </c>
      <c r="O64" s="645">
        <v>7456275.0343508963</v>
      </c>
      <c r="R64" s="645">
        <v>7551617.6044352017</v>
      </c>
      <c r="U64" s="645">
        <v>7646960.1745195072</v>
      </c>
      <c r="W64" s="741">
        <f t="shared" ca="1" si="16"/>
        <v>7646960.1745195072</v>
      </c>
      <c r="Y64" s="971"/>
    </row>
    <row r="65" spans="1:46">
      <c r="A65" s="739">
        <f t="shared" si="17"/>
        <v>9.0399999999999991</v>
      </c>
      <c r="B65" s="604"/>
      <c r="C65" s="663" t="s">
        <v>1142</v>
      </c>
      <c r="D65" s="634"/>
      <c r="E65" s="727" t="s">
        <v>250</v>
      </c>
      <c r="F65" s="634"/>
      <c r="G65" s="636">
        <f t="shared" ca="1" si="15"/>
        <v>1</v>
      </c>
      <c r="H65" s="753"/>
      <c r="I65" s="645">
        <v>3584326.3662729985</v>
      </c>
      <c r="J65" s="604"/>
      <c r="L65" s="645">
        <v>3675044.3306191918</v>
      </c>
      <c r="O65" s="645">
        <v>3765762.294965385</v>
      </c>
      <c r="R65" s="645">
        <v>3856480.2593115782</v>
      </c>
      <c r="U65" s="645">
        <v>3947198.2236577715</v>
      </c>
      <c r="W65" s="741">
        <f t="shared" ca="1" si="16"/>
        <v>3947198.2236577715</v>
      </c>
      <c r="Y65" s="971"/>
    </row>
    <row r="66" spans="1:46">
      <c r="A66" s="739">
        <f t="shared" si="17"/>
        <v>9.0499999999999989</v>
      </c>
      <c r="B66" s="604"/>
      <c r="C66" s="663" t="s">
        <v>1143</v>
      </c>
      <c r="D66" s="634"/>
      <c r="E66" s="727" t="s">
        <v>250</v>
      </c>
      <c r="F66" s="634"/>
      <c r="G66" s="636">
        <f t="shared" ca="1" si="15"/>
        <v>1</v>
      </c>
      <c r="H66" s="753"/>
      <c r="I66" s="645">
        <v>2719254.3002263349</v>
      </c>
      <c r="J66" s="604"/>
      <c r="L66" s="645">
        <v>2721118.5701697529</v>
      </c>
      <c r="O66" s="645">
        <v>2722982.8401131709</v>
      </c>
      <c r="R66" s="645">
        <v>2724847.1100565889</v>
      </c>
      <c r="U66" s="645">
        <v>2726711.3800000064</v>
      </c>
      <c r="W66" s="741">
        <f t="shared" ca="1" si="16"/>
        <v>2726711.3800000064</v>
      </c>
      <c r="Y66" s="971"/>
    </row>
    <row r="67" spans="1:46">
      <c r="A67" s="739">
        <f t="shared" si="17"/>
        <v>9.0599999999999987</v>
      </c>
      <c r="B67" s="604"/>
      <c r="C67" s="663" t="s">
        <v>1144</v>
      </c>
      <c r="D67" s="634"/>
      <c r="E67" s="727" t="s">
        <v>250</v>
      </c>
      <c r="F67" s="634"/>
      <c r="G67" s="636">
        <f t="shared" ca="1" si="15"/>
        <v>1</v>
      </c>
      <c r="H67" s="753"/>
      <c r="I67" s="645">
        <v>5534974.1752728652</v>
      </c>
      <c r="J67" s="604"/>
      <c r="L67" s="645">
        <v>4775686.0864546495</v>
      </c>
      <c r="O67" s="645">
        <v>4016397.9976364332</v>
      </c>
      <c r="R67" s="645">
        <v>3257109.908818217</v>
      </c>
      <c r="U67" s="645">
        <v>2497821.8200000008</v>
      </c>
      <c r="W67" s="741">
        <f t="shared" ca="1" si="16"/>
        <v>2497821.8200000008</v>
      </c>
      <c r="Y67" s="971"/>
    </row>
    <row r="68" spans="1:46">
      <c r="A68" s="739">
        <f t="shared" si="17"/>
        <v>9.0699999999999985</v>
      </c>
      <c r="B68" s="604"/>
      <c r="C68" s="663" t="s">
        <v>1145</v>
      </c>
      <c r="D68" s="634"/>
      <c r="E68" s="727" t="s">
        <v>250</v>
      </c>
      <c r="F68" s="634"/>
      <c r="G68" s="636">
        <f t="shared" ca="1" si="15"/>
        <v>1</v>
      </c>
      <c r="H68" s="753"/>
      <c r="I68" s="645">
        <v>273571.62525646214</v>
      </c>
      <c r="J68" s="604"/>
      <c r="L68" s="645">
        <v>250608.43482797156</v>
      </c>
      <c r="O68" s="645">
        <v>227645.24439948099</v>
      </c>
      <c r="R68" s="645">
        <v>204682.05397099041</v>
      </c>
      <c r="U68" s="645">
        <v>181718.86354249986</v>
      </c>
      <c r="W68" s="741">
        <f t="shared" ca="1" si="16"/>
        <v>181718.86354249986</v>
      </c>
      <c r="Y68" s="971"/>
    </row>
    <row r="69" spans="1:46">
      <c r="A69" s="739">
        <f t="shared" si="17"/>
        <v>9.0799999999999983</v>
      </c>
      <c r="B69" s="604"/>
      <c r="C69" s="663" t="s">
        <v>1146</v>
      </c>
      <c r="D69" s="634"/>
      <c r="E69" s="727" t="s">
        <v>250</v>
      </c>
      <c r="F69" s="634"/>
      <c r="G69" s="636">
        <f t="shared" ca="1" si="15"/>
        <v>1</v>
      </c>
      <c r="H69" s="753"/>
      <c r="I69" s="645">
        <v>825803.24047637091</v>
      </c>
      <c r="J69" s="604"/>
      <c r="L69" s="645">
        <v>1040440.7508533031</v>
      </c>
      <c r="O69" s="645">
        <v>1255078.2612302355</v>
      </c>
      <c r="R69" s="645">
        <v>1469715.7716071678</v>
      </c>
      <c r="U69" s="645">
        <v>1684353.2819840999</v>
      </c>
      <c r="W69" s="741">
        <f t="shared" ca="1" si="16"/>
        <v>1684353.2819840999</v>
      </c>
      <c r="Y69" s="971"/>
    </row>
    <row r="70" spans="1:46">
      <c r="A70" s="739">
        <f t="shared" si="17"/>
        <v>9.0899999999999981</v>
      </c>
      <c r="B70" s="604"/>
      <c r="C70" s="663" t="s">
        <v>1147</v>
      </c>
      <c r="D70" s="634"/>
      <c r="E70" s="727" t="s">
        <v>250</v>
      </c>
      <c r="F70" s="634"/>
      <c r="G70" s="636">
        <f t="shared" ca="1" si="15"/>
        <v>1</v>
      </c>
      <c r="H70" s="753"/>
      <c r="I70" s="645">
        <v>13776618.783655059</v>
      </c>
      <c r="J70" s="604"/>
      <c r="L70" s="645">
        <v>13886202.612047706</v>
      </c>
      <c r="O70" s="645">
        <v>13995786.440440353</v>
      </c>
      <c r="R70" s="645">
        <v>14105370.268833</v>
      </c>
      <c r="U70" s="645">
        <v>14214954.097225644</v>
      </c>
      <c r="W70" s="741">
        <f ca="1">U70*G70</f>
        <v>14214954.097225644</v>
      </c>
      <c r="Y70" s="971"/>
    </row>
    <row r="71" spans="1:46">
      <c r="A71" s="739">
        <f t="shared" si="17"/>
        <v>9.0999999999999979</v>
      </c>
      <c r="B71" s="604"/>
      <c r="C71" s="663" t="s">
        <v>1148</v>
      </c>
      <c r="D71" s="634"/>
      <c r="E71" s="727" t="s">
        <v>250</v>
      </c>
      <c r="F71" s="634"/>
      <c r="G71" s="636">
        <f t="shared" ca="1" si="15"/>
        <v>1</v>
      </c>
      <c r="H71" s="753"/>
      <c r="I71" s="645">
        <v>36863589.554724045</v>
      </c>
      <c r="J71" s="604"/>
      <c r="L71" s="645">
        <v>38868256.943375133</v>
      </c>
      <c r="O71" s="645">
        <v>40872924.332026221</v>
      </c>
      <c r="R71" s="645">
        <v>42877591.720677309</v>
      </c>
      <c r="U71" s="645">
        <v>44882259.109328397</v>
      </c>
      <c r="W71" s="741">
        <f t="shared" ca="1" si="16"/>
        <v>44882259.109328397</v>
      </c>
      <c r="Y71" s="971"/>
    </row>
    <row r="72" spans="1:46">
      <c r="A72" s="739">
        <f t="shared" si="17"/>
        <v>9.1099999999999977</v>
      </c>
      <c r="B72" s="604"/>
      <c r="C72" s="663" t="s">
        <v>1165</v>
      </c>
      <c r="D72" s="634"/>
      <c r="E72" s="727" t="s">
        <v>250</v>
      </c>
      <c r="F72" s="634"/>
      <c r="G72" s="636">
        <f t="shared" ca="1" si="15"/>
        <v>1</v>
      </c>
      <c r="H72" s="753"/>
      <c r="I72" s="645">
        <v>0</v>
      </c>
      <c r="J72" s="604"/>
      <c r="L72" s="645">
        <v>-5792680.5350000001</v>
      </c>
      <c r="O72" s="645">
        <v>-11585361.07</v>
      </c>
      <c r="R72" s="645">
        <v>-17378041.605</v>
      </c>
      <c r="U72" s="645">
        <v>-23170722.140000001</v>
      </c>
      <c r="W72" s="741">
        <f ca="1">U72*G72</f>
        <v>-23170722.140000001</v>
      </c>
      <c r="Y72" s="972"/>
      <c r="Z72" s="666"/>
      <c r="AA72" s="666"/>
      <c r="AB72" s="666"/>
      <c r="AC72" s="666"/>
      <c r="AD72" s="666"/>
      <c r="AE72" s="666"/>
      <c r="AF72" s="666"/>
      <c r="AG72" s="666"/>
      <c r="AH72" s="666"/>
      <c r="AI72" s="666"/>
      <c r="AJ72" s="666"/>
      <c r="AK72" s="666"/>
      <c r="AL72" s="666"/>
      <c r="AM72" s="666"/>
      <c r="AN72" s="666"/>
      <c r="AO72" s="666"/>
      <c r="AP72" s="666"/>
      <c r="AQ72" s="666"/>
      <c r="AR72" s="666"/>
      <c r="AS72" s="666"/>
      <c r="AT72" s="666"/>
    </row>
    <row r="73" spans="1:46">
      <c r="A73" s="739">
        <f t="shared" si="17"/>
        <v>9.1199999999999974</v>
      </c>
      <c r="B73" s="604"/>
      <c r="C73" s="663" t="s">
        <v>1138</v>
      </c>
      <c r="D73" s="634"/>
      <c r="E73" s="727" t="s">
        <v>250</v>
      </c>
      <c r="F73" s="634"/>
      <c r="G73" s="636">
        <f t="shared" ca="1" si="15"/>
        <v>1</v>
      </c>
      <c r="H73" s="753"/>
      <c r="I73" s="645">
        <v>-114494451.15397584</v>
      </c>
      <c r="J73" s="604"/>
      <c r="L73" s="645">
        <v>-115198965.61471869</v>
      </c>
      <c r="O73" s="645">
        <v>-115903480.07546154</v>
      </c>
      <c r="R73" s="645">
        <v>-116607994.53620438</v>
      </c>
      <c r="U73" s="645">
        <v>-117312508.99694723</v>
      </c>
      <c r="W73" s="741">
        <f t="shared" ca="1" si="16"/>
        <v>-117312508.99694723</v>
      </c>
      <c r="Y73" s="971"/>
    </row>
    <row r="74" spans="1:46">
      <c r="A74" s="605">
        <f>A60+1</f>
        <v>10</v>
      </c>
      <c r="B74" s="604"/>
      <c r="C74" s="634" t="str">
        <f ca="1">"Sum of Lines "&amp;A62&amp;" through "&amp;OFFSET(A74,-1,0)</f>
        <v>Sum of Lines 9.01 through 9.12</v>
      </c>
      <c r="E74" s="610"/>
      <c r="F74" s="610"/>
      <c r="G74" s="763"/>
      <c r="H74" s="610"/>
      <c r="I74" s="609">
        <f>SUM(I62:I73)</f>
        <v>307319327.19402075</v>
      </c>
      <c r="J74" s="604"/>
      <c r="L74" s="609">
        <f>SUM(L62:L73)</f>
        <v>309727850.50062174</v>
      </c>
      <c r="O74" s="609">
        <f>SUM(O62:O73)</f>
        <v>312136373.8072226</v>
      </c>
      <c r="R74" s="609">
        <f>SUM(R62:R73)</f>
        <v>314544897.11382353</v>
      </c>
      <c r="U74" s="609">
        <f>SUM(U62:U73)</f>
        <v>316953420.42042452</v>
      </c>
      <c r="W74" s="838">
        <f ca="1">SUM(W62:W73)</f>
        <v>316953420.42042452</v>
      </c>
      <c r="X74" s="604">
        <f>SUM(X62:X73)</f>
        <v>0</v>
      </c>
      <c r="Y74" s="604"/>
    </row>
    <row r="75" spans="1:46">
      <c r="B75" s="604"/>
      <c r="E75" s="604"/>
      <c r="F75" s="604"/>
      <c r="G75" s="646"/>
      <c r="H75" s="604"/>
      <c r="I75" s="696"/>
      <c r="J75" s="604"/>
      <c r="T75" s="625"/>
      <c r="U75" s="696"/>
      <c r="W75" s="606"/>
      <c r="Y75" s="604"/>
    </row>
    <row r="76" spans="1:46">
      <c r="B76" s="604"/>
      <c r="E76" s="604"/>
      <c r="F76" s="604"/>
      <c r="G76" s="789"/>
      <c r="H76" s="604"/>
      <c r="I76" s="696"/>
      <c r="J76" s="604"/>
      <c r="L76" s="741"/>
      <c r="O76" s="741"/>
      <c r="R76" s="741"/>
      <c r="T76" s="695"/>
      <c r="U76" s="696"/>
      <c r="W76" s="741"/>
      <c r="Y76" s="604"/>
    </row>
    <row r="77" spans="1:46">
      <c r="A77" s="605">
        <f>A74+1</f>
        <v>11</v>
      </c>
      <c r="B77" s="604"/>
      <c r="C77" s="758" t="s">
        <v>780</v>
      </c>
      <c r="D77" s="613"/>
      <c r="E77" s="613"/>
      <c r="F77" s="613"/>
      <c r="G77" s="613"/>
      <c r="H77" s="613"/>
      <c r="I77" s="613"/>
      <c r="J77" s="613"/>
      <c r="K77" s="613"/>
      <c r="L77" s="612"/>
      <c r="M77" s="613"/>
      <c r="N77" s="613"/>
      <c r="O77" s="612"/>
      <c r="P77" s="613"/>
      <c r="Q77" s="613"/>
      <c r="R77" s="612"/>
      <c r="S77" s="613"/>
      <c r="T77" s="613"/>
      <c r="U77" s="612"/>
      <c r="V77" s="613"/>
      <c r="W77" s="612"/>
      <c r="Y77" s="610"/>
    </row>
    <row r="78" spans="1:46">
      <c r="B78" s="604"/>
      <c r="C78" s="605"/>
      <c r="D78" s="605"/>
      <c r="E78" s="605"/>
      <c r="F78" s="605"/>
      <c r="G78" s="605"/>
      <c r="H78" s="605"/>
      <c r="I78" s="605"/>
      <c r="J78" s="605"/>
      <c r="K78" s="605"/>
      <c r="L78" s="605"/>
      <c r="M78" s="605"/>
      <c r="N78" s="605"/>
      <c r="O78" s="605"/>
      <c r="P78" s="605"/>
      <c r="Q78" s="605"/>
      <c r="R78" s="605"/>
      <c r="S78" s="605"/>
      <c r="T78" s="605"/>
      <c r="V78" s="605"/>
      <c r="Y78" s="610"/>
    </row>
    <row r="79" spans="1:46">
      <c r="A79" s="739">
        <f>A77+0.01</f>
        <v>11.01</v>
      </c>
      <c r="B79" s="604"/>
      <c r="C79" s="663" t="s">
        <v>1110</v>
      </c>
      <c r="D79" s="605"/>
      <c r="E79" s="727" t="s">
        <v>250</v>
      </c>
      <c r="F79" s="605"/>
      <c r="G79" s="757">
        <f t="shared" ref="G79" ca="1" si="18">IFERROR(INDIRECT(E79),0)</f>
        <v>1</v>
      </c>
      <c r="H79" s="605"/>
      <c r="I79" s="645">
        <v>-242.41087439999683</v>
      </c>
      <c r="J79" s="604"/>
      <c r="L79" s="645">
        <v>-232.31042129999696</v>
      </c>
      <c r="O79" s="645">
        <v>-222.20996819999709</v>
      </c>
      <c r="R79" s="645">
        <v>-212.1095151000045</v>
      </c>
      <c r="U79" s="645">
        <v>-202.00906199999736</v>
      </c>
      <c r="W79" s="741">
        <f ca="1">U79*G79</f>
        <v>-202.00906199999736</v>
      </c>
      <c r="Y79" s="604"/>
    </row>
    <row r="80" spans="1:46">
      <c r="A80" s="739">
        <f t="shared" ref="A80:A83" si="19">A79+0.01</f>
        <v>11.02</v>
      </c>
      <c r="B80" s="604"/>
      <c r="C80" s="663" t="s">
        <v>1138</v>
      </c>
      <c r="D80" s="605"/>
      <c r="E80" s="727" t="s">
        <v>250</v>
      </c>
      <c r="F80" s="605"/>
      <c r="G80" s="757">
        <f ca="1">IFERROR(INDIRECT(E80),0)</f>
        <v>1</v>
      </c>
      <c r="H80" s="605"/>
      <c r="I80" s="645">
        <f>I73</f>
        <v>-114494451.15397584</v>
      </c>
      <c r="J80" s="604"/>
      <c r="L80" s="645">
        <f>L73</f>
        <v>-115198965.61471869</v>
      </c>
      <c r="O80" s="645">
        <f>O73</f>
        <v>-115903480.07546154</v>
      </c>
      <c r="R80" s="645">
        <f>R73</f>
        <v>-116607994.53620438</v>
      </c>
      <c r="U80" s="645">
        <f>U73</f>
        <v>-117312508.99694723</v>
      </c>
      <c r="W80" s="741">
        <f ca="1">U80*G80</f>
        <v>-117312508.99694723</v>
      </c>
      <c r="Y80" s="604"/>
    </row>
    <row r="81" spans="1:29">
      <c r="A81" s="739">
        <f t="shared" si="19"/>
        <v>11.03</v>
      </c>
      <c r="B81" s="604"/>
      <c r="C81" s="663" t="s">
        <v>1142</v>
      </c>
      <c r="D81" s="605"/>
      <c r="E81" s="727" t="s">
        <v>250</v>
      </c>
      <c r="F81" s="605"/>
      <c r="G81" s="636">
        <f t="shared" ref="G81:G82" ca="1" si="20">IFERROR(INDIRECT(E81),0)</f>
        <v>1</v>
      </c>
      <c r="H81" s="605"/>
      <c r="I81" s="645">
        <f>I65</f>
        <v>3584326.3662729985</v>
      </c>
      <c r="J81" s="604"/>
      <c r="L81" s="645">
        <f>L65</f>
        <v>3675044.3306191918</v>
      </c>
      <c r="O81" s="645">
        <f>O65</f>
        <v>3765762.294965385</v>
      </c>
      <c r="R81" s="645">
        <f>R65</f>
        <v>3856480.2593115782</v>
      </c>
      <c r="U81" s="645">
        <f>U65</f>
        <v>3947198.2236577715</v>
      </c>
      <c r="W81" s="741">
        <f t="shared" ref="W81:W82" ca="1" si="21">U81*G81</f>
        <v>3947198.2236577715</v>
      </c>
      <c r="Y81" s="604"/>
    </row>
    <row r="82" spans="1:29">
      <c r="A82" s="739">
        <f t="shared" si="19"/>
        <v>11.04</v>
      </c>
      <c r="B82" s="604"/>
      <c r="C82" s="663" t="s">
        <v>1153</v>
      </c>
      <c r="D82" s="605"/>
      <c r="E82" s="727" t="s">
        <v>250</v>
      </c>
      <c r="F82" s="605"/>
      <c r="G82" s="636">
        <f t="shared" ca="1" si="20"/>
        <v>1</v>
      </c>
      <c r="H82" s="605"/>
      <c r="I82" s="645">
        <f>I68</f>
        <v>273571.62525646214</v>
      </c>
      <c r="J82" s="604"/>
      <c r="L82" s="645">
        <f>L68</f>
        <v>250608.43482797156</v>
      </c>
      <c r="O82" s="645">
        <f>O68</f>
        <v>227645.24439948099</v>
      </c>
      <c r="R82" s="645">
        <f>R68</f>
        <v>204682.05397099041</v>
      </c>
      <c r="U82" s="645">
        <f>U68</f>
        <v>181718.86354249986</v>
      </c>
      <c r="W82" s="741">
        <f t="shared" ca="1" si="21"/>
        <v>181718.86354249986</v>
      </c>
      <c r="Y82" s="604"/>
    </row>
    <row r="83" spans="1:29">
      <c r="A83" s="739">
        <f t="shared" si="19"/>
        <v>11.049999999999999</v>
      </c>
      <c r="B83" s="604"/>
      <c r="C83" s="663" t="s">
        <v>846</v>
      </c>
      <c r="D83" s="634"/>
      <c r="E83" s="613"/>
      <c r="F83" s="17"/>
      <c r="G83" s="757"/>
      <c r="H83" s="753"/>
      <c r="I83" s="741"/>
      <c r="J83" s="604"/>
      <c r="L83" s="741"/>
      <c r="O83" s="741"/>
      <c r="R83" s="741"/>
      <c r="U83" s="645">
        <f>'Attachment 5b - ADIT Norm ATRR'!L69</f>
        <v>13812687.942009911</v>
      </c>
      <c r="W83" s="741">
        <f>U83</f>
        <v>13812687.942009911</v>
      </c>
      <c r="Y83" s="610"/>
    </row>
    <row r="84" spans="1:29">
      <c r="A84" s="605">
        <f>A77+1</f>
        <v>12</v>
      </c>
      <c r="B84" s="604"/>
      <c r="C84" s="634" t="str">
        <f ca="1">"Sum of Lines "&amp;A79&amp;" through "&amp;OFFSET(A84,-1,0)</f>
        <v>Sum of Lines 11.01 through 11.05</v>
      </c>
      <c r="E84" s="610"/>
      <c r="F84" s="610"/>
      <c r="G84" s="636"/>
      <c r="H84" s="605"/>
      <c r="I84" s="838">
        <f t="shared" ref="I84:W84" si="22">SUM(I79:I83)</f>
        <v>-110636795.57332078</v>
      </c>
      <c r="J84" s="838">
        <f t="shared" si="22"/>
        <v>0</v>
      </c>
      <c r="K84" s="838">
        <f t="shared" si="22"/>
        <v>0</v>
      </c>
      <c r="L84" s="838">
        <f t="shared" si="22"/>
        <v>-111273545.15969284</v>
      </c>
      <c r="M84" s="838">
        <f t="shared" si="22"/>
        <v>0</v>
      </c>
      <c r="N84" s="838">
        <f t="shared" si="22"/>
        <v>0</v>
      </c>
      <c r="O84" s="838">
        <f t="shared" si="22"/>
        <v>-111910294.74606486</v>
      </c>
      <c r="P84" s="838">
        <f t="shared" si="22"/>
        <v>0</v>
      </c>
      <c r="Q84" s="838">
        <f t="shared" si="22"/>
        <v>0</v>
      </c>
      <c r="R84" s="838">
        <f t="shared" si="22"/>
        <v>-112547044.33243692</v>
      </c>
      <c r="S84" s="838">
        <f t="shared" si="22"/>
        <v>0</v>
      </c>
      <c r="T84" s="838">
        <f t="shared" si="22"/>
        <v>0</v>
      </c>
      <c r="U84" s="838">
        <f t="shared" si="22"/>
        <v>-99371105.976799056</v>
      </c>
      <c r="V84" s="609">
        <f t="shared" si="22"/>
        <v>0</v>
      </c>
      <c r="W84" s="838">
        <f t="shared" ca="1" si="22"/>
        <v>-99371105.976799056</v>
      </c>
      <c r="Y84" s="610"/>
      <c r="AC84" s="610"/>
    </row>
    <row r="85" spans="1:29">
      <c r="I85" s="646"/>
    </row>
    <row r="86" spans="1:29">
      <c r="A86" s="615">
        <f>A84+1</f>
        <v>13</v>
      </c>
      <c r="B86" s="613"/>
      <c r="C86" s="758" t="s">
        <v>835</v>
      </c>
      <c r="D86" s="613"/>
      <c r="E86" s="613"/>
      <c r="F86" s="613"/>
      <c r="G86" s="613"/>
      <c r="H86" s="613"/>
      <c r="I86" s="764"/>
      <c r="J86" s="613"/>
      <c r="K86" s="606"/>
      <c r="M86" s="606"/>
      <c r="N86" s="606"/>
      <c r="P86" s="606"/>
      <c r="Q86" s="606"/>
      <c r="S86" s="606"/>
      <c r="T86" s="606"/>
      <c r="U86" s="612"/>
      <c r="V86" s="611"/>
      <c r="W86" s="612"/>
      <c r="X86" s="611"/>
      <c r="Y86" s="973"/>
      <c r="Z86" s="612"/>
    </row>
    <row r="87" spans="1:29">
      <c r="C87" s="605"/>
      <c r="D87" s="605"/>
      <c r="E87" s="605"/>
      <c r="F87" s="605"/>
      <c r="G87" s="605"/>
      <c r="H87" s="605"/>
      <c r="I87" s="636"/>
      <c r="J87" s="605"/>
      <c r="K87" s="606"/>
      <c r="M87" s="606"/>
      <c r="N87" s="606"/>
      <c r="P87" s="606"/>
      <c r="Q87" s="606"/>
      <c r="S87" s="606"/>
      <c r="T87" s="606"/>
      <c r="V87" s="605"/>
      <c r="X87" s="605"/>
      <c r="Z87" s="605"/>
    </row>
    <row r="88" spans="1:29">
      <c r="A88" s="739">
        <f>A86+0.01</f>
        <v>13.01</v>
      </c>
      <c r="B88" s="604"/>
      <c r="C88" s="663" t="s">
        <v>1113</v>
      </c>
      <c r="D88" s="634"/>
      <c r="E88" s="727" t="s">
        <v>762</v>
      </c>
      <c r="F88" s="634"/>
      <c r="G88" s="636">
        <f ca="1">IFERROR(INDIRECT(E88),0)</f>
        <v>0.24533140330459982</v>
      </c>
      <c r="H88" s="753"/>
      <c r="I88" s="645">
        <v>391219</v>
      </c>
      <c r="J88" s="604"/>
      <c r="L88" s="645">
        <v>450490.19</v>
      </c>
      <c r="O88" s="645">
        <v>279492.90999999997</v>
      </c>
      <c r="R88" s="645">
        <v>258738.15</v>
      </c>
      <c r="U88" s="645">
        <v>205882</v>
      </c>
      <c r="W88" s="741">
        <f ca="1">U88*G88</f>
        <v>50509.319975157618</v>
      </c>
      <c r="Y88" s="604"/>
    </row>
    <row r="89" spans="1:29">
      <c r="A89" s="739">
        <f>A88+0.01</f>
        <v>13.02</v>
      </c>
      <c r="B89" s="604"/>
      <c r="C89" s="663" t="s">
        <v>1114</v>
      </c>
      <c r="D89" s="634"/>
      <c r="E89" s="727" t="s">
        <v>1071</v>
      </c>
      <c r="F89" s="634"/>
      <c r="G89" s="636">
        <f t="shared" ref="G89:G94" ca="1" si="23">IFERROR(INDIRECT(E89),0)</f>
        <v>8.452849912295303E-2</v>
      </c>
      <c r="H89" s="753"/>
      <c r="I89" s="645">
        <v>7220</v>
      </c>
      <c r="J89" s="604"/>
      <c r="L89" s="645">
        <v>7219.49</v>
      </c>
      <c r="O89" s="645">
        <v>7219.49</v>
      </c>
      <c r="R89" s="645">
        <v>7219.49</v>
      </c>
      <c r="U89" s="645">
        <v>7220</v>
      </c>
      <c r="W89" s="741">
        <f t="shared" ref="W89:W94" ca="1" si="24">U89*G89</f>
        <v>610.29576366772085</v>
      </c>
      <c r="Y89" s="604"/>
    </row>
    <row r="90" spans="1:29">
      <c r="A90" s="739">
        <f t="shared" ref="A90:A94" si="25">A89+0.01</f>
        <v>13.03</v>
      </c>
      <c r="B90" s="604"/>
      <c r="C90" s="663" t="s">
        <v>1115</v>
      </c>
      <c r="D90" s="634"/>
      <c r="E90" s="727" t="s">
        <v>1071</v>
      </c>
      <c r="F90" s="634"/>
      <c r="G90" s="636">
        <f t="shared" ca="1" si="23"/>
        <v>8.452849912295303E-2</v>
      </c>
      <c r="H90" s="753"/>
      <c r="I90" s="645">
        <v>57183922</v>
      </c>
      <c r="J90" s="604"/>
      <c r="L90" s="645">
        <v>62898181.189999998</v>
      </c>
      <c r="O90" s="645">
        <v>63294057.5</v>
      </c>
      <c r="R90" s="645">
        <v>65444016.18</v>
      </c>
      <c r="U90" s="645">
        <v>66530554</v>
      </c>
      <c r="W90" s="741">
        <f t="shared" ca="1" si="24"/>
        <v>5623727.8754385794</v>
      </c>
      <c r="Y90" s="604"/>
    </row>
    <row r="91" spans="1:29">
      <c r="A91" s="739">
        <f t="shared" si="25"/>
        <v>13.04</v>
      </c>
      <c r="B91" s="604"/>
      <c r="C91" s="663" t="s">
        <v>1117</v>
      </c>
      <c r="D91" s="634"/>
      <c r="E91" s="727" t="s">
        <v>1071</v>
      </c>
      <c r="F91" s="634"/>
      <c r="G91" s="636">
        <f t="shared" ca="1" si="23"/>
        <v>8.452849912295303E-2</v>
      </c>
      <c r="H91" s="753"/>
      <c r="I91" s="645">
        <v>36840812</v>
      </c>
      <c r="J91" s="604"/>
      <c r="L91" s="645">
        <v>38917395.700000003</v>
      </c>
      <c r="O91" s="645">
        <v>38914477.32</v>
      </c>
      <c r="R91" s="645">
        <v>38912250.390000001</v>
      </c>
      <c r="U91" s="645">
        <v>38912524</v>
      </c>
      <c r="W91" s="741">
        <f t="shared" ca="1" si="24"/>
        <v>3289217.2508058888</v>
      </c>
      <c r="Y91" s="604"/>
    </row>
    <row r="92" spans="1:29">
      <c r="A92" s="739">
        <f t="shared" si="25"/>
        <v>13.049999999999999</v>
      </c>
      <c r="B92" s="604"/>
      <c r="C92" s="663" t="s">
        <v>1118</v>
      </c>
      <c r="D92" s="634"/>
      <c r="E92" s="727" t="s">
        <v>762</v>
      </c>
      <c r="F92" s="634"/>
      <c r="G92" s="636">
        <f t="shared" ca="1" si="23"/>
        <v>0.24533140330459982</v>
      </c>
      <c r="H92" s="753"/>
      <c r="I92" s="645">
        <v>4689268</v>
      </c>
      <c r="J92" s="604"/>
      <c r="L92" s="645">
        <v>4689268.37</v>
      </c>
      <c r="O92" s="645">
        <v>4689268.37</v>
      </c>
      <c r="R92" s="645">
        <v>4873800.1900000004</v>
      </c>
      <c r="U92" s="645">
        <v>4689688</v>
      </c>
      <c r="W92" s="741">
        <f t="shared" ca="1" si="24"/>
        <v>1150527.7381007422</v>
      </c>
      <c r="Y92" s="604"/>
    </row>
    <row r="93" spans="1:29">
      <c r="A93" s="739">
        <f t="shared" si="25"/>
        <v>13.059999999999999</v>
      </c>
      <c r="B93" s="604"/>
      <c r="C93" s="663" t="s">
        <v>1149</v>
      </c>
      <c r="D93" s="634"/>
      <c r="E93" s="727" t="s">
        <v>250</v>
      </c>
      <c r="F93" s="634"/>
      <c r="G93" s="636">
        <f t="shared" ca="1" si="23"/>
        <v>1</v>
      </c>
      <c r="H93" s="753"/>
      <c r="I93" s="645">
        <v>1401521.9662806992</v>
      </c>
      <c r="J93" s="604"/>
      <c r="L93" s="645">
        <v>1436993.9648586812</v>
      </c>
      <c r="O93" s="645">
        <v>1472465.9634366632</v>
      </c>
      <c r="R93" s="645">
        <v>1507937.9620146451</v>
      </c>
      <c r="U93" s="645">
        <v>1543409.9605926273</v>
      </c>
      <c r="W93" s="741">
        <f ca="1">U93*G93</f>
        <v>1543409.9605926273</v>
      </c>
      <c r="Y93" s="604"/>
    </row>
    <row r="94" spans="1:29">
      <c r="A94" s="739">
        <f t="shared" si="25"/>
        <v>13.069999999999999</v>
      </c>
      <c r="B94" s="604"/>
      <c r="C94" s="663" t="s">
        <v>1150</v>
      </c>
      <c r="D94" s="634"/>
      <c r="E94" s="727" t="s">
        <v>250</v>
      </c>
      <c r="F94" s="634"/>
      <c r="G94" s="636">
        <f t="shared" ca="1" si="23"/>
        <v>1</v>
      </c>
      <c r="H94" s="753"/>
      <c r="I94" s="645">
        <v>-44034767.324963309</v>
      </c>
      <c r="J94" s="604"/>
      <c r="L94" s="645">
        <v>-44075522.507858247</v>
      </c>
      <c r="O94" s="645">
        <v>-44116277.690753184</v>
      </c>
      <c r="R94" s="645">
        <v>-44157032.873648122</v>
      </c>
      <c r="U94" s="645">
        <v>-44197788.056543067</v>
      </c>
      <c r="W94" s="741">
        <f t="shared" ca="1" si="24"/>
        <v>-44197788.056543067</v>
      </c>
      <c r="Y94" s="604"/>
    </row>
    <row r="95" spans="1:29">
      <c r="A95" s="605">
        <f>A86+1</f>
        <v>14</v>
      </c>
      <c r="B95" s="604"/>
      <c r="C95" s="634" t="str">
        <f ca="1">"Sum of Lines "&amp;A88&amp;" through "&amp;OFFSET(A95,-1,0)</f>
        <v>Sum of Lines 13.01 through 13.07</v>
      </c>
      <c r="E95" s="610"/>
      <c r="F95" s="610"/>
      <c r="G95" s="763"/>
      <c r="H95" s="610"/>
      <c r="I95" s="609">
        <f>SUM(I88:I94)</f>
        <v>56479195.64131739</v>
      </c>
      <c r="J95" s="604"/>
      <c r="L95" s="609">
        <f>SUM(L88:L94)</f>
        <v>64324026.397000432</v>
      </c>
      <c r="O95" s="609">
        <f>SUM(O88:O94)</f>
        <v>64540703.862683482</v>
      </c>
      <c r="R95" s="609">
        <f>SUM(R88:R94)</f>
        <v>66846929.488366529</v>
      </c>
      <c r="U95" s="609">
        <f>SUM(U88:U94)</f>
        <v>67691489.90404956</v>
      </c>
      <c r="W95" s="838">
        <f ca="1">SUM(W88:W94)</f>
        <v>-32539785.615866404</v>
      </c>
      <c r="Y95" s="604"/>
    </row>
    <row r="96" spans="1:29">
      <c r="B96" s="604"/>
      <c r="E96" s="604"/>
      <c r="F96" s="604"/>
      <c r="G96" s="646"/>
      <c r="H96" s="604"/>
      <c r="I96" s="696"/>
      <c r="J96" s="604"/>
      <c r="K96" s="606"/>
      <c r="M96" s="606"/>
      <c r="N96" s="606"/>
      <c r="P96" s="606"/>
      <c r="Q96" s="606"/>
      <c r="S96" s="606"/>
      <c r="T96" s="606"/>
      <c r="U96" s="696"/>
      <c r="W96" s="606"/>
      <c r="Y96" s="604"/>
    </row>
    <row r="97" spans="1:29">
      <c r="B97" s="604"/>
      <c r="E97" s="604"/>
      <c r="F97" s="604"/>
      <c r="G97" s="789"/>
      <c r="H97" s="604"/>
      <c r="I97" s="696"/>
      <c r="J97" s="604"/>
      <c r="K97" s="741"/>
      <c r="L97" s="741"/>
      <c r="M97" s="741"/>
      <c r="N97" s="741"/>
      <c r="O97" s="741"/>
      <c r="P97" s="741"/>
      <c r="Q97" s="741"/>
      <c r="R97" s="741"/>
      <c r="S97" s="741"/>
      <c r="T97" s="741"/>
      <c r="U97" s="696"/>
      <c r="W97" s="741"/>
      <c r="Y97" s="604"/>
    </row>
    <row r="98" spans="1:29">
      <c r="A98" s="605">
        <f>A95+1</f>
        <v>15</v>
      </c>
      <c r="B98" s="604"/>
      <c r="C98" s="758" t="s">
        <v>781</v>
      </c>
      <c r="D98" s="613"/>
      <c r="E98" s="613"/>
      <c r="F98" s="613"/>
      <c r="G98" s="613"/>
      <c r="H98" s="613"/>
      <c r="I98" s="613"/>
      <c r="J98" s="613"/>
      <c r="K98" s="613"/>
      <c r="L98" s="612"/>
      <c r="M98" s="613"/>
      <c r="N98" s="613"/>
      <c r="O98" s="612"/>
      <c r="P98" s="613"/>
      <c r="Q98" s="613"/>
      <c r="R98" s="612"/>
      <c r="S98" s="613"/>
      <c r="T98" s="613"/>
      <c r="U98" s="612"/>
      <c r="V98" s="613"/>
      <c r="W98" s="612"/>
      <c r="Y98" s="604"/>
    </row>
    <row r="99" spans="1:29">
      <c r="B99" s="604"/>
      <c r="C99" s="605"/>
      <c r="D99" s="605"/>
      <c r="E99" s="605"/>
      <c r="F99" s="605"/>
      <c r="G99" s="605"/>
      <c r="H99" s="605"/>
      <c r="I99" s="605"/>
      <c r="J99" s="605"/>
      <c r="K99" s="605"/>
      <c r="L99" s="605"/>
      <c r="M99" s="605"/>
      <c r="N99" s="605"/>
      <c r="O99" s="605"/>
      <c r="P99" s="605"/>
      <c r="Q99" s="605"/>
      <c r="R99" s="605"/>
      <c r="S99" s="605"/>
      <c r="T99" s="605"/>
      <c r="V99" s="605"/>
      <c r="Y99" s="604"/>
    </row>
    <row r="100" spans="1:29">
      <c r="A100" s="739">
        <f>A98+0.01</f>
        <v>15.01</v>
      </c>
      <c r="B100" s="604"/>
      <c r="C100" s="663" t="s">
        <v>1110</v>
      </c>
      <c r="D100" s="605"/>
      <c r="E100" s="727" t="s">
        <v>250</v>
      </c>
      <c r="F100" s="605"/>
      <c r="G100" s="636">
        <f t="shared" ref="G100" ca="1" si="26">IFERROR(INDIRECT(E100),0)</f>
        <v>1</v>
      </c>
      <c r="H100" s="605"/>
      <c r="I100" s="645">
        <v>-5226883.3982790001</v>
      </c>
      <c r="J100" s="604"/>
      <c r="L100" s="645">
        <v>-5009096.5900173746</v>
      </c>
      <c r="O100" s="645">
        <v>-4791309.7817557501</v>
      </c>
      <c r="R100" s="645">
        <v>-4573522.9734941246</v>
      </c>
      <c r="U100" s="645">
        <v>-4355736.165232501</v>
      </c>
      <c r="W100" s="741">
        <f ca="1">U100*G100</f>
        <v>-4355736.165232501</v>
      </c>
      <c r="Y100" s="604"/>
    </row>
    <row r="101" spans="1:29">
      <c r="A101" s="739">
        <f t="shared" ref="A101:A104" si="27">A100+0.01</f>
        <v>15.02</v>
      </c>
      <c r="B101" s="604"/>
      <c r="C101" s="663" t="s">
        <v>1149</v>
      </c>
      <c r="D101" s="605"/>
      <c r="E101" s="727" t="s">
        <v>250</v>
      </c>
      <c r="F101" s="605"/>
      <c r="G101" s="636">
        <f ca="1">IFERROR(INDIRECT(E101),0)</f>
        <v>1</v>
      </c>
      <c r="H101" s="605"/>
      <c r="I101" s="645">
        <f>I93</f>
        <v>1401521.9662806992</v>
      </c>
      <c r="J101" s="604"/>
      <c r="L101" s="645">
        <f>L93</f>
        <v>1436993.9648586812</v>
      </c>
      <c r="O101" s="645">
        <f>O93</f>
        <v>1472465.9634366632</v>
      </c>
      <c r="R101" s="645">
        <f>R93</f>
        <v>1507937.9620146451</v>
      </c>
      <c r="U101" s="645">
        <f>U93</f>
        <v>1543409.9605926273</v>
      </c>
      <c r="W101" s="741">
        <f t="shared" ref="W101:W102" ca="1" si="28">U101*G101</f>
        <v>1543409.9605926273</v>
      </c>
      <c r="Y101" s="604"/>
      <c r="AC101" s="610"/>
    </row>
    <row r="102" spans="1:29">
      <c r="A102" s="739">
        <f t="shared" si="27"/>
        <v>15.03</v>
      </c>
      <c r="B102" s="604"/>
      <c r="C102" s="663" t="s">
        <v>1150</v>
      </c>
      <c r="D102" s="605"/>
      <c r="E102" s="727" t="s">
        <v>250</v>
      </c>
      <c r="F102" s="605"/>
      <c r="G102" s="636">
        <f t="shared" ref="G102" ca="1" si="29">IFERROR(INDIRECT(E102),0)</f>
        <v>1</v>
      </c>
      <c r="H102" s="605"/>
      <c r="I102" s="645">
        <f>I94</f>
        <v>-44034767.324963309</v>
      </c>
      <c r="J102" s="604"/>
      <c r="L102" s="645">
        <f>L94</f>
        <v>-44075522.507858247</v>
      </c>
      <c r="O102" s="645">
        <f>O94</f>
        <v>-44116277.690753184</v>
      </c>
      <c r="R102" s="645">
        <f>R94</f>
        <v>-44157032.873648122</v>
      </c>
      <c r="U102" s="645">
        <f>U94</f>
        <v>-44197788.056543067</v>
      </c>
      <c r="W102" s="741">
        <f t="shared" ca="1" si="28"/>
        <v>-44197788.056543067</v>
      </c>
      <c r="Y102" s="604"/>
    </row>
    <row r="103" spans="1:29">
      <c r="A103" s="739">
        <f t="shared" si="27"/>
        <v>15.04</v>
      </c>
      <c r="B103" s="604"/>
      <c r="C103" s="663" t="s">
        <v>846</v>
      </c>
      <c r="D103" s="634"/>
      <c r="F103" s="17"/>
      <c r="G103" s="757"/>
      <c r="H103" s="753"/>
      <c r="I103" s="741"/>
      <c r="J103" s="604"/>
      <c r="L103" s="741"/>
      <c r="O103" s="741"/>
      <c r="R103" s="741"/>
      <c r="U103" s="645">
        <f>'Attachment 5b - ADIT Norm ATRR'!L71</f>
        <v>-15443.306162320077</v>
      </c>
      <c r="W103" s="741">
        <f>U103</f>
        <v>-15443.306162320077</v>
      </c>
      <c r="Y103" s="610"/>
    </row>
    <row r="104" spans="1:29">
      <c r="A104" s="739">
        <f t="shared" si="27"/>
        <v>15.049999999999999</v>
      </c>
      <c r="B104" s="604"/>
      <c r="C104" s="663" t="s">
        <v>1117</v>
      </c>
      <c r="D104" s="605"/>
      <c r="E104" s="727" t="s">
        <v>1071</v>
      </c>
      <c r="F104" s="605"/>
      <c r="G104" s="636">
        <f t="shared" ref="G104" ca="1" si="30">IFERROR(INDIRECT(E104),0)</f>
        <v>8.452849912295303E-2</v>
      </c>
      <c r="H104" s="605"/>
      <c r="I104" s="645">
        <f>I91</f>
        <v>36840812</v>
      </c>
      <c r="J104" s="604"/>
      <c r="L104" s="645">
        <f>L91</f>
        <v>38917395.700000003</v>
      </c>
      <c r="O104" s="645">
        <f>O91</f>
        <v>38914477.32</v>
      </c>
      <c r="R104" s="645">
        <f>R91</f>
        <v>38912250.390000001</v>
      </c>
      <c r="U104" s="645">
        <f>U91</f>
        <v>38912524</v>
      </c>
      <c r="W104" s="741">
        <f ca="1">U104*G104</f>
        <v>3289217.2508058888</v>
      </c>
      <c r="Y104" s="604"/>
    </row>
    <row r="105" spans="1:29">
      <c r="A105" s="605">
        <f>A98+1</f>
        <v>16</v>
      </c>
      <c r="B105" s="604"/>
      <c r="C105" s="634" t="str">
        <f ca="1">"Sum of Lines "&amp;A100&amp;" through "&amp;OFFSET(A105,-1,0)</f>
        <v>Sum of Lines 15.01 through 15.05</v>
      </c>
      <c r="E105" s="610"/>
      <c r="F105" s="610"/>
      <c r="G105" s="636"/>
      <c r="H105" s="605"/>
      <c r="I105" s="838">
        <f>SUM(I100:I104)</f>
        <v>-11019316.756961606</v>
      </c>
      <c r="J105" s="838">
        <f>SUM(J100:J103)</f>
        <v>0</v>
      </c>
      <c r="K105" s="838">
        <f>SUM(K100:K103)</f>
        <v>0</v>
      </c>
      <c r="L105" s="838">
        <f>SUM(L100:L104)</f>
        <v>-8730229.433016941</v>
      </c>
      <c r="M105" s="838">
        <f>SUM(M100:M103)</f>
        <v>0</v>
      </c>
      <c r="N105" s="838">
        <f>SUM(N100:N103)</f>
        <v>0</v>
      </c>
      <c r="O105" s="838">
        <f>SUM(O100:O104)</f>
        <v>-8520644.1890722737</v>
      </c>
      <c r="P105" s="838">
        <f>SUM(P100:P103)</f>
        <v>0</v>
      </c>
      <c r="Q105" s="838">
        <f>SUM(Q100:Q103)</f>
        <v>0</v>
      </c>
      <c r="R105" s="838">
        <f>SUM(R100:R104)</f>
        <v>-8310367.4951276034</v>
      </c>
      <c r="S105" s="838">
        <f>SUM(S100:S103)</f>
        <v>0</v>
      </c>
      <c r="T105" s="838">
        <f>SUM(T100:T103)</f>
        <v>0</v>
      </c>
      <c r="U105" s="838">
        <f>SUM(U100:U104)</f>
        <v>-8113033.5673452616</v>
      </c>
      <c r="V105" s="609">
        <f>SUM(V100:V103)</f>
        <v>0</v>
      </c>
      <c r="W105" s="838">
        <f ca="1">SUM(W100:X104)</f>
        <v>-43736340.31653937</v>
      </c>
      <c r="Y105" s="604"/>
    </row>
    <row r="106" spans="1:29">
      <c r="I106" s="646"/>
    </row>
    <row r="107" spans="1:29">
      <c r="A107" s="615">
        <f>A105+1</f>
        <v>17</v>
      </c>
      <c r="B107" s="613"/>
      <c r="C107" s="614" t="s">
        <v>830</v>
      </c>
      <c r="D107" s="613"/>
      <c r="E107" s="613"/>
      <c r="F107" s="613"/>
      <c r="G107" s="613"/>
      <c r="H107" s="613"/>
      <c r="I107" s="764"/>
      <c r="J107" s="613"/>
      <c r="K107" s="606"/>
      <c r="M107" s="606"/>
      <c r="N107" s="786"/>
      <c r="O107" s="786"/>
      <c r="P107" s="786"/>
      <c r="Q107" s="606"/>
      <c r="S107" s="606"/>
      <c r="T107" s="606"/>
      <c r="U107" s="612"/>
      <c r="V107" s="611"/>
      <c r="W107" s="612"/>
      <c r="X107" s="611"/>
      <c r="Y107" s="973"/>
      <c r="Z107" s="612"/>
    </row>
    <row r="108" spans="1:29">
      <c r="C108" s="605"/>
      <c r="D108" s="605"/>
      <c r="E108" s="605"/>
      <c r="F108" s="605"/>
      <c r="G108" s="605"/>
      <c r="H108" s="605"/>
      <c r="I108" s="636"/>
      <c r="J108" s="605"/>
      <c r="K108" s="606"/>
      <c r="M108" s="606"/>
      <c r="N108" s="786"/>
      <c r="O108" s="786"/>
      <c r="P108" s="786"/>
      <c r="Q108" s="606"/>
      <c r="S108" s="606"/>
      <c r="T108" s="606"/>
      <c r="U108" s="606"/>
      <c r="V108" s="606"/>
      <c r="X108" s="605"/>
      <c r="Z108" s="605"/>
    </row>
    <row r="109" spans="1:29">
      <c r="A109" s="739">
        <f>A107+0.01</f>
        <v>17.010000000000002</v>
      </c>
      <c r="B109" s="604"/>
      <c r="C109" s="663"/>
      <c r="D109" s="634"/>
      <c r="E109" s="727"/>
      <c r="F109" s="634"/>
      <c r="G109" s="636">
        <f ca="1">IFERROR(INDIRECT(E109),0)</f>
        <v>0</v>
      </c>
      <c r="H109" s="753"/>
      <c r="I109" s="645">
        <v>0</v>
      </c>
      <c r="J109" s="604"/>
      <c r="K109" s="606"/>
      <c r="M109" s="606"/>
      <c r="N109" s="786"/>
      <c r="O109" s="786"/>
      <c r="P109" s="786"/>
      <c r="Q109" s="606"/>
      <c r="S109" s="606"/>
      <c r="T109" s="606"/>
      <c r="U109" s="645">
        <v>0</v>
      </c>
      <c r="W109" s="741">
        <f ca="1">U109*G109</f>
        <v>0</v>
      </c>
      <c r="Y109" s="604"/>
    </row>
    <row r="110" spans="1:29">
      <c r="A110" s="605">
        <f>A107+1</f>
        <v>18</v>
      </c>
      <c r="B110" s="604"/>
      <c r="C110" s="634" t="str">
        <f ca="1">"Sum of Lines "&amp;A109&amp;" through "&amp;OFFSET(A110,-1,0)</f>
        <v>Sum of Lines 17.01 through 17.01</v>
      </c>
      <c r="E110" s="610"/>
      <c r="F110" s="610"/>
      <c r="G110" s="610"/>
      <c r="H110" s="610"/>
      <c r="I110" s="609">
        <f>SUM(I109:I109)</f>
        <v>0</v>
      </c>
      <c r="J110" s="604"/>
      <c r="K110" s="606"/>
      <c r="M110" s="606"/>
      <c r="N110" s="786"/>
      <c r="O110" s="786"/>
      <c r="P110" s="786"/>
      <c r="Q110" s="606"/>
      <c r="S110" s="606"/>
      <c r="T110" s="606"/>
      <c r="U110" s="838">
        <f>SUM(U109:U109)</f>
        <v>0</v>
      </c>
      <c r="W110" s="838">
        <f ca="1">SUM(W109:W109)</f>
        <v>0</v>
      </c>
      <c r="Y110" s="604"/>
    </row>
    <row r="111" spans="1:29">
      <c r="B111" s="604"/>
      <c r="E111" s="604"/>
      <c r="F111" s="604"/>
      <c r="G111" s="604"/>
      <c r="H111" s="604"/>
      <c r="I111" s="696"/>
      <c r="J111" s="604"/>
      <c r="K111" s="606"/>
      <c r="M111" s="606"/>
      <c r="N111" s="786"/>
      <c r="O111" s="786"/>
      <c r="P111" s="786"/>
      <c r="Q111" s="606"/>
      <c r="S111" s="606"/>
      <c r="T111" s="606"/>
      <c r="U111" s="696"/>
      <c r="W111" s="606"/>
      <c r="Y111" s="604"/>
    </row>
    <row r="112" spans="1:29">
      <c r="A112" s="605">
        <f>A110+1</f>
        <v>19</v>
      </c>
      <c r="C112" s="604" t="s">
        <v>1019</v>
      </c>
      <c r="G112" s="741"/>
      <c r="N112" s="786"/>
      <c r="O112" s="786"/>
      <c r="P112" s="786"/>
      <c r="Y112" s="635">
        <f ca="1">W36-W47-W52+W58-W74+W84-W95+W105+W110</f>
        <v>-348093643.3597371</v>
      </c>
    </row>
    <row r="113" spans="2:25">
      <c r="N113" s="786"/>
      <c r="O113" s="786"/>
      <c r="P113" s="786"/>
      <c r="Y113" s="750"/>
    </row>
    <row r="114" spans="2:25">
      <c r="N114" s="786"/>
      <c r="O114" s="786"/>
      <c r="P114" s="786"/>
    </row>
    <row r="115" spans="2:25" ht="15.6" customHeight="1">
      <c r="C115" s="754" t="s">
        <v>153</v>
      </c>
      <c r="N115" s="786"/>
      <c r="O115" s="786"/>
      <c r="P115" s="786"/>
    </row>
    <row r="116" spans="2:25">
      <c r="B116" s="605" t="s">
        <v>202</v>
      </c>
      <c r="C116" s="989" t="s">
        <v>730</v>
      </c>
      <c r="D116" s="989"/>
      <c r="E116" s="989"/>
      <c r="F116" s="989"/>
      <c r="G116" s="989"/>
      <c r="H116" s="989"/>
      <c r="I116" s="989"/>
      <c r="J116" s="989"/>
      <c r="N116" s="792"/>
      <c r="O116" s="792"/>
      <c r="P116" s="792"/>
    </row>
    <row r="117" spans="2:25">
      <c r="C117" s="989"/>
      <c r="D117" s="989"/>
      <c r="E117" s="989"/>
      <c r="F117" s="989"/>
      <c r="G117" s="989"/>
      <c r="H117" s="989"/>
      <c r="I117" s="989"/>
      <c r="J117" s="989"/>
      <c r="N117" s="792"/>
      <c r="O117" s="792"/>
      <c r="P117" s="792"/>
    </row>
    <row r="118" spans="2:25">
      <c r="B118" s="605" t="s">
        <v>203</v>
      </c>
      <c r="C118" s="604" t="s">
        <v>1035</v>
      </c>
      <c r="G118" s="741"/>
      <c r="I118" s="741"/>
      <c r="J118" s="741"/>
      <c r="L118" s="822"/>
      <c r="N118" s="792"/>
      <c r="O118" s="792"/>
      <c r="P118" s="792"/>
      <c r="R118" s="824"/>
    </row>
    <row r="119" spans="2:25">
      <c r="B119" s="605" t="s">
        <v>285</v>
      </c>
      <c r="C119" s="604" t="s">
        <v>740</v>
      </c>
      <c r="G119" s="741"/>
      <c r="I119" s="741"/>
      <c r="J119" s="741"/>
      <c r="N119" s="792"/>
      <c r="O119" s="792"/>
      <c r="P119" s="792"/>
    </row>
    <row r="120" spans="2:25">
      <c r="B120" s="605" t="s">
        <v>205</v>
      </c>
      <c r="C120" s="604" t="s">
        <v>828</v>
      </c>
      <c r="G120" s="741"/>
      <c r="I120" s="741"/>
      <c r="J120" s="741"/>
      <c r="L120" s="741"/>
    </row>
    <row r="121" spans="2:25">
      <c r="B121" s="605" t="s">
        <v>206</v>
      </c>
      <c r="C121" s="604" t="s">
        <v>1061</v>
      </c>
      <c r="G121" s="741"/>
      <c r="I121" s="741"/>
    </row>
    <row r="122" spans="2:25">
      <c r="B122" s="605" t="s">
        <v>207</v>
      </c>
      <c r="C122" s="604" t="s">
        <v>980</v>
      </c>
      <c r="G122" s="741"/>
      <c r="I122" s="741"/>
    </row>
    <row r="123" spans="2:25">
      <c r="B123" s="605" t="s">
        <v>208</v>
      </c>
      <c r="C123" s="604" t="s">
        <v>912</v>
      </c>
      <c r="G123" s="741"/>
      <c r="I123" s="741"/>
    </row>
    <row r="124" spans="2:25">
      <c r="G124" s="741"/>
      <c r="I124" s="741"/>
    </row>
  </sheetData>
  <mergeCells count="1">
    <mergeCell ref="C116:J117"/>
  </mergeCells>
  <dataValidations count="2">
    <dataValidation type="list" allowBlank="1" showInputMessage="1" showErrorMessage="1" sqref="F83 F103 F44:F46 F11:F35" xr:uid="{00000000-0002-0000-0500-000000000000}">
      <formula1>"DA, TP, NP, GP, WS, EXCL"</formula1>
    </dataValidation>
    <dataValidation type="list" allowBlank="1" showInputMessage="1" showErrorMessage="1" sqref="E51 E109 E57 E41:E45 E79:E82 E100:E102 E104 E62:E73 E11:E35 E88:E94" xr:uid="{00000000-0002-0000-0500-000001000000}">
      <formula1>"DA, TE, TP, GP, WS, CE, EXCL,"</formula1>
    </dataValidation>
  </dataValidations>
  <pageMargins left="0" right="0" top="1" bottom="0.5" header="0" footer="0"/>
  <pageSetup scale="22" orientation="portrait" r:id="rId1"/>
  <headerFooter>
    <oddFooter xml:space="preserve">&amp;L&amp;"Times New Roman,Bold"&amp;10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M56"/>
  <sheetViews>
    <sheetView view="pageBreakPreview" zoomScale="60" zoomScaleNormal="85" workbookViewId="0">
      <selection activeCell="F22" sqref="F22"/>
    </sheetView>
  </sheetViews>
  <sheetFormatPr defaultColWidth="8.81640625" defaultRowHeight="14.4"/>
  <cols>
    <col min="1" max="1" width="8.81640625" style="183"/>
    <col min="2" max="2" width="9" style="183" customWidth="1"/>
    <col min="3" max="3" width="27.26953125" style="183" customWidth="1"/>
    <col min="4" max="4" width="3.08984375" style="183" customWidth="1"/>
    <col min="5" max="5" width="14.81640625" style="183" customWidth="1"/>
    <col min="6" max="6" width="15.26953125" style="183" customWidth="1"/>
    <col min="7" max="8" width="13.7265625" style="183" customWidth="1"/>
    <col min="9" max="9" width="13.54296875" style="183" customWidth="1"/>
    <col min="10" max="10" width="16.54296875" style="183" customWidth="1"/>
    <col min="11" max="11" width="15.26953125" style="183" customWidth="1"/>
    <col min="12" max="12" width="12.81640625" style="183" customWidth="1"/>
    <col min="13" max="13" width="15.26953125" style="183" customWidth="1"/>
    <col min="14" max="16384" width="8.81640625" style="183"/>
  </cols>
  <sheetData>
    <row r="1" spans="1:13" ht="15.6">
      <c r="M1" s="3" t="s">
        <v>1036</v>
      </c>
    </row>
    <row r="2" spans="1:13" ht="15.6">
      <c r="M2" s="3" t="s">
        <v>1027</v>
      </c>
    </row>
    <row r="3" spans="1:13" ht="15.6">
      <c r="M3" s="3" t="s">
        <v>144</v>
      </c>
    </row>
    <row r="4" spans="1:13" ht="15.6">
      <c r="M4" s="3" t="str">
        <f>'Attachment 1 - Sched 1A'!$J$3</f>
        <v>For the 12 months ended 12/31/2022</v>
      </c>
    </row>
    <row r="5" spans="1:13" ht="15.6">
      <c r="C5" s="40"/>
    </row>
    <row r="6" spans="1:13" ht="15" thickBot="1">
      <c r="C6" s="535" t="s">
        <v>75</v>
      </c>
      <c r="D6" s="188"/>
      <c r="E6" s="535" t="s">
        <v>76</v>
      </c>
      <c r="F6" s="535" t="s">
        <v>77</v>
      </c>
      <c r="G6" s="535" t="s">
        <v>78</v>
      </c>
      <c r="H6" s="535" t="s">
        <v>79</v>
      </c>
      <c r="I6" s="535" t="s">
        <v>80</v>
      </c>
      <c r="J6" s="535" t="s">
        <v>81</v>
      </c>
      <c r="K6" s="535" t="s">
        <v>83</v>
      </c>
      <c r="L6" s="535" t="s">
        <v>84</v>
      </c>
    </row>
    <row r="7" spans="1:13" ht="15" thickBot="1">
      <c r="A7" s="536" t="s">
        <v>5</v>
      </c>
      <c r="B7" s="536"/>
      <c r="C7" s="537"/>
      <c r="D7" s="538"/>
      <c r="E7" s="990" t="s">
        <v>1159</v>
      </c>
      <c r="F7" s="990"/>
      <c r="G7" s="990"/>
      <c r="H7" s="990"/>
      <c r="I7" s="990"/>
      <c r="J7" s="990"/>
      <c r="K7" s="990"/>
      <c r="L7" s="991"/>
    </row>
    <row r="8" spans="1:13">
      <c r="C8" s="185"/>
      <c r="E8" s="186"/>
      <c r="F8" s="186"/>
      <c r="G8" s="186"/>
      <c r="H8" s="186"/>
      <c r="I8" s="186"/>
      <c r="J8" s="186"/>
      <c r="K8" s="186"/>
      <c r="L8" s="187"/>
    </row>
    <row r="9" spans="1:13" ht="28.8">
      <c r="C9" s="539" t="s">
        <v>553</v>
      </c>
      <c r="D9" s="540"/>
      <c r="E9" s="541" t="s">
        <v>501</v>
      </c>
      <c r="F9" s="542" t="s">
        <v>502</v>
      </c>
      <c r="G9" s="541" t="s">
        <v>503</v>
      </c>
      <c r="H9" s="542" t="s">
        <v>504</v>
      </c>
      <c r="I9" s="541" t="s">
        <v>505</v>
      </c>
      <c r="J9" s="542" t="s">
        <v>506</v>
      </c>
      <c r="K9" s="541" t="s">
        <v>507</v>
      </c>
      <c r="L9" s="543" t="s">
        <v>508</v>
      </c>
    </row>
    <row r="10" spans="1:13">
      <c r="A10" s="544">
        <v>1</v>
      </c>
      <c r="B10" s="535" t="s">
        <v>522</v>
      </c>
      <c r="C10" s="545"/>
      <c r="D10" s="188"/>
      <c r="E10" s="546"/>
      <c r="F10" s="188">
        <f>SUM(C10:E10)</f>
        <v>0</v>
      </c>
      <c r="G10" s="546"/>
      <c r="H10" s="188">
        <f>SUM(F10:G10)</f>
        <v>0</v>
      </c>
      <c r="I10" s="546"/>
      <c r="J10" s="188">
        <f>SUM(H10:I10)</f>
        <v>0</v>
      </c>
      <c r="K10" s="546"/>
      <c r="L10" s="191">
        <f>SUM(J10:K10)</f>
        <v>0</v>
      </c>
    </row>
    <row r="11" spans="1:13">
      <c r="C11" s="193"/>
      <c r="D11" s="188"/>
      <c r="E11" s="188"/>
      <c r="F11" s="188"/>
      <c r="G11" s="188"/>
      <c r="H11" s="188"/>
      <c r="I11" s="188"/>
      <c r="J11" s="188"/>
      <c r="K11" s="188"/>
      <c r="L11" s="191"/>
    </row>
    <row r="12" spans="1:13" ht="28.8">
      <c r="C12" s="547" t="str">
        <f>C9</f>
        <v>Beginning 190 (including adjustments)</v>
      </c>
      <c r="D12" s="188"/>
      <c r="E12" s="189" t="s">
        <v>356</v>
      </c>
      <c r="F12" s="188"/>
      <c r="G12" s="189" t="s">
        <v>357</v>
      </c>
      <c r="H12" s="188"/>
      <c r="I12" s="189" t="s">
        <v>358</v>
      </c>
      <c r="J12" s="188"/>
      <c r="K12" s="189" t="s">
        <v>359</v>
      </c>
      <c r="L12" s="191"/>
    </row>
    <row r="13" spans="1:13">
      <c r="A13" s="544">
        <v>2</v>
      </c>
      <c r="B13" s="535" t="s">
        <v>522</v>
      </c>
      <c r="C13" s="190">
        <f>C10</f>
        <v>0</v>
      </c>
      <c r="D13" s="188"/>
      <c r="E13" s="189">
        <f>(276/365)*E10</f>
        <v>0</v>
      </c>
      <c r="F13" s="188"/>
      <c r="G13" s="189">
        <f>(185/365)*G10</f>
        <v>0</v>
      </c>
      <c r="H13" s="188"/>
      <c r="I13" s="189">
        <f>(93/365)*I10</f>
        <v>0</v>
      </c>
      <c r="J13" s="188"/>
      <c r="K13" s="189">
        <f>(1/365)*K10</f>
        <v>0</v>
      </c>
      <c r="L13" s="191"/>
      <c r="M13" s="548"/>
    </row>
    <row r="14" spans="1:13">
      <c r="C14" s="190"/>
      <c r="D14" s="188"/>
      <c r="E14" s="189"/>
      <c r="F14" s="188"/>
      <c r="G14" s="189"/>
      <c r="H14" s="188"/>
      <c r="I14" s="189"/>
      <c r="J14" s="188"/>
      <c r="K14" s="189"/>
      <c r="L14" s="191"/>
      <c r="M14" s="548"/>
    </row>
    <row r="15" spans="1:13" ht="28.8">
      <c r="C15" s="547" t="s">
        <v>554</v>
      </c>
      <c r="D15" s="188"/>
      <c r="E15" s="541" t="s">
        <v>501</v>
      </c>
      <c r="F15" s="542" t="s">
        <v>502</v>
      </c>
      <c r="G15" s="541" t="s">
        <v>503</v>
      </c>
      <c r="H15" s="542" t="s">
        <v>504</v>
      </c>
      <c r="I15" s="541" t="s">
        <v>505</v>
      </c>
      <c r="J15" s="542" t="s">
        <v>506</v>
      </c>
      <c r="K15" s="541" t="s">
        <v>507</v>
      </c>
      <c r="L15" s="543" t="s">
        <v>508</v>
      </c>
      <c r="M15" s="548"/>
    </row>
    <row r="16" spans="1:13">
      <c r="A16" s="544">
        <v>3</v>
      </c>
      <c r="B16" s="535" t="s">
        <v>522</v>
      </c>
      <c r="C16" s="545"/>
      <c r="D16" s="188"/>
      <c r="E16" s="546"/>
      <c r="F16" s="188">
        <f>SUM(C16:E16)</f>
        <v>0</v>
      </c>
      <c r="G16" s="546"/>
      <c r="H16" s="188">
        <f>SUM(F16:G16)</f>
        <v>0</v>
      </c>
      <c r="I16" s="546"/>
      <c r="J16" s="188">
        <f>SUM(H16:I16)</f>
        <v>0</v>
      </c>
      <c r="K16" s="546"/>
      <c r="L16" s="191">
        <f>SUM(J16:K16)</f>
        <v>0</v>
      </c>
      <c r="M16" s="548"/>
    </row>
    <row r="17" spans="1:13">
      <c r="C17" s="193"/>
      <c r="D17" s="188"/>
      <c r="E17" s="188"/>
      <c r="F17" s="188"/>
      <c r="G17" s="188"/>
      <c r="H17" s="188"/>
      <c r="I17" s="188"/>
      <c r="J17" s="188"/>
      <c r="K17" s="188"/>
      <c r="L17" s="191"/>
      <c r="M17" s="548"/>
    </row>
    <row r="18" spans="1:13" ht="28.8">
      <c r="C18" s="547" t="str">
        <f>C15</f>
        <v xml:space="preserve">Beginning 282 (including adjustments) </v>
      </c>
      <c r="D18" s="188"/>
      <c r="E18" s="189" t="s">
        <v>356</v>
      </c>
      <c r="F18" s="188"/>
      <c r="G18" s="189" t="s">
        <v>357</v>
      </c>
      <c r="H18" s="188"/>
      <c r="I18" s="189" t="s">
        <v>358</v>
      </c>
      <c r="J18" s="188"/>
      <c r="K18" s="189" t="s">
        <v>359</v>
      </c>
      <c r="L18" s="191"/>
      <c r="M18" s="548"/>
    </row>
    <row r="19" spans="1:13">
      <c r="A19" s="544">
        <v>4</v>
      </c>
      <c r="B19" s="535" t="s">
        <v>522</v>
      </c>
      <c r="C19" s="190">
        <f>C16</f>
        <v>0</v>
      </c>
      <c r="D19" s="188"/>
      <c r="E19" s="189">
        <f>(276/365)*E16</f>
        <v>0</v>
      </c>
      <c r="F19" s="188"/>
      <c r="G19" s="189">
        <f>(185/365)*G16</f>
        <v>0</v>
      </c>
      <c r="H19" s="188"/>
      <c r="I19" s="189">
        <f>(93/365)*I16</f>
        <v>0</v>
      </c>
      <c r="J19" s="188"/>
      <c r="K19" s="189">
        <f>(1/365)*K16</f>
        <v>0</v>
      </c>
      <c r="L19" s="191"/>
      <c r="M19" s="548"/>
    </row>
    <row r="20" spans="1:13">
      <c r="C20" s="190"/>
      <c r="D20" s="188"/>
      <c r="E20" s="189"/>
      <c r="F20" s="188"/>
      <c r="G20" s="189"/>
      <c r="H20" s="188"/>
      <c r="I20" s="189"/>
      <c r="J20" s="188"/>
      <c r="K20" s="189"/>
      <c r="L20" s="191"/>
      <c r="M20" s="548"/>
    </row>
    <row r="21" spans="1:13" ht="28.8">
      <c r="C21" s="547" t="s">
        <v>847</v>
      </c>
      <c r="D21" s="188"/>
      <c r="E21" s="541" t="s">
        <v>501</v>
      </c>
      <c r="F21" s="542" t="s">
        <v>502</v>
      </c>
      <c r="G21" s="541" t="s">
        <v>503</v>
      </c>
      <c r="H21" s="542" t="s">
        <v>504</v>
      </c>
      <c r="I21" s="541" t="s">
        <v>505</v>
      </c>
      <c r="J21" s="542" t="s">
        <v>506</v>
      </c>
      <c r="K21" s="541" t="s">
        <v>507</v>
      </c>
      <c r="L21" s="543" t="s">
        <v>508</v>
      </c>
      <c r="M21" s="548"/>
    </row>
    <row r="22" spans="1:13">
      <c r="A22" s="544">
        <v>5</v>
      </c>
      <c r="B22" s="535" t="s">
        <v>522</v>
      </c>
      <c r="C22" s="545"/>
      <c r="D22" s="188"/>
      <c r="E22" s="546"/>
      <c r="F22" s="188">
        <f>SUM(C22:E22)</f>
        <v>0</v>
      </c>
      <c r="G22" s="546"/>
      <c r="H22" s="188">
        <f>SUM(F22:G22)</f>
        <v>0</v>
      </c>
      <c r="I22" s="546"/>
      <c r="J22" s="188">
        <f>SUM(H22:I22)</f>
        <v>0</v>
      </c>
      <c r="K22" s="546"/>
      <c r="L22" s="191">
        <f>SUM(J22:K22)</f>
        <v>0</v>
      </c>
      <c r="M22" s="548"/>
    </row>
    <row r="23" spans="1:13">
      <c r="C23" s="193"/>
      <c r="D23" s="188"/>
      <c r="E23" s="188"/>
      <c r="F23" s="188"/>
      <c r="G23" s="188"/>
      <c r="H23" s="188"/>
      <c r="I23" s="188"/>
      <c r="J23" s="188"/>
      <c r="K23" s="188"/>
      <c r="L23" s="191"/>
      <c r="M23" s="548"/>
    </row>
    <row r="24" spans="1:13" ht="30.6" customHeight="1">
      <c r="B24" s="549"/>
      <c r="C24" s="547" t="str">
        <f>C21</f>
        <v xml:space="preserve">Beginning 283 (Including adjustments) </v>
      </c>
      <c r="D24" s="188"/>
      <c r="E24" s="189" t="s">
        <v>356</v>
      </c>
      <c r="F24" s="188"/>
      <c r="G24" s="189" t="s">
        <v>357</v>
      </c>
      <c r="H24" s="188"/>
      <c r="I24" s="189" t="s">
        <v>358</v>
      </c>
      <c r="J24" s="188"/>
      <c r="K24" s="189" t="s">
        <v>359</v>
      </c>
      <c r="L24" s="191"/>
      <c r="M24" s="548"/>
    </row>
    <row r="25" spans="1:13" ht="15" thickBot="1">
      <c r="A25" s="544">
        <v>6</v>
      </c>
      <c r="B25" s="535" t="s">
        <v>522</v>
      </c>
      <c r="C25" s="313">
        <f>C22</f>
        <v>0</v>
      </c>
      <c r="D25" s="291"/>
      <c r="E25" s="407">
        <f>(276/365)*E22</f>
        <v>0</v>
      </c>
      <c r="F25" s="291"/>
      <c r="G25" s="407">
        <f>(185/365)*G22</f>
        <v>0</v>
      </c>
      <c r="H25" s="291"/>
      <c r="I25" s="407">
        <f>(93/365)*I22</f>
        <v>0</v>
      </c>
      <c r="J25" s="291"/>
      <c r="K25" s="407">
        <f>(1/365)*K22</f>
        <v>0</v>
      </c>
      <c r="L25" s="314"/>
      <c r="M25" s="548"/>
    </row>
    <row r="27" spans="1:13">
      <c r="C27" s="192"/>
      <c r="E27" s="194"/>
      <c r="G27" s="194"/>
      <c r="I27" s="194"/>
      <c r="K27" s="194"/>
    </row>
    <row r="28" spans="1:13">
      <c r="C28" s="189"/>
      <c r="D28" s="188"/>
      <c r="E28" s="189"/>
      <c r="F28" s="188"/>
      <c r="G28" s="189"/>
      <c r="H28" s="188"/>
      <c r="I28" s="189"/>
      <c r="J28" s="188"/>
      <c r="K28" s="189"/>
      <c r="L28" s="188"/>
    </row>
    <row r="30" spans="1:13">
      <c r="E30" s="188"/>
      <c r="G30" s="188"/>
      <c r="I30" s="188"/>
      <c r="K30" s="188"/>
      <c r="L30" s="188"/>
    </row>
    <row r="32" spans="1:13" ht="15.6">
      <c r="E32" s="801"/>
      <c r="M32" s="3"/>
    </row>
    <row r="33" spans="1:13" ht="15.6">
      <c r="E33" s="801"/>
      <c r="M33" s="3"/>
    </row>
    <row r="34" spans="1:13" ht="15.6">
      <c r="E34" s="801"/>
      <c r="G34" s="992"/>
      <c r="H34" s="993"/>
      <c r="M34" s="3"/>
    </row>
    <row r="36" spans="1:13">
      <c r="E36" s="565" t="s">
        <v>85</v>
      </c>
      <c r="F36" s="565" t="s">
        <v>86</v>
      </c>
      <c r="G36" s="565" t="s">
        <v>87</v>
      </c>
      <c r="H36" s="565" t="s">
        <v>88</v>
      </c>
      <c r="I36" s="565" t="s">
        <v>89</v>
      </c>
      <c r="J36" s="565" t="s">
        <v>90</v>
      </c>
      <c r="K36" s="565" t="s">
        <v>92</v>
      </c>
      <c r="L36" s="535"/>
      <c r="M36" s="535"/>
    </row>
    <row r="37" spans="1:13" ht="43.05" customHeight="1">
      <c r="E37" s="535"/>
      <c r="F37" s="541" t="s">
        <v>523</v>
      </c>
      <c r="G37" s="566" t="s">
        <v>549</v>
      </c>
      <c r="H37" s="565" t="s">
        <v>550</v>
      </c>
      <c r="I37" s="535"/>
      <c r="J37" s="565" t="s">
        <v>551</v>
      </c>
      <c r="K37" s="566" t="s">
        <v>552</v>
      </c>
      <c r="L37" s="535"/>
      <c r="M37" s="535"/>
    </row>
    <row r="38" spans="1:13" ht="61.5" customHeight="1">
      <c r="A38" s="536" t="s">
        <v>5</v>
      </c>
      <c r="B38" s="536"/>
      <c r="C38" s="550" t="s">
        <v>527</v>
      </c>
      <c r="E38" s="601" t="s">
        <v>610</v>
      </c>
      <c r="F38" s="551" t="s">
        <v>528</v>
      </c>
      <c r="G38" s="552" t="s">
        <v>529</v>
      </c>
      <c r="H38" s="552" t="s">
        <v>530</v>
      </c>
      <c r="I38" s="552" t="s">
        <v>531</v>
      </c>
      <c r="J38" s="552" t="s">
        <v>609</v>
      </c>
      <c r="K38" s="552" t="s">
        <v>608</v>
      </c>
    </row>
    <row r="40" spans="1:13">
      <c r="A40" s="544">
        <v>7</v>
      </c>
      <c r="B40" s="544" t="s">
        <v>522</v>
      </c>
      <c r="C40" s="553" t="s">
        <v>532</v>
      </c>
      <c r="E40" s="554">
        <v>0</v>
      </c>
      <c r="F40" s="188">
        <f>E10+G10+I10+K10</f>
        <v>0</v>
      </c>
      <c r="G40" s="188">
        <f>(C13+E13+G13+I13+K13)</f>
        <v>0</v>
      </c>
      <c r="H40" s="293">
        <f>E40-G40</f>
        <v>0</v>
      </c>
      <c r="I40" s="554">
        <v>0</v>
      </c>
      <c r="J40" s="555">
        <f>H40-I40</f>
        <v>0</v>
      </c>
      <c r="K40" s="555">
        <f>E40-I40-J40</f>
        <v>0</v>
      </c>
    </row>
    <row r="41" spans="1:13">
      <c r="H41" s="293"/>
      <c r="I41" s="556"/>
      <c r="J41" s="293"/>
      <c r="K41" s="293"/>
    </row>
    <row r="42" spans="1:13">
      <c r="A42" s="544">
        <v>8</v>
      </c>
      <c r="B42" s="544" t="s">
        <v>522</v>
      </c>
      <c r="C42" s="553" t="s">
        <v>533</v>
      </c>
      <c r="E42" s="554">
        <v>0</v>
      </c>
      <c r="F42" s="188">
        <f>E16+G16+I16+K16</f>
        <v>0</v>
      </c>
      <c r="G42" s="188">
        <f>(C19+E19+G19+I19+K19)</f>
        <v>0</v>
      </c>
      <c r="H42" s="293">
        <f>E42-G42</f>
        <v>0</v>
      </c>
      <c r="I42" s="554">
        <v>0</v>
      </c>
      <c r="J42" s="555">
        <f>H42-I42</f>
        <v>0</v>
      </c>
      <c r="K42" s="555">
        <f>-E42+I42+J42</f>
        <v>0</v>
      </c>
    </row>
    <row r="43" spans="1:13">
      <c r="A43" s="544"/>
      <c r="B43" s="544"/>
      <c r="H43" s="293"/>
      <c r="I43" s="556"/>
      <c r="J43" s="293"/>
      <c r="K43" s="293"/>
    </row>
    <row r="44" spans="1:13">
      <c r="A44" s="544">
        <v>9</v>
      </c>
      <c r="B44" s="544" t="s">
        <v>522</v>
      </c>
      <c r="C44" s="553" t="s">
        <v>534</v>
      </c>
      <c r="E44" s="554">
        <v>0</v>
      </c>
      <c r="F44" s="188">
        <f>E22+G22+I22+K22</f>
        <v>0</v>
      </c>
      <c r="G44" s="188">
        <f>(C25+E25+G25+I25+K25)</f>
        <v>0</v>
      </c>
      <c r="H44" s="293">
        <f>E44-G44</f>
        <v>0</v>
      </c>
      <c r="I44" s="554">
        <v>0</v>
      </c>
      <c r="J44" s="555">
        <f>H44-I44</f>
        <v>0</v>
      </c>
      <c r="K44" s="555">
        <f>-E44+I44+J44</f>
        <v>0</v>
      </c>
    </row>
    <row r="45" spans="1:13">
      <c r="A45" s="544"/>
      <c r="B45" s="544"/>
      <c r="H45" s="293"/>
      <c r="I45" s="556"/>
      <c r="J45" s="293"/>
      <c r="K45" s="293"/>
    </row>
    <row r="46" spans="1:13">
      <c r="A46" s="544">
        <v>10</v>
      </c>
      <c r="B46" s="544" t="s">
        <v>522</v>
      </c>
      <c r="C46" s="553" t="s">
        <v>535</v>
      </c>
      <c r="E46" s="293">
        <f>E40-E42-E44</f>
        <v>0</v>
      </c>
      <c r="F46" s="293">
        <f>F40-F42-F44</f>
        <v>0</v>
      </c>
      <c r="G46" s="293">
        <f>G40-G42-G44</f>
        <v>0</v>
      </c>
      <c r="H46" s="293">
        <f>H40-H42-H44</f>
        <v>0</v>
      </c>
      <c r="I46" s="293">
        <f>I40+I42+I44</f>
        <v>0</v>
      </c>
      <c r="J46" s="293">
        <f>J40+J42+J44</f>
        <v>0</v>
      </c>
      <c r="K46" s="293">
        <f>K40+K42+K44</f>
        <v>0</v>
      </c>
    </row>
    <row r="47" spans="1:13">
      <c r="A47" s="544"/>
      <c r="B47" s="544"/>
      <c r="E47" s="585"/>
      <c r="F47" s="585"/>
      <c r="G47" s="585"/>
    </row>
    <row r="48" spans="1:13">
      <c r="A48" s="544"/>
      <c r="B48" s="544"/>
      <c r="E48" s="585"/>
      <c r="F48" s="585"/>
      <c r="G48" s="585"/>
      <c r="I48" s="812"/>
      <c r="J48" s="812"/>
      <c r="K48" s="812"/>
    </row>
    <row r="49" spans="1:13">
      <c r="A49" s="544"/>
      <c r="B49" s="544"/>
      <c r="E49" s="585"/>
      <c r="F49" s="585"/>
      <c r="G49" s="585"/>
      <c r="I49" s="812"/>
      <c r="J49" s="812"/>
      <c r="K49" s="812"/>
    </row>
    <row r="50" spans="1:13">
      <c r="A50" s="544"/>
      <c r="B50" s="544"/>
      <c r="E50" s="585"/>
      <c r="F50" s="585"/>
      <c r="G50" s="585"/>
      <c r="I50" s="812"/>
      <c r="J50" s="812"/>
      <c r="K50" s="812"/>
      <c r="M50" s="293"/>
    </row>
    <row r="51" spans="1:13">
      <c r="A51" s="544"/>
      <c r="B51" s="184" t="s">
        <v>536</v>
      </c>
      <c r="E51" s="585"/>
      <c r="F51" s="585"/>
      <c r="G51" s="585"/>
      <c r="I51" s="812"/>
      <c r="J51" s="812"/>
      <c r="K51" s="812"/>
    </row>
    <row r="52" spans="1:13">
      <c r="A52" s="544"/>
      <c r="B52" s="994" t="s">
        <v>826</v>
      </c>
      <c r="C52" s="995"/>
      <c r="D52" s="995"/>
      <c r="E52" s="995"/>
      <c r="F52" s="995"/>
      <c r="G52" s="995"/>
      <c r="I52" s="812"/>
      <c r="J52" s="812"/>
      <c r="K52" s="812"/>
    </row>
    <row r="53" spans="1:13">
      <c r="A53" s="544"/>
      <c r="B53" s="941" t="s">
        <v>997</v>
      </c>
      <c r="C53" s="941"/>
      <c r="D53" s="941"/>
      <c r="E53" s="941"/>
      <c r="F53" s="941"/>
      <c r="G53" s="553"/>
      <c r="I53" s="812"/>
      <c r="J53" s="812"/>
      <c r="K53" s="812"/>
    </row>
    <row r="54" spans="1:13">
      <c r="A54" s="544"/>
    </row>
    <row r="55" spans="1:13">
      <c r="A55" s="544"/>
    </row>
    <row r="56" spans="1:13">
      <c r="A56" s="544"/>
    </row>
  </sheetData>
  <mergeCells count="3">
    <mergeCell ref="E7:L7"/>
    <mergeCell ref="G34:H34"/>
    <mergeCell ref="B52:G52"/>
  </mergeCells>
  <pageMargins left="0.7" right="0.7" top="0.75" bottom="0.75" header="0.3" footer="0.3"/>
  <pageSetup scale="50" orientation="landscape" r:id="rId1"/>
  <colBreaks count="1" manualBreakCount="1">
    <brk id="13" max="36"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dimension ref="A1:M79"/>
  <sheetViews>
    <sheetView view="pageBreakPreview" zoomScale="60" zoomScaleNormal="90" workbookViewId="0">
      <selection activeCell="G3" sqref="G3"/>
    </sheetView>
  </sheetViews>
  <sheetFormatPr defaultColWidth="8.81640625" defaultRowHeight="14.4"/>
  <cols>
    <col min="1" max="1" width="8.81640625" style="183"/>
    <col min="2" max="2" width="9" style="183" customWidth="1"/>
    <col min="3" max="3" width="27.26953125" style="183" customWidth="1"/>
    <col min="4" max="4" width="3.08984375" style="183" customWidth="1"/>
    <col min="5" max="5" width="14.81640625" style="183" customWidth="1"/>
    <col min="6" max="6" width="15.26953125" style="183" customWidth="1"/>
    <col min="7" max="8" width="13.7265625" style="183" customWidth="1"/>
    <col min="9" max="9" width="13.54296875" style="183" customWidth="1"/>
    <col min="10" max="10" width="16.54296875" style="183" customWidth="1"/>
    <col min="11" max="11" width="15.26953125" style="183" customWidth="1"/>
    <col min="12" max="12" width="12.81640625" style="183" customWidth="1"/>
    <col min="13" max="13" width="17.08984375" style="183" customWidth="1"/>
    <col min="14" max="16384" width="8.81640625" style="183"/>
  </cols>
  <sheetData>
    <row r="1" spans="1:13" ht="15.6">
      <c r="M1" s="3" t="s">
        <v>1037</v>
      </c>
    </row>
    <row r="2" spans="1:13" ht="15.6">
      <c r="M2" s="3" t="s">
        <v>1028</v>
      </c>
    </row>
    <row r="3" spans="1:13" ht="15.6">
      <c r="M3" s="3" t="s">
        <v>147</v>
      </c>
    </row>
    <row r="4" spans="1:13" ht="15.6">
      <c r="M4" s="3" t="str">
        <f>'Attachment 1 - Sched 1A'!$J$3</f>
        <v>For the 12 months ended 12/31/2022</v>
      </c>
    </row>
    <row r="5" spans="1:13" ht="15.6">
      <c r="C5" s="40"/>
    </row>
    <row r="6" spans="1:13" ht="15" thickBot="1">
      <c r="C6" s="535" t="s">
        <v>75</v>
      </c>
      <c r="D6" s="188"/>
      <c r="E6" s="535" t="s">
        <v>76</v>
      </c>
      <c r="F6" s="535" t="s">
        <v>77</v>
      </c>
      <c r="G6" s="535" t="s">
        <v>78</v>
      </c>
      <c r="H6" s="535" t="s">
        <v>79</v>
      </c>
      <c r="I6" s="535" t="s">
        <v>80</v>
      </c>
      <c r="J6" s="535" t="s">
        <v>81</v>
      </c>
      <c r="K6" s="535" t="s">
        <v>83</v>
      </c>
      <c r="L6" s="535" t="s">
        <v>84</v>
      </c>
    </row>
    <row r="7" spans="1:13" ht="15" thickBot="1">
      <c r="A7" s="536" t="s">
        <v>5</v>
      </c>
      <c r="B7" s="536"/>
      <c r="C7" s="537"/>
      <c r="D7" s="291"/>
      <c r="E7" s="990" t="s">
        <v>1159</v>
      </c>
      <c r="F7" s="990"/>
      <c r="G7" s="990"/>
      <c r="H7" s="990"/>
      <c r="I7" s="990"/>
      <c r="J7" s="990"/>
      <c r="K7" s="990"/>
      <c r="L7" s="991"/>
    </row>
    <row r="8" spans="1:13">
      <c r="C8" s="185"/>
      <c r="E8" s="186"/>
      <c r="F8" s="186"/>
      <c r="G8" s="186"/>
      <c r="H8" s="186"/>
      <c r="I8" s="186"/>
      <c r="J8" s="186"/>
      <c r="K8" s="186"/>
      <c r="L8" s="187"/>
    </row>
    <row r="9" spans="1:13" ht="28.8">
      <c r="C9" s="539" t="s">
        <v>555</v>
      </c>
      <c r="D9" s="540"/>
      <c r="E9" s="541" t="s">
        <v>501</v>
      </c>
      <c r="F9" s="542" t="s">
        <v>502</v>
      </c>
      <c r="G9" s="541" t="s">
        <v>503</v>
      </c>
      <c r="H9" s="542" t="s">
        <v>504</v>
      </c>
      <c r="I9" s="541" t="s">
        <v>505</v>
      </c>
      <c r="J9" s="542" t="s">
        <v>506</v>
      </c>
      <c r="K9" s="541" t="s">
        <v>507</v>
      </c>
      <c r="L9" s="543" t="s">
        <v>508</v>
      </c>
    </row>
    <row r="10" spans="1:13">
      <c r="A10" s="544">
        <v>1</v>
      </c>
      <c r="B10" s="535" t="s">
        <v>522</v>
      </c>
      <c r="C10" s="545">
        <v>53959020.882022552</v>
      </c>
      <c r="D10" s="188"/>
      <c r="E10" s="546">
        <v>-787747.22651819605</v>
      </c>
      <c r="F10" s="188">
        <f>SUM(C10:E10)</f>
        <v>53171273.655504353</v>
      </c>
      <c r="G10" s="546">
        <v>-787747.22651821375</v>
      </c>
      <c r="H10" s="188">
        <f>SUM(F10:G10)</f>
        <v>52383526.42898614</v>
      </c>
      <c r="I10" s="546">
        <v>-787747.22651821282</v>
      </c>
      <c r="J10" s="188">
        <f>SUM(H10:I10)</f>
        <v>51595779.202467926</v>
      </c>
      <c r="K10" s="546">
        <v>-2084051.8631004682</v>
      </c>
      <c r="L10" s="191">
        <f>SUM(J10:K10)</f>
        <v>49511727.339367457</v>
      </c>
    </row>
    <row r="11" spans="1:13">
      <c r="A11" s="544">
        <v>2</v>
      </c>
      <c r="B11" s="535" t="s">
        <v>537</v>
      </c>
      <c r="C11" s="545">
        <v>53619210.293546513</v>
      </c>
      <c r="D11" s="188"/>
      <c r="E11" s="546">
        <v>3953563.4412846044</v>
      </c>
      <c r="F11" s="188">
        <f>SUM(C11:E11)</f>
        <v>57572773.734831117</v>
      </c>
      <c r="G11" s="546">
        <v>3184380.4738802239</v>
      </c>
      <c r="H11" s="188">
        <f>SUM(F11:G11)</f>
        <v>60757154.208711341</v>
      </c>
      <c r="I11" s="546">
        <v>3275276.9008746892</v>
      </c>
      <c r="J11" s="188">
        <f>SUM(H11:I11)</f>
        <v>64032431.10958603</v>
      </c>
      <c r="K11" s="546">
        <v>12077854.451924682</v>
      </c>
      <c r="L11" s="191">
        <f>SUM(J11:K11)</f>
        <v>76110285.561510712</v>
      </c>
      <c r="M11" s="585"/>
    </row>
    <row r="12" spans="1:13">
      <c r="C12" s="193"/>
      <c r="D12" s="188"/>
      <c r="E12" s="188"/>
      <c r="F12" s="188"/>
      <c r="G12" s="188"/>
      <c r="H12" s="188"/>
      <c r="I12" s="188"/>
      <c r="J12" s="188"/>
      <c r="K12" s="188"/>
      <c r="L12" s="191"/>
    </row>
    <row r="13" spans="1:13" ht="28.8">
      <c r="C13" s="547" t="str">
        <f>C9</f>
        <v xml:space="preserve">Beginning 190 (including adjustments) </v>
      </c>
      <c r="D13" s="188"/>
      <c r="E13" s="189" t="s">
        <v>356</v>
      </c>
      <c r="F13" s="188"/>
      <c r="G13" s="189" t="s">
        <v>357</v>
      </c>
      <c r="H13" s="188"/>
      <c r="I13" s="189" t="s">
        <v>358</v>
      </c>
      <c r="J13" s="188"/>
      <c r="K13" s="189" t="s">
        <v>359</v>
      </c>
      <c r="L13" s="191"/>
    </row>
    <row r="14" spans="1:13">
      <c r="A14" s="544">
        <v>3</v>
      </c>
      <c r="B14" s="535" t="s">
        <v>522</v>
      </c>
      <c r="C14" s="190">
        <f>C10</f>
        <v>53959020.882022552</v>
      </c>
      <c r="D14" s="188"/>
      <c r="E14" s="189">
        <f>(276/365)*E10</f>
        <v>-595666.39594252629</v>
      </c>
      <c r="F14" s="188"/>
      <c r="G14" s="189">
        <f>(185/365)*G10</f>
        <v>-399269.14220786176</v>
      </c>
      <c r="H14" s="188"/>
      <c r="I14" s="189">
        <f>(93/365)*I10</f>
        <v>-200713.67689368164</v>
      </c>
      <c r="J14" s="188"/>
      <c r="K14" s="189">
        <f>(1/365)*K10</f>
        <v>-5709.731131782105</v>
      </c>
      <c r="L14" s="191"/>
      <c r="M14" s="586"/>
    </row>
    <row r="15" spans="1:13">
      <c r="A15" s="544">
        <v>4</v>
      </c>
      <c r="B15" s="535" t="s">
        <v>537</v>
      </c>
      <c r="C15" s="190">
        <f>C11</f>
        <v>53619210.293546513</v>
      </c>
      <c r="D15" s="188"/>
      <c r="E15" s="189">
        <f>(276/365)*E11</f>
        <v>2989543.8624508241</v>
      </c>
      <c r="F15" s="188"/>
      <c r="G15" s="189">
        <f>(185/365)*G11</f>
        <v>1614001.0621036752</v>
      </c>
      <c r="H15" s="188"/>
      <c r="I15" s="189">
        <f>(93/365)*I11</f>
        <v>834522.60762012633</v>
      </c>
      <c r="J15" s="188"/>
      <c r="K15" s="189">
        <f>(1/365)*K11</f>
        <v>33090.012197053926</v>
      </c>
      <c r="L15" s="191"/>
      <c r="M15" s="586"/>
    </row>
    <row r="16" spans="1:13">
      <c r="C16" s="190"/>
      <c r="D16" s="188"/>
      <c r="E16" s="189"/>
      <c r="F16" s="188"/>
      <c r="G16" s="189"/>
      <c r="H16" s="188"/>
      <c r="I16" s="189"/>
      <c r="J16" s="188"/>
      <c r="K16" s="189"/>
      <c r="L16" s="191"/>
      <c r="M16" s="586"/>
    </row>
    <row r="17" spans="1:13" ht="28.8">
      <c r="C17" s="547" t="s">
        <v>554</v>
      </c>
      <c r="D17" s="188"/>
      <c r="E17" s="541" t="s">
        <v>501</v>
      </c>
      <c r="F17" s="542" t="s">
        <v>502</v>
      </c>
      <c r="G17" s="541" t="s">
        <v>503</v>
      </c>
      <c r="H17" s="542" t="s">
        <v>504</v>
      </c>
      <c r="I17" s="541" t="s">
        <v>505</v>
      </c>
      <c r="J17" s="542" t="s">
        <v>506</v>
      </c>
      <c r="K17" s="541" t="s">
        <v>507</v>
      </c>
      <c r="L17" s="543" t="s">
        <v>508</v>
      </c>
      <c r="M17" s="586"/>
    </row>
    <row r="18" spans="1:13">
      <c r="A18" s="544">
        <v>5</v>
      </c>
      <c r="B18" s="535" t="s">
        <v>522</v>
      </c>
      <c r="C18" s="545">
        <v>424050783.06008935</v>
      </c>
      <c r="D18" s="188"/>
      <c r="E18" s="546">
        <v>5570863.0926338136</v>
      </c>
      <c r="F18" s="188">
        <f>SUM(C18:E18)</f>
        <v>429621646.15272319</v>
      </c>
      <c r="G18" s="546">
        <v>5570863.0926339477</v>
      </c>
      <c r="H18" s="188">
        <f>SUM(F18:G18)</f>
        <v>435192509.24535716</v>
      </c>
      <c r="I18" s="546">
        <v>5570863.0926337242</v>
      </c>
      <c r="J18" s="188">
        <f>SUM(H18:I18)</f>
        <v>440763372.33799088</v>
      </c>
      <c r="K18" s="546">
        <v>5570863.0926338583</v>
      </c>
      <c r="L18" s="191">
        <f>SUM(J18:K18)</f>
        <v>446334235.43062472</v>
      </c>
      <c r="M18" s="586"/>
    </row>
    <row r="19" spans="1:13">
      <c r="A19" s="544">
        <v>6</v>
      </c>
      <c r="B19" s="535" t="s">
        <v>537</v>
      </c>
      <c r="C19" s="545">
        <v>413369495.67564261</v>
      </c>
      <c r="D19" s="188"/>
      <c r="E19" s="546">
        <v>2418351.4033787251</v>
      </c>
      <c r="F19" s="188">
        <f>SUM(C19:E19)</f>
        <v>415787847.07902133</v>
      </c>
      <c r="G19" s="546">
        <v>2418351.4033784866</v>
      </c>
      <c r="H19" s="188">
        <f>SUM(F19:G19)</f>
        <v>418206198.48239982</v>
      </c>
      <c r="I19" s="546">
        <v>299916.4189799428</v>
      </c>
      <c r="J19" s="188">
        <f>SUM(H19:I19)</f>
        <v>418506114.90137976</v>
      </c>
      <c r="K19" s="546">
        <v>11631099.437853754</v>
      </c>
      <c r="L19" s="191">
        <f>SUM(J19:K19)</f>
        <v>430137214.33923352</v>
      </c>
      <c r="M19" s="585"/>
    </row>
    <row r="20" spans="1:13">
      <c r="C20" s="193"/>
      <c r="D20" s="188"/>
      <c r="E20" s="188"/>
      <c r="F20" s="188"/>
      <c r="G20" s="188"/>
      <c r="H20" s="188"/>
      <c r="I20" s="188"/>
      <c r="J20" s="188"/>
      <c r="K20" s="188"/>
      <c r="L20" s="191"/>
      <c r="M20" s="586"/>
    </row>
    <row r="21" spans="1:13" ht="28.8">
      <c r="C21" s="547" t="str">
        <f>C17</f>
        <v xml:space="preserve">Beginning 282 (including adjustments) </v>
      </c>
      <c r="D21" s="188"/>
      <c r="E21" s="189" t="s">
        <v>356</v>
      </c>
      <c r="F21" s="188"/>
      <c r="G21" s="189" t="s">
        <v>357</v>
      </c>
      <c r="H21" s="188"/>
      <c r="I21" s="189" t="s">
        <v>358</v>
      </c>
      <c r="J21" s="188"/>
      <c r="K21" s="189" t="s">
        <v>359</v>
      </c>
      <c r="L21" s="191"/>
      <c r="M21" s="586"/>
    </row>
    <row r="22" spans="1:13">
      <c r="A22" s="544">
        <v>7</v>
      </c>
      <c r="B22" s="535" t="s">
        <v>522</v>
      </c>
      <c r="C22" s="190">
        <f>C18</f>
        <v>424050783.06008935</v>
      </c>
      <c r="D22" s="188"/>
      <c r="E22" s="189">
        <f>(276/365)*E18</f>
        <v>4212488.2563477606</v>
      </c>
      <c r="F22" s="188"/>
      <c r="G22" s="189">
        <f>(185/365)*G18</f>
        <v>2823588.1428418639</v>
      </c>
      <c r="H22" s="188"/>
      <c r="I22" s="189">
        <f>(93/365)*I18</f>
        <v>1419425.3907258532</v>
      </c>
      <c r="J22" s="188"/>
      <c r="K22" s="189">
        <f>(1/365)*K18</f>
        <v>15262.638609955777</v>
      </c>
      <c r="L22" s="191"/>
      <c r="M22" s="586"/>
    </row>
    <row r="23" spans="1:13">
      <c r="A23" s="544">
        <v>8</v>
      </c>
      <c r="B23" s="535" t="s">
        <v>537</v>
      </c>
      <c r="C23" s="190">
        <f>C19</f>
        <v>413369495.67564261</v>
      </c>
      <c r="D23" s="188"/>
      <c r="E23" s="189">
        <f>(276/365)*E19</f>
        <v>1828671.1981713099</v>
      </c>
      <c r="F23" s="188"/>
      <c r="G23" s="189">
        <f>(185/365)*G19</f>
        <v>1225739.7523973151</v>
      </c>
      <c r="H23" s="188"/>
      <c r="I23" s="189">
        <f>(93/365)*I19</f>
        <v>76417.060178451182</v>
      </c>
      <c r="J23" s="188"/>
      <c r="K23" s="189">
        <f>(1/365)*K19</f>
        <v>31866.025857133573</v>
      </c>
      <c r="L23" s="191"/>
      <c r="M23" s="586"/>
    </row>
    <row r="24" spans="1:13">
      <c r="C24" s="190"/>
      <c r="D24" s="188"/>
      <c r="E24" s="189"/>
      <c r="F24" s="188"/>
      <c r="G24" s="189"/>
      <c r="H24" s="188"/>
      <c r="I24" s="189"/>
      <c r="J24" s="188"/>
      <c r="K24" s="189"/>
      <c r="L24" s="191"/>
      <c r="M24" s="586"/>
    </row>
    <row r="25" spans="1:13" ht="28.8">
      <c r="C25" s="547" t="s">
        <v>847</v>
      </c>
      <c r="D25" s="188"/>
      <c r="E25" s="541" t="s">
        <v>501</v>
      </c>
      <c r="F25" s="542" t="s">
        <v>502</v>
      </c>
      <c r="G25" s="541" t="s">
        <v>503</v>
      </c>
      <c r="H25" s="542" t="s">
        <v>504</v>
      </c>
      <c r="I25" s="541" t="s">
        <v>505</v>
      </c>
      <c r="J25" s="542" t="s">
        <v>506</v>
      </c>
      <c r="K25" s="541" t="s">
        <v>507</v>
      </c>
      <c r="L25" s="543" t="s">
        <v>508</v>
      </c>
      <c r="M25" s="586"/>
    </row>
    <row r="26" spans="1:13">
      <c r="A26" s="544">
        <v>9</v>
      </c>
      <c r="B26" s="535" t="s">
        <v>522</v>
      </c>
      <c r="C26" s="545">
        <v>11957082.945053462</v>
      </c>
      <c r="D26" s="188"/>
      <c r="E26" s="546">
        <v>-6228.5157450251281</v>
      </c>
      <c r="F26" s="188">
        <f>SUM(C26:E26)</f>
        <v>11950854.429308437</v>
      </c>
      <c r="G26" s="546">
        <v>-6228.5157450214028</v>
      </c>
      <c r="H26" s="188">
        <f>SUM(F26:G26)</f>
        <v>11944625.913563415</v>
      </c>
      <c r="I26" s="546">
        <v>-6228.5157450288534</v>
      </c>
      <c r="J26" s="188">
        <f>SUM(H26:I26)</f>
        <v>11938397.397818387</v>
      </c>
      <c r="K26" s="546">
        <v>-6228.5157450288534</v>
      </c>
      <c r="L26" s="191">
        <f>SUM(J26:K26)</f>
        <v>11932168.882073358</v>
      </c>
      <c r="M26" s="586"/>
    </row>
    <row r="27" spans="1:13">
      <c r="A27" s="544">
        <v>10</v>
      </c>
      <c r="B27" s="535" t="s">
        <v>537</v>
      </c>
      <c r="C27" s="545">
        <v>11300216.002658151</v>
      </c>
      <c r="D27" s="188"/>
      <c r="E27" s="546">
        <v>279686.30672350898</v>
      </c>
      <c r="F27" s="188">
        <f>SUM(C27:E27)</f>
        <v>11579902.30938166</v>
      </c>
      <c r="G27" s="557">
        <v>-226027.53634731844</v>
      </c>
      <c r="H27" s="188">
        <f>SUM(F27:G27)</f>
        <v>11353874.773034342</v>
      </c>
      <c r="I27" s="546">
        <v>3888.6319695785642</v>
      </c>
      <c r="J27" s="188">
        <f>SUM(H27:I27)</f>
        <v>11357763.40500392</v>
      </c>
      <c r="K27" s="546">
        <v>-183736.22068139166</v>
      </c>
      <c r="L27" s="191">
        <f>SUM(J27:K27)</f>
        <v>11174027.184322529</v>
      </c>
      <c r="M27" s="585"/>
    </row>
    <row r="28" spans="1:13">
      <c r="C28" s="193"/>
      <c r="D28" s="188"/>
      <c r="E28" s="188"/>
      <c r="F28" s="188"/>
      <c r="G28" s="188"/>
      <c r="H28" s="188"/>
      <c r="I28" s="188"/>
      <c r="J28" s="188"/>
      <c r="K28" s="188"/>
      <c r="L28" s="191"/>
      <c r="M28" s="586"/>
    </row>
    <row r="29" spans="1:13" ht="28.8">
      <c r="B29" s="549"/>
      <c r="C29" s="547" t="str">
        <f>C25</f>
        <v xml:space="preserve">Beginning 283 (Including adjustments) </v>
      </c>
      <c r="D29" s="188"/>
      <c r="E29" s="189" t="s">
        <v>356</v>
      </c>
      <c r="F29" s="188"/>
      <c r="G29" s="189" t="s">
        <v>357</v>
      </c>
      <c r="H29" s="188"/>
      <c r="I29" s="189" t="s">
        <v>358</v>
      </c>
      <c r="J29" s="188"/>
      <c r="K29" s="189" t="s">
        <v>359</v>
      </c>
      <c r="L29" s="191"/>
      <c r="M29" s="586"/>
    </row>
    <row r="30" spans="1:13">
      <c r="A30" s="544">
        <v>11</v>
      </c>
      <c r="B30" s="535" t="s">
        <v>522</v>
      </c>
      <c r="C30" s="190">
        <f>C26</f>
        <v>11957082.945053462</v>
      </c>
      <c r="D30" s="188"/>
      <c r="E30" s="189">
        <f>(276/365)*E26</f>
        <v>-4709.7817688409186</v>
      </c>
      <c r="F30" s="188"/>
      <c r="G30" s="189">
        <f>(185/365)*G26</f>
        <v>-3156.9189392574235</v>
      </c>
      <c r="H30" s="188"/>
      <c r="I30" s="189">
        <f>(93/365)*I26</f>
        <v>-1586.9916829799545</v>
      </c>
      <c r="J30" s="188"/>
      <c r="K30" s="189">
        <f>(1/365)*K26</f>
        <v>-17.064426698709187</v>
      </c>
      <c r="L30" s="191"/>
      <c r="M30" s="586"/>
    </row>
    <row r="31" spans="1:13" ht="15" thickBot="1">
      <c r="A31" s="544">
        <v>12</v>
      </c>
      <c r="B31" s="535" t="s">
        <v>537</v>
      </c>
      <c r="C31" s="313">
        <f>C27</f>
        <v>11300216.002658151</v>
      </c>
      <c r="D31" s="291"/>
      <c r="E31" s="407">
        <f>(276/365)*E27</f>
        <v>211488.82371421502</v>
      </c>
      <c r="F31" s="291"/>
      <c r="G31" s="407">
        <f>(185/365)*G27</f>
        <v>-114561.9019842573</v>
      </c>
      <c r="H31" s="291"/>
      <c r="I31" s="407">
        <f>(93/365)*I27</f>
        <v>990.80211827618211</v>
      </c>
      <c r="J31" s="291"/>
      <c r="K31" s="407">
        <f>(1/365)*K27</f>
        <v>-503.38690597641551</v>
      </c>
      <c r="L31" s="558"/>
    </row>
    <row r="33" spans="1:13">
      <c r="C33" s="188"/>
      <c r="D33" s="188"/>
      <c r="E33" s="188"/>
      <c r="F33" s="188"/>
      <c r="G33" s="188"/>
      <c r="H33" s="188"/>
      <c r="I33" s="188"/>
      <c r="J33" s="188"/>
      <c r="K33" s="188"/>
      <c r="L33" s="188"/>
    </row>
    <row r="34" spans="1:13">
      <c r="C34" s="188"/>
      <c r="D34" s="188"/>
      <c r="E34" s="188"/>
      <c r="F34" s="188"/>
      <c r="G34" s="188"/>
      <c r="H34" s="188"/>
      <c r="I34" s="188"/>
      <c r="J34" s="188"/>
      <c r="K34" s="188"/>
      <c r="L34" s="188"/>
    </row>
    <row r="36" spans="1:13" ht="15.6">
      <c r="A36" s="571"/>
      <c r="M36" s="3" t="s">
        <v>1037</v>
      </c>
    </row>
    <row r="37" spans="1:13" ht="15.6">
      <c r="M37" s="3" t="s">
        <v>1028</v>
      </c>
    </row>
    <row r="38" spans="1:13" ht="15.6">
      <c r="M38" s="3" t="s">
        <v>150</v>
      </c>
    </row>
    <row r="39" spans="1:13" ht="15.6">
      <c r="M39" s="3" t="str">
        <f>'Attachment 1 - Sched 1A'!$J$3</f>
        <v>For the 12 months ended 12/31/2022</v>
      </c>
    </row>
    <row r="42" spans="1:13" ht="15.6">
      <c r="M42" s="3"/>
    </row>
    <row r="43" spans="1:13" ht="15.6">
      <c r="M43" s="3"/>
    </row>
    <row r="44" spans="1:13" ht="15.6">
      <c r="G44" s="996" t="s">
        <v>1163</v>
      </c>
      <c r="H44" s="993"/>
      <c r="M44" s="3"/>
    </row>
    <row r="46" spans="1:13">
      <c r="E46" s="535" t="s">
        <v>75</v>
      </c>
      <c r="F46" s="535" t="s">
        <v>76</v>
      </c>
      <c r="G46" s="535" t="s">
        <v>77</v>
      </c>
      <c r="H46" s="535" t="s">
        <v>78</v>
      </c>
      <c r="I46" s="535" t="s">
        <v>79</v>
      </c>
      <c r="J46" s="535" t="s">
        <v>80</v>
      </c>
      <c r="K46" s="535" t="s">
        <v>81</v>
      </c>
      <c r="L46" s="535"/>
      <c r="M46" s="535"/>
    </row>
    <row r="47" spans="1:13" ht="43.05" customHeight="1">
      <c r="E47" s="535"/>
      <c r="F47" s="541" t="s">
        <v>523</v>
      </c>
      <c r="G47" s="541" t="s">
        <v>524</v>
      </c>
      <c r="H47" s="535" t="s">
        <v>525</v>
      </c>
      <c r="I47" s="535"/>
      <c r="J47" s="535" t="s">
        <v>526</v>
      </c>
      <c r="K47" s="595" t="s">
        <v>562</v>
      </c>
      <c r="L47" s="535"/>
      <c r="M47" s="535"/>
    </row>
    <row r="48" spans="1:13" ht="61.5" customHeight="1">
      <c r="A48" s="536" t="s">
        <v>5</v>
      </c>
      <c r="B48" s="536"/>
      <c r="C48" s="550" t="s">
        <v>527</v>
      </c>
      <c r="E48" s="601" t="s">
        <v>610</v>
      </c>
      <c r="F48" s="551" t="s">
        <v>528</v>
      </c>
      <c r="G48" s="552" t="s">
        <v>529</v>
      </c>
      <c r="H48" s="552" t="s">
        <v>530</v>
      </c>
      <c r="I48" s="552" t="s">
        <v>531</v>
      </c>
      <c r="J48" s="552" t="s">
        <v>609</v>
      </c>
      <c r="K48" s="552" t="s">
        <v>608</v>
      </c>
    </row>
    <row r="50" spans="1:13">
      <c r="A50" s="544">
        <v>1</v>
      </c>
      <c r="B50" s="544" t="s">
        <v>522</v>
      </c>
      <c r="C50" s="553" t="s">
        <v>532</v>
      </c>
      <c r="E50" s="554">
        <v>54879555.161091544</v>
      </c>
      <c r="F50" s="188">
        <f>E10+G10+I10+K10</f>
        <v>-4447293.5426550908</v>
      </c>
      <c r="G50" s="188">
        <f>C14+E14+G14+I14+K14</f>
        <v>52757661.935846701</v>
      </c>
      <c r="H50" s="293">
        <f>E50-G50</f>
        <v>2121893.2252448425</v>
      </c>
      <c r="I50" s="554">
        <v>5367827.8217240833</v>
      </c>
      <c r="J50" s="555">
        <f>H50-I50</f>
        <v>-3245934.5964792408</v>
      </c>
      <c r="K50" s="555">
        <f>E50-I50-J50</f>
        <v>52757661.935846701</v>
      </c>
    </row>
    <row r="51" spans="1:13">
      <c r="H51" s="293"/>
      <c r="I51" s="556"/>
      <c r="J51" s="293"/>
      <c r="K51" s="293"/>
    </row>
    <row r="52" spans="1:13">
      <c r="A52" s="544">
        <v>2</v>
      </c>
      <c r="B52" s="544" t="s">
        <v>522</v>
      </c>
      <c r="C52" s="553" t="s">
        <v>533</v>
      </c>
      <c r="E52" s="554">
        <v>336601732.65637839</v>
      </c>
      <c r="F52" s="188">
        <f>E18+G18+I18+K18</f>
        <v>22283452.370535344</v>
      </c>
      <c r="G52" s="188">
        <f>C22+E22+G22+I22+K22</f>
        <v>432521547.4886148</v>
      </c>
      <c r="H52" s="293">
        <f>E52-G52</f>
        <v>-95919814.832236409</v>
      </c>
      <c r="I52" s="554">
        <v>-109732502.77424632</v>
      </c>
      <c r="J52" s="555">
        <f>H52-I52</f>
        <v>13812687.942009911</v>
      </c>
      <c r="K52" s="555">
        <f>-E52+I52+J52</f>
        <v>-432521547.4886148</v>
      </c>
    </row>
    <row r="53" spans="1:13">
      <c r="A53" s="544"/>
      <c r="B53" s="544"/>
      <c r="H53" s="293"/>
      <c r="I53" s="556"/>
      <c r="J53" s="293"/>
      <c r="K53" s="293"/>
    </row>
    <row r="54" spans="1:13">
      <c r="A54" s="544">
        <v>3</v>
      </c>
      <c r="B54" s="544" t="s">
        <v>522</v>
      </c>
      <c r="C54" s="553" t="s">
        <v>534</v>
      </c>
      <c r="E54" s="554">
        <v>-30886353.701281413</v>
      </c>
      <c r="F54" s="188">
        <f>E26+G26+I26+K26</f>
        <v>-24914.062980104238</v>
      </c>
      <c r="G54" s="188">
        <f>C30+E30+G30+I30+K30</f>
        <v>11947612.188235685</v>
      </c>
      <c r="H54" s="293">
        <f>E54-G54</f>
        <v>-42833965.889517099</v>
      </c>
      <c r="I54" s="554">
        <v>-42818522.583354779</v>
      </c>
      <c r="J54" s="555">
        <f>H54-I54</f>
        <v>-15443.306162320077</v>
      </c>
      <c r="K54" s="555">
        <f>-E54+I54+J54</f>
        <v>-11947612.188235685</v>
      </c>
    </row>
    <row r="55" spans="1:13">
      <c r="A55" s="544"/>
      <c r="B55" s="544"/>
      <c r="H55" s="293"/>
      <c r="I55" s="556"/>
      <c r="J55" s="293"/>
      <c r="K55" s="293"/>
    </row>
    <row r="56" spans="1:13">
      <c r="A56" s="544">
        <v>4</v>
      </c>
      <c r="B56" s="544" t="s">
        <v>522</v>
      </c>
      <c r="C56" s="553" t="s">
        <v>535</v>
      </c>
      <c r="E56" s="293">
        <f>E50-E52-E54</f>
        <v>-250835823.79400539</v>
      </c>
      <c r="F56" s="293">
        <f>F50-F52-F54</f>
        <v>-26705831.850210331</v>
      </c>
      <c r="G56" s="293">
        <f>G50-G52-G54</f>
        <v>-391711497.74100381</v>
      </c>
      <c r="H56" s="293">
        <f>H50-H52-H54</f>
        <v>140875673.94699836</v>
      </c>
      <c r="I56" s="293">
        <f>I50+I52+I54</f>
        <v>-147183197.53587702</v>
      </c>
      <c r="J56" s="293">
        <f>J50+J52+J54</f>
        <v>10551310.03936835</v>
      </c>
      <c r="K56" s="293">
        <f>K50+K52+K54</f>
        <v>-391711497.74100381</v>
      </c>
    </row>
    <row r="57" spans="1:13">
      <c r="A57" s="544"/>
      <c r="B57" s="544"/>
    </row>
    <row r="58" spans="1:13">
      <c r="A58" s="544"/>
      <c r="B58" s="544"/>
    </row>
    <row r="59" spans="1:13">
      <c r="A59" s="544"/>
      <c r="B59" s="544"/>
    </row>
    <row r="60" spans="1:13">
      <c r="A60" s="544"/>
      <c r="B60" s="544"/>
      <c r="K60" s="293"/>
      <c r="M60" s="293"/>
    </row>
    <row r="61" spans="1:13">
      <c r="A61" s="544"/>
      <c r="B61" s="544"/>
      <c r="G61" s="996" t="s">
        <v>1164</v>
      </c>
      <c r="H61" s="993"/>
    </row>
    <row r="62" spans="1:13">
      <c r="A62" s="544"/>
      <c r="B62" s="544"/>
    </row>
    <row r="63" spans="1:13">
      <c r="A63" s="544"/>
      <c r="B63" s="544"/>
      <c r="E63" s="535" t="s">
        <v>83</v>
      </c>
      <c r="F63" s="535" t="s">
        <v>84</v>
      </c>
      <c r="G63" s="535" t="s">
        <v>85</v>
      </c>
      <c r="H63" s="535" t="s">
        <v>86</v>
      </c>
      <c r="I63" s="535" t="s">
        <v>87</v>
      </c>
      <c r="J63" s="535" t="s">
        <v>88</v>
      </c>
      <c r="K63" s="535" t="s">
        <v>89</v>
      </c>
      <c r="L63" s="535" t="s">
        <v>90</v>
      </c>
      <c r="M63" s="535" t="s">
        <v>92</v>
      </c>
    </row>
    <row r="64" spans="1:13" ht="45" customHeight="1">
      <c r="A64" s="544"/>
      <c r="B64" s="544"/>
      <c r="E64" s="535"/>
      <c r="F64" s="541" t="s">
        <v>523</v>
      </c>
      <c r="G64" s="541" t="s">
        <v>538</v>
      </c>
      <c r="H64" s="535" t="s">
        <v>539</v>
      </c>
      <c r="I64" s="541" t="s">
        <v>540</v>
      </c>
      <c r="J64" s="535"/>
      <c r="K64" s="535" t="s">
        <v>541</v>
      </c>
      <c r="L64" s="535" t="s">
        <v>542</v>
      </c>
      <c r="M64" s="595" t="s">
        <v>563</v>
      </c>
    </row>
    <row r="65" spans="1:13" ht="59.55" customHeight="1">
      <c r="A65" s="544"/>
      <c r="B65" s="544"/>
      <c r="C65" s="550" t="s">
        <v>527</v>
      </c>
      <c r="E65" s="601" t="s">
        <v>611</v>
      </c>
      <c r="F65" s="552" t="s">
        <v>543</v>
      </c>
      <c r="G65" s="552" t="s">
        <v>529</v>
      </c>
      <c r="H65" s="552" t="s">
        <v>544</v>
      </c>
      <c r="I65" s="552" t="s">
        <v>545</v>
      </c>
      <c r="J65" s="552" t="s">
        <v>531</v>
      </c>
      <c r="K65" s="552" t="s">
        <v>546</v>
      </c>
      <c r="L65" s="552" t="s">
        <v>609</v>
      </c>
      <c r="M65" s="552" t="s">
        <v>608</v>
      </c>
    </row>
    <row r="66" spans="1:13">
      <c r="A66" s="544"/>
      <c r="B66" s="544"/>
    </row>
    <row r="67" spans="1:13">
      <c r="A67" s="544">
        <v>5</v>
      </c>
      <c r="B67" s="544" t="s">
        <v>537</v>
      </c>
      <c r="C67" s="553" t="s">
        <v>532</v>
      </c>
      <c r="E67" s="554">
        <v>71461615.708413392</v>
      </c>
      <c r="F67" s="188">
        <f>E11+G11+I11+K11</f>
        <v>22491075.267964199</v>
      </c>
      <c r="G67" s="188">
        <f>C15+E15+G15+I15+K15</f>
        <v>59090367.837918192</v>
      </c>
      <c r="H67" s="293">
        <f>E67-G67</f>
        <v>12371247.8704952</v>
      </c>
      <c r="I67" s="559">
        <f>H50-H67</f>
        <v>-10249354.645250358</v>
      </c>
      <c r="J67" s="554">
        <v>-4719887.4332667552</v>
      </c>
      <c r="K67" s="293">
        <f>I50-J67</f>
        <v>10087715.254990838</v>
      </c>
      <c r="L67" s="555">
        <f>H67+I67-J67-K67</f>
        <v>-3245934.5964792408</v>
      </c>
      <c r="M67" s="555">
        <f>E67-J67-L67</f>
        <v>79427437.738159388</v>
      </c>
    </row>
    <row r="68" spans="1:13">
      <c r="A68" s="544"/>
      <c r="B68" s="544"/>
      <c r="H68" s="293"/>
      <c r="I68" s="556"/>
      <c r="J68" s="556"/>
      <c r="L68" s="293"/>
      <c r="M68" s="555"/>
    </row>
    <row r="69" spans="1:13">
      <c r="A69" s="544">
        <v>6</v>
      </c>
      <c r="B69" s="544" t="s">
        <v>537</v>
      </c>
      <c r="C69" s="553" t="s">
        <v>533</v>
      </c>
      <c r="E69" s="554">
        <v>316953420.42042452</v>
      </c>
      <c r="F69" s="188">
        <f>E19+G19+I19+K19</f>
        <v>16767718.663590908</v>
      </c>
      <c r="G69" s="188">
        <f>C23+E23+G23+I23+K23</f>
        <v>416532189.71224684</v>
      </c>
      <c r="H69" s="293">
        <f>E69-G69</f>
        <v>-99578769.291822314</v>
      </c>
      <c r="I69" s="559">
        <f>H52-H69</f>
        <v>3658954.4595859051</v>
      </c>
      <c r="J69" s="554">
        <v>-113183793.91880897</v>
      </c>
      <c r="K69" s="293">
        <f>I52-J69</f>
        <v>3451291.1445626467</v>
      </c>
      <c r="L69" s="555">
        <f>H69+I69-J69-K69</f>
        <v>13812687.942009911</v>
      </c>
      <c r="M69" s="555">
        <f>-E69+J69+L69</f>
        <v>-416324526.39722359</v>
      </c>
    </row>
    <row r="70" spans="1:13">
      <c r="A70" s="544"/>
      <c r="B70" s="544"/>
      <c r="H70" s="293"/>
      <c r="I70" s="556"/>
      <c r="J70" s="556"/>
      <c r="L70" s="293"/>
      <c r="M70" s="555"/>
    </row>
    <row r="71" spans="1:13">
      <c r="A71" s="544">
        <v>7</v>
      </c>
      <c r="B71" s="544" t="s">
        <v>537</v>
      </c>
      <c r="C71" s="553" t="s">
        <v>534</v>
      </c>
      <c r="E71" s="554">
        <v>-32539785.615866404</v>
      </c>
      <c r="F71" s="188">
        <f>E27+G27+I27+K27</f>
        <v>-126188.81833562255</v>
      </c>
      <c r="G71" s="188">
        <f>C31+E31+G31+I31+K31</f>
        <v>11397630.339600408</v>
      </c>
      <c r="H71" s="293">
        <f>E71-G71</f>
        <v>-43937415.955466814</v>
      </c>
      <c r="I71" s="559">
        <f>H54-H71</f>
        <v>1103450.0659497157</v>
      </c>
      <c r="J71" s="554">
        <v>-43720897.010377049</v>
      </c>
      <c r="K71" s="293">
        <f>I54-J71</f>
        <v>902374.42702227086</v>
      </c>
      <c r="L71" s="555">
        <f>H71+I71-J71-K71</f>
        <v>-15443.306162320077</v>
      </c>
      <c r="M71" s="555">
        <f>-E71+J71+L71</f>
        <v>-11196554.700672965</v>
      </c>
    </row>
    <row r="72" spans="1:13">
      <c r="A72" s="544"/>
      <c r="B72" s="544"/>
      <c r="H72" s="293"/>
      <c r="I72" s="556"/>
      <c r="J72" s="556"/>
      <c r="L72" s="293"/>
      <c r="M72" s="293"/>
    </row>
    <row r="73" spans="1:13">
      <c r="A73" s="544">
        <v>8</v>
      </c>
      <c r="B73" s="544" t="s">
        <v>537</v>
      </c>
      <c r="C73" s="553" t="s">
        <v>535</v>
      </c>
      <c r="E73" s="293">
        <f>E67-E69-E71</f>
        <v>-212952019.09614474</v>
      </c>
      <c r="F73" s="293">
        <f>F67-F69-F71</f>
        <v>5849545.4227089137</v>
      </c>
      <c r="G73" s="293">
        <f>G67-G69-G71</f>
        <v>-368839452.213929</v>
      </c>
      <c r="H73" s="293">
        <f>H67-H69-H71</f>
        <v>155887433.11778432</v>
      </c>
      <c r="I73" s="293">
        <f>I67+I69+I71</f>
        <v>-5486950.1197147369</v>
      </c>
      <c r="J73" s="293">
        <f>J67+J69+J71</f>
        <v>-161624578.36245278</v>
      </c>
      <c r="K73" s="293">
        <f>K67+K69+K71</f>
        <v>14441380.826575756</v>
      </c>
      <c r="L73" s="293">
        <f>L67+L69+L71</f>
        <v>10551310.03936835</v>
      </c>
      <c r="M73" s="293">
        <f>M67+M69+M71</f>
        <v>-348093643.35973716</v>
      </c>
    </row>
    <row r="74" spans="1:13">
      <c r="A74" s="544"/>
      <c r="B74" s="544"/>
    </row>
    <row r="75" spans="1:13">
      <c r="A75" s="544"/>
      <c r="B75" s="544"/>
    </row>
    <row r="76" spans="1:13">
      <c r="A76" s="544"/>
      <c r="B76" s="544"/>
    </row>
    <row r="77" spans="1:13">
      <c r="A77" s="544"/>
      <c r="B77" s="184" t="s">
        <v>536</v>
      </c>
    </row>
    <row r="78" spans="1:13" ht="14.55" customHeight="1">
      <c r="A78" s="544"/>
      <c r="B78" s="994" t="s">
        <v>827</v>
      </c>
      <c r="C78" s="997"/>
      <c r="D78" s="997"/>
      <c r="E78" s="997"/>
      <c r="F78" s="997"/>
      <c r="G78" s="997"/>
      <c r="K78" s="560"/>
    </row>
    <row r="79" spans="1:13">
      <c r="B79" s="941" t="s">
        <v>997</v>
      </c>
      <c r="C79" s="941"/>
      <c r="D79" s="941"/>
      <c r="E79" s="941"/>
      <c r="F79" s="941"/>
      <c r="G79" s="602"/>
    </row>
  </sheetData>
  <mergeCells count="4">
    <mergeCell ref="E7:L7"/>
    <mergeCell ref="G44:H44"/>
    <mergeCell ref="G61:H61"/>
    <mergeCell ref="B78:G78"/>
  </mergeCells>
  <pageMargins left="0.7" right="0.7" top="0.75" bottom="0.75" header="0.3" footer="0.3"/>
  <pageSetup scale="39" orientation="portrait" horizontalDpi="1200" verticalDpi="1200" r:id="rId1"/>
  <rowBreaks count="1" manualBreakCount="1">
    <brk id="3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1"/>
  <dimension ref="A1:H23"/>
  <sheetViews>
    <sheetView view="pageBreakPreview" zoomScaleNormal="100" zoomScaleSheetLayoutView="100" workbookViewId="0">
      <selection activeCell="C2" sqref="C2"/>
    </sheetView>
  </sheetViews>
  <sheetFormatPr defaultRowHeight="15"/>
  <cols>
    <col min="1" max="1" width="3" customWidth="1"/>
    <col min="2" max="2" width="1.7265625" customWidth="1"/>
    <col min="3" max="3" width="47.7265625" customWidth="1"/>
    <col min="5" max="7" width="14" customWidth="1"/>
    <col min="8" max="8" width="5.08984375" customWidth="1"/>
  </cols>
  <sheetData>
    <row r="1" spans="1:8" ht="15.6">
      <c r="H1" s="3" t="s">
        <v>454</v>
      </c>
    </row>
    <row r="2" spans="1:8" ht="15.6">
      <c r="H2" s="3" t="s">
        <v>144</v>
      </c>
    </row>
    <row r="3" spans="1:8" ht="15.6">
      <c r="A3" s="40"/>
      <c r="B3" s="63"/>
      <c r="F3" s="63"/>
      <c r="G3" s="63"/>
      <c r="H3" s="3" t="str">
        <f>'Attachment 1 - Sched 1A'!$J$3</f>
        <v>For the 12 months ended 12/31/2022</v>
      </c>
    </row>
    <row r="4" spans="1:8" ht="15.6">
      <c r="A4" s="40"/>
      <c r="B4" s="63"/>
      <c r="D4" s="63"/>
      <c r="E4" s="63"/>
      <c r="F4" s="63"/>
      <c r="G4" s="63"/>
    </row>
    <row r="5" spans="1:8">
      <c r="A5" s="142">
        <v>1</v>
      </c>
      <c r="B5" s="140"/>
      <c r="C5" s="141" t="s">
        <v>245</v>
      </c>
      <c r="D5" s="140"/>
      <c r="E5" s="142"/>
      <c r="F5" s="142"/>
      <c r="G5" s="142"/>
    </row>
    <row r="6" spans="1:8">
      <c r="A6" s="142"/>
      <c r="B6" s="140"/>
      <c r="C6" s="141"/>
      <c r="D6" s="140"/>
      <c r="E6" s="142"/>
      <c r="F6" s="142"/>
      <c r="G6" s="142"/>
    </row>
    <row r="7" spans="1:8">
      <c r="A7" s="142">
        <f>+A5+1</f>
        <v>2</v>
      </c>
      <c r="B7" s="140"/>
      <c r="C7" s="143" t="s">
        <v>440</v>
      </c>
      <c r="D7" s="144"/>
      <c r="E7" s="532" t="s">
        <v>8</v>
      </c>
      <c r="F7" s="531" t="s">
        <v>232</v>
      </c>
    </row>
    <row r="8" spans="1:8">
      <c r="A8" s="142">
        <f>+A7+1</f>
        <v>3</v>
      </c>
      <c r="B8" s="140"/>
      <c r="C8" s="145" t="s">
        <v>557</v>
      </c>
      <c r="D8" s="145"/>
      <c r="E8" s="197">
        <v>-155537000</v>
      </c>
      <c r="F8" s="145" t="s">
        <v>547</v>
      </c>
    </row>
    <row r="9" spans="1:8">
      <c r="A9" s="142">
        <f>+A8+1</f>
        <v>4</v>
      </c>
      <c r="B9" s="140"/>
      <c r="C9" s="145" t="s">
        <v>484</v>
      </c>
      <c r="D9" s="145"/>
      <c r="E9" s="197">
        <v>2363633077</v>
      </c>
      <c r="F9" s="145" t="s">
        <v>548</v>
      </c>
    </row>
    <row r="10" spans="1:8">
      <c r="A10" s="142">
        <f t="shared" ref="A10:A12" si="0">+A9+1</f>
        <v>5</v>
      </c>
      <c r="B10" s="142"/>
      <c r="C10" s="145" t="s">
        <v>475</v>
      </c>
      <c r="D10" s="145"/>
      <c r="E10" s="150">
        <f>E8/E9</f>
        <v>-6.5804206885365063E-2</v>
      </c>
      <c r="F10" s="145"/>
    </row>
    <row r="11" spans="1:8">
      <c r="A11" s="142">
        <f t="shared" si="0"/>
        <v>6</v>
      </c>
      <c r="B11" s="142"/>
      <c r="C11" s="145" t="s">
        <v>556</v>
      </c>
      <c r="D11" s="145"/>
      <c r="E11" s="198">
        <v>8002912</v>
      </c>
      <c r="F11" s="145" t="s">
        <v>518</v>
      </c>
    </row>
    <row r="12" spans="1:8">
      <c r="A12" s="142">
        <f t="shared" si="0"/>
        <v>7</v>
      </c>
      <c r="B12" s="142"/>
      <c r="C12" s="145" t="s">
        <v>476</v>
      </c>
      <c r="D12" s="146"/>
      <c r="E12" s="147">
        <f>E10*E11</f>
        <v>-526625.27693337074</v>
      </c>
    </row>
    <row r="14" spans="1:8">
      <c r="A14" s="142">
        <f>+A12+1</f>
        <v>8</v>
      </c>
      <c r="B14" s="142"/>
      <c r="C14" s="145" t="s">
        <v>558</v>
      </c>
      <c r="D14" s="145"/>
      <c r="E14" s="198">
        <v>-10744958</v>
      </c>
      <c r="F14" s="145" t="s">
        <v>519</v>
      </c>
    </row>
    <row r="15" spans="1:8">
      <c r="A15" s="142">
        <f>+A14+1</f>
        <v>9</v>
      </c>
      <c r="B15" s="142"/>
      <c r="C15" s="145" t="s">
        <v>559</v>
      </c>
      <c r="D15" s="145"/>
      <c r="E15" s="587">
        <f>'Attachment H-4A JCP&amp;L '!I192</f>
        <v>8.452849912295303E-2</v>
      </c>
    </row>
    <row r="16" spans="1:8">
      <c r="A16" s="142">
        <v>10</v>
      </c>
      <c r="B16" s="142"/>
      <c r="C16" s="145" t="s">
        <v>560</v>
      </c>
      <c r="D16" s="145"/>
      <c r="E16" s="149">
        <f>E14*E15</f>
        <v>-908255.17287916713</v>
      </c>
    </row>
    <row r="17" spans="1:7">
      <c r="D17" s="145"/>
      <c r="E17" s="149"/>
    </row>
    <row r="18" spans="1:7">
      <c r="A18" s="142">
        <v>11</v>
      </c>
      <c r="B18" s="142"/>
      <c r="C18" s="145" t="s">
        <v>808</v>
      </c>
      <c r="D18" s="145"/>
      <c r="E18" s="149">
        <f>E12-E16</f>
        <v>381629.89594579639</v>
      </c>
      <c r="F18" s="814"/>
    </row>
    <row r="19" spans="1:7">
      <c r="A19" s="142"/>
      <c r="B19" s="142"/>
      <c r="D19" s="145"/>
      <c r="E19" s="149"/>
      <c r="F19" s="825"/>
    </row>
    <row r="20" spans="1:7">
      <c r="A20" s="142"/>
      <c r="B20" s="142"/>
      <c r="C20" s="145"/>
      <c r="D20" s="145"/>
      <c r="E20" s="149"/>
    </row>
    <row r="21" spans="1:7">
      <c r="A21" s="142"/>
      <c r="B21" s="142"/>
      <c r="C21" s="145"/>
      <c r="D21" s="145"/>
      <c r="E21" s="151"/>
      <c r="F21" s="151"/>
      <c r="G21" s="151"/>
    </row>
    <row r="22" spans="1:7">
      <c r="A22" s="142"/>
      <c r="B22" s="142"/>
      <c r="C22" s="145"/>
      <c r="D22" s="145"/>
      <c r="E22" s="149"/>
      <c r="F22" s="149"/>
      <c r="G22" s="149"/>
    </row>
    <row r="23" spans="1:7">
      <c r="A23" s="142">
        <v>12</v>
      </c>
      <c r="B23" s="142"/>
      <c r="C23" s="145" t="s">
        <v>517</v>
      </c>
      <c r="D23" s="145"/>
      <c r="E23" s="145"/>
    </row>
  </sheetData>
  <pageMargins left="0.7" right="0.7" top="0.75" bottom="0.75" header="0.3" footer="0.3"/>
  <pageSetup scale="6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2CE01D7C72C4E44952DC06E43973F4C" ma:contentTypeVersion="7" ma:contentTypeDescription="Create a new document." ma:contentTypeScope="" ma:versionID="d7ee57176f39ee23a00c6e18256efe9f">
  <xsd:schema xmlns:xsd="http://www.w3.org/2001/XMLSchema" xmlns:xs="http://www.w3.org/2001/XMLSchema" xmlns:p="http://schemas.microsoft.com/office/2006/metadata/properties" xmlns:ns3="335eeac4-2490-4ed4-9fc5-fd6d46640f72" xmlns:ns4="b41bfa4d-99b9-4fe2-9074-4cfc37f0f061" targetNamespace="http://schemas.microsoft.com/office/2006/metadata/properties" ma:root="true" ma:fieldsID="32d584eb937501e2271cfde54130e539" ns3:_="" ns4:_="">
    <xsd:import namespace="335eeac4-2490-4ed4-9fc5-fd6d46640f72"/>
    <xsd:import namespace="b41bfa4d-99b9-4fe2-9074-4cfc37f0f061"/>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5eeac4-2490-4ed4-9fc5-fd6d46640f7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1bfa4d-99b9-4fe2-9074-4cfc37f0f06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E908CAB-B39E-4379-97B1-A9C3ABDE0895}">
  <ds:schemaRefs>
    <ds:schemaRef ds:uri="http://schemas.microsoft.com/sharepoint/v3/contenttype/forms"/>
  </ds:schemaRefs>
</ds:datastoreItem>
</file>

<file path=customXml/itemProps2.xml><?xml version="1.0" encoding="utf-8"?>
<ds:datastoreItem xmlns:ds="http://schemas.openxmlformats.org/officeDocument/2006/customXml" ds:itemID="{F54CDD34-ADD8-4119-9952-8F866774AD1D}">
  <ds:schemaRefs>
    <ds:schemaRef ds:uri="http://schemas.microsoft.com/office/infopath/2007/PartnerControls"/>
    <ds:schemaRef ds:uri="http://purl.org/dc/elements/1.1/"/>
    <ds:schemaRef ds:uri="http://schemas.microsoft.com/office/2006/metadata/properties"/>
    <ds:schemaRef ds:uri="335eeac4-2490-4ed4-9fc5-fd6d46640f72"/>
    <ds:schemaRef ds:uri="http://purl.org/dc/terms/"/>
    <ds:schemaRef ds:uri="http://schemas.openxmlformats.org/package/2006/metadata/core-properties"/>
    <ds:schemaRef ds:uri="http://schemas.microsoft.com/office/2006/documentManagement/types"/>
    <ds:schemaRef ds:uri="b41bfa4d-99b9-4fe2-9074-4cfc37f0f061"/>
    <ds:schemaRef ds:uri="http://www.w3.org/XML/1998/namespace"/>
    <ds:schemaRef ds:uri="http://purl.org/dc/dcmitype/"/>
  </ds:schemaRefs>
</ds:datastoreItem>
</file>

<file path=customXml/itemProps3.xml><?xml version="1.0" encoding="utf-8"?>
<ds:datastoreItem xmlns:ds="http://schemas.openxmlformats.org/officeDocument/2006/customXml" ds:itemID="{1B941FEB-75E7-4FAE-8B31-78576E81CF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5eeac4-2490-4ed4-9fc5-fd6d46640f72"/>
    <ds:schemaRef ds:uri="b41bfa4d-99b9-4fe2-9074-4cfc37f0f0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39</vt:i4>
      </vt:variant>
    </vt:vector>
  </HeadingPairs>
  <TitlesOfParts>
    <vt:vector size="67" baseType="lpstr">
      <vt:lpstr>Attachment H-4A JCP&amp;L </vt:lpstr>
      <vt:lpstr>Attachment 1 - Sched 1A</vt:lpstr>
      <vt:lpstr>Attachment 2 - Incentive ROE</vt:lpstr>
      <vt:lpstr>Attachment 3 - Gross Plant</vt:lpstr>
      <vt:lpstr>Attachment 4 - Accum Depr</vt:lpstr>
      <vt:lpstr>Attachment 5 - ADIT</vt:lpstr>
      <vt:lpstr>Attachment 5a - ADIT Norm PTRR</vt:lpstr>
      <vt:lpstr>Attachment 5b - ADIT Norm ATRR</vt:lpstr>
      <vt:lpstr>Attachment 6 - PBOP</vt:lpstr>
      <vt:lpstr>Attachment 7 - TOTI</vt:lpstr>
      <vt:lpstr>Attachment 8 - Cap Structure</vt:lpstr>
      <vt:lpstr>Attach 9 - Stated-value Inputs</vt:lpstr>
      <vt:lpstr>Attachment 10 - Debt Cost</vt:lpstr>
      <vt:lpstr>Attachment 11 - TEC</vt:lpstr>
      <vt:lpstr>Attach 11a - TEC Cost Support</vt:lpstr>
      <vt:lpstr>Attachment 12 - TEC True-up</vt:lpstr>
      <vt:lpstr>Attachment 13 - NITS True-Up</vt:lpstr>
      <vt:lpstr>Attachment 13a - TEC True-Up</vt:lpstr>
      <vt:lpstr>Attachment 13b - PJM Billings</vt:lpstr>
      <vt:lpstr>Attachment 14a - Working Cap.</vt:lpstr>
      <vt:lpstr>Attachment 14b - Unfunded Res</vt:lpstr>
      <vt:lpstr>Attachment 15 - Income Taxes</vt:lpstr>
      <vt:lpstr>Att. 15a - TCJA DDIT and EDIT</vt:lpstr>
      <vt:lpstr>Attachment 16 - Abandoned Plant</vt:lpstr>
      <vt:lpstr>Attachment 17 - CWIP in RB</vt:lpstr>
      <vt:lpstr>Attachment 18 - Rev Creds</vt:lpstr>
      <vt:lpstr>Attachment 19 - Reg Asset-Liab</vt:lpstr>
      <vt:lpstr>Attachment 20 - OpEx</vt:lpstr>
      <vt:lpstr>CTF</vt:lpstr>
      <vt:lpstr>'Attachment 13a - TEC True-Up'!DA</vt:lpstr>
      <vt:lpstr>DA</vt:lpstr>
      <vt:lpstr>FIT</vt:lpstr>
      <vt:lpstr>GP</vt:lpstr>
      <vt:lpstr>P</vt:lpstr>
      <vt:lpstr>'Attach 11a - TEC Cost Support'!Print_Area</vt:lpstr>
      <vt:lpstr>'Attach 9 - Stated-value Inputs'!Print_Area</vt:lpstr>
      <vt:lpstr>'Attachment 1 - Sched 1A'!Print_Area</vt:lpstr>
      <vt:lpstr>'Attachment 10 - Debt Cost'!Print_Area</vt:lpstr>
      <vt:lpstr>'Attachment 11 - TEC'!Print_Area</vt:lpstr>
      <vt:lpstr>'Attachment 12 - TEC True-up'!Print_Area</vt:lpstr>
      <vt:lpstr>'Attachment 13b - PJM Billings'!Print_Area</vt:lpstr>
      <vt:lpstr>'Attachment 3 - Gross Plant'!Print_Area</vt:lpstr>
      <vt:lpstr>'Attachment 4 - Accum Depr'!Print_Area</vt:lpstr>
      <vt:lpstr>'Attachment 5a - ADIT Norm PTRR'!Print_Area</vt:lpstr>
      <vt:lpstr>'Attachment 5b - ADIT Norm ATRR'!Print_Area</vt:lpstr>
      <vt:lpstr>'Attachment 8 - Cap Structure'!Print_Area</vt:lpstr>
      <vt:lpstr>'Attachment H-4A JCP&amp;L '!Print_Area</vt:lpstr>
      <vt:lpstr>'Att. 15a - TCJA DDIT and EDIT'!Print_Titles</vt:lpstr>
      <vt:lpstr>'Attachment 11 - TEC'!Print_Titles</vt:lpstr>
      <vt:lpstr>'Attachment 12 - TEC True-up'!Print_Titles</vt:lpstr>
      <vt:lpstr>'Attachment 14a - Working Cap.'!Print_Titles</vt:lpstr>
      <vt:lpstr>'Attachment 14b - Unfunded Res'!Print_Titles</vt:lpstr>
      <vt:lpstr>'Attachment 17 - CWIP in RB'!Print_Titles</vt:lpstr>
      <vt:lpstr>'Attachment 18 - Rev Creds'!Print_Titles</vt:lpstr>
      <vt:lpstr>'Attachment 19 - Reg Asset-Liab'!Print_Titles</vt:lpstr>
      <vt:lpstr>'Attachment 20 - OpEx'!Print_Titles</vt:lpstr>
      <vt:lpstr>'Attachment 5 - ADIT'!Print_Titles</vt:lpstr>
      <vt:lpstr>'Attachment 7 - TOTI'!Print_Titles</vt:lpstr>
      <vt:lpstr>RF</vt:lpstr>
      <vt:lpstr>ROR</vt:lpstr>
      <vt:lpstr>SIT</vt:lpstr>
      <vt:lpstr>T</vt:lpstr>
      <vt:lpstr>TE</vt:lpstr>
      <vt:lpstr>TGUF</vt:lpstr>
      <vt:lpstr>TP</vt:lpstr>
      <vt:lpstr>WCLTD</vt:lpstr>
      <vt:lpstr>WS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Petruska, Alex M</dc:creator>
  <cp:lastModifiedBy>Petruska, Alex M</cp:lastModifiedBy>
  <dcterms:created xsi:type="dcterms:W3CDTF">2021-06-04T17:18:14Z</dcterms:created>
  <dcterms:modified xsi:type="dcterms:W3CDTF">2023-06-12T15:10:01Z</dcterms:modified>
</cp:coreProperties>
</file>