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U:\Corp\Rates\Akr\Rates\FERC Transmission\AYE\Annual Rate Filings\2023 ATRR\Final Filing\"/>
    </mc:Choice>
  </mc:AlternateContent>
  <xr:revisionPtr revIDLastSave="0" documentId="13_ncr:1_{0A6E2EED-EE6D-446F-9CF7-BC85B6D0A1D7}" xr6:coauthVersionLast="47" xr6:coauthVersionMax="47" xr10:uidLastSave="{00000000-0000-0000-0000-000000000000}"/>
  <bookViews>
    <workbookView xWindow="68055" yWindow="480" windowWidth="37185" windowHeight="17160" tabRatio="858" xr2:uid="{3F9808BE-F1B0-427D-A857-FC52A907123F}"/>
  </bookViews>
  <sheets>
    <sheet name="Attachment H-11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38"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8" r:id="rId20"/>
    <sheet name="Attachment 13a - TEC True-Up" sheetId="69" r:id="rId21"/>
    <sheet name="Attachment 13b - PJM Billings" sheetId="58" r:id="rId22"/>
    <sheet name="Attachment 14 - Other RB" sheetId="66"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67" r:id="rId29"/>
  </sheets>
  <externalReferences>
    <externalReference r:id="rId30"/>
    <externalReference r:id="rId31"/>
    <externalReference r:id="rId32"/>
    <externalReference r:id="rId33"/>
    <externalReference r:id="rId34"/>
  </externalReferences>
  <definedNames>
    <definedName name="___OFF2">'[1]DPLG-APRIL2001-TRANSCHECKOUT'!$AC$2:$AC$10</definedName>
    <definedName name="___PPP1">'[1]DPLG-APRIL2001-TRANSCHECKOUT'!$A$1:$D$27</definedName>
    <definedName name="__123Graph_A" hidden="1">'[2]AL2 151'!#REF!</definedName>
    <definedName name="__123Graph_B" hidden="1">'[2]AL2 151'!#REF!</definedName>
    <definedName name="__123Graph_C" hidden="1">'[2]AL2 151'!#REF!</definedName>
    <definedName name="__123Graph_D" hidden="1">'[2]AL2 151'!#REF!</definedName>
    <definedName name="__123Graph_E" hidden="1">'[2]AL2 151'!#REF!</definedName>
    <definedName name="__123Graph_F" hidden="1">'[2]AL2 151'!#REF!</definedName>
    <definedName name="__123Graph_X" hidden="1">'[2]AL2 151'!#REF!</definedName>
    <definedName name="_Key1" hidden="1">#REF!</definedName>
    <definedName name="_OFF2">'[1]DPLG-APRIL2001-TRANSCHECKOUT'!$AC$2:$AC$10</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 localSheetId="8">#REF!</definedName>
    <definedName name="_p.choice">#REF!</definedName>
    <definedName name="_PPP1">'[1]DPLG-APRIL2001-TRANSCHECKOUT'!$A$1:$D$27</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 localSheetId="8">#REF!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 localSheetId="8">#REF!</definedName>
    <definedName name="AB.print">#REF!</definedName>
    <definedName name="above">OFFSET(!A1,-1,0)</definedName>
    <definedName name="Allocator.gross.plant">'[3]Appendix A'!$H$29</definedName>
    <definedName name="Allocator.net.plant">'[3]Appendix A'!$H$32</definedName>
    <definedName name="Allocator.wages.salary">'[3]Appendix A'!$H$17</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 localSheetId="8">#REF!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 localSheetId="8">#REF!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 localSheetId="8">#REF!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 localSheetId="8">#REF!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 localSheetId="8">#REF!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 localSheetId="8">#REF!</definedName>
    <definedName name="BG.print">#REF!</definedName>
    <definedName name="BILLCO" localSheetId="14">'[1]DPLG-APRIL2001-TRANSCHECKOUT'!$M:$P</definedName>
    <definedName name="BILLCO" localSheetId="26">'[1]DPLG-APRIL2001-TRANSCHECKOUT'!$M:$P</definedName>
    <definedName name="BILLCO">'[1]DPLG-APRIL2001-TRANSCHECKOUT'!$M$1:$P$65536</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 localSheetId="8">#REF!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 localSheetId="8">#REF!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'[3]Appendix A'!$H$5</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'[1]DPLG-APRIL2001-TRANSCHECKOUT'!$Q:$R</definedName>
    <definedName name="DUEDATE" localSheetId="26">'[1]DPLG-APRIL2001-TRANSCHECKOUT'!$Q:$R</definedName>
    <definedName name="DUEDATE">'[1]DPLG-APRIL2001-TRANSCHECKOUT'!$Q$1:$R$65536</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'[3]FERC Form 1 data'!$B$7:$L$87</definedName>
    <definedName name="FF1_INPUT_columns">'[3]FERC Form 1 data'!$B$6:$L$6</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[3]Inputs!$E$15:$E$72</definedName>
    <definedName name="Inputs_EndYrBal_prior">[3]Inputs!$D$15:$D$72</definedName>
    <definedName name="Inputs_FF1_Map">[3]Inputs!$F$15:$F$72</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 localSheetId="8">#REF!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'[1]DPLG-APRIL2001-TRANSCHECKOUT'!$F$2:$L$10</definedName>
    <definedName name="ON">'[1]DPLG-APRIL2001-TRANSCHECKOUT'!$M$2:$AC$10</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'[1]DPLG-APRIL2001-TRANSCHECKOUT'!$A$1:$I$49</definedName>
    <definedName name="PRINT">'[1]DPLG-APRIL2001-TRANSCHECKOUT'!$A$2:$K$55</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 localSheetId="8">#REF!</definedName>
    <definedName name="Print.selection.print">#REF!</definedName>
    <definedName name="_xlnm.Print_Area" localSheetId="17">'Attach 11a - TEC Cost Support'!$A$1:$AI$27</definedName>
    <definedName name="_xlnm.Print_Area" localSheetId="3">'Attach 2a - Scaled ROE Adder'!$A$1:$L$71</definedName>
    <definedName name="_xlnm.Print_Area" localSheetId="4">'Attach 2b - Incent ROE NITS'!$A$1:$AM$35</definedName>
    <definedName name="_xlnm.Print_Area" localSheetId="14">'Attach 9 - Stated-value Inputs'!$A$1:$H$85</definedName>
    <definedName name="_xlnm.Print_Area" localSheetId="1">'Attachment 1 - Sched 1A'!$A$1:$J$18</definedName>
    <definedName name="_xlnm.Print_Area" localSheetId="15">'Attachment 10 - Debt Cost'!$A$1:$AA$57</definedName>
    <definedName name="_xlnm.Print_Area" localSheetId="16">'Attachment 11 - TEC'!$A$1:$T$90</definedName>
    <definedName name="_xlnm.Print_Area" localSheetId="18">'Attachment 12 - TEC True-up'!$A$1:$M$39</definedName>
    <definedName name="_xlnm.Print_Area" localSheetId="26">'Attachment 18 - Tax Rates'!$A$1:$K$31</definedName>
    <definedName name="_xlnm.Print_Area" localSheetId="27">'Attachment 19 - Reg Asset'!$A$1:$AB$36</definedName>
    <definedName name="_xlnm.Print_Area" localSheetId="2">'Attachment 2 - ROE Calcs'!$A$1:$L$67</definedName>
    <definedName name="_xlnm.Print_Area" localSheetId="5">'Attachment 3 - Gross Plant'!$A$1:$M$70</definedName>
    <definedName name="_xlnm.Print_Area" localSheetId="7">'Attachment 5 - ADIT Summary'!$A$1:$M$36</definedName>
    <definedName name="_xlnm.Print_Area" localSheetId="8">'Attachment 5a - ADIT Detail'!$A$1:$K$222</definedName>
    <definedName name="_xlnm.Print_Area" localSheetId="9">'Attachment 5b - ADIT Norm PTRR'!$A$1:$M$52</definedName>
    <definedName name="_xlnm.Print_Area" localSheetId="12">'Attachment 7 - Taxes Other '!$A$1:$D$49</definedName>
    <definedName name="_xlnm.Print_Area" localSheetId="13">'Attachment 8 - Cap Structure'!$A$1:$O$29</definedName>
    <definedName name="_xlnm.Print_Area" localSheetId="0">'Attachment H-11A '!$A$1:$K$319</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'[4]Final Summary Sheet'!$AB$132:$AM$141</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Projection</definedName>
    <definedName name="Toggle.list">'[3]Appendix A'!$P$5:$P$6</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'[3]Appendix A'!$P$6</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hidden="1">{#N/A,#N/A,FALSE,"Cover";#N/A,#N/A,FALSE,"Lead Sheet";#N/A,#N/A,FALSE,"T-Accounts";#N/A,#N/A,FALSE,"Ins &amp; Prem ActualEstimates"}</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Xcel" localSheetId="14">'[5]Data Entry and Forecaster'!#REF!</definedName>
    <definedName name="Xcel" localSheetId="18">'[5]Data Entry and Forecaster'!#REF!</definedName>
    <definedName name="Xcel" localSheetId="26">'[5]Data Entry and Forecaster'!#REF!</definedName>
    <definedName name="Xcel" localSheetId="7">'[5]Data Entry and Forecaster'!#REF!</definedName>
    <definedName name="Xcel" localSheetId="12">'[5]Data Entry and Forecaster'!#REF!</definedName>
    <definedName name="Xcel" localSheetId="13">'[5]Data Entry and Forecaster'!#REF!</definedName>
    <definedName name="Xcel">'[5]Data Entry and Forecaster'!#REF!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Cols" localSheetId="8" hidden="1">'Attachment 5a - ADIT Detail'!$G:$G</definedName>
    <definedName name="Z_28948E05_8F34_4F1E_96FB_A80A6A844600_.wvu.PrintArea" localSheetId="8" hidden="1">'Attachment 5a - ADIT Detail'!$B$1:$K$143</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63011E91_4609_4523_98FE_FD252E915668_.wvu.Cols" localSheetId="8" hidden="1">'Attachment 5a - ADIT Detail'!$G:$G</definedName>
    <definedName name="Z_63011E91_4609_4523_98FE_FD252E915668_.wvu.PrintArea" localSheetId="8" hidden="1">'Attachment 5a - ADIT Detail'!$B$1:$K$143</definedName>
    <definedName name="Z_6928E596_79BD_4CEC_9F0D_07E62D69B2A5_.wvu.Cols" localSheetId="8" hidden="1">'Attachment 5a - ADIT Detail'!$G:$G</definedName>
    <definedName name="Z_6928E596_79BD_4CEC_9F0D_07E62D69B2A5_.wvu.PrintArea" localSheetId="8" hidden="1">'Attachment 5a - ADIT Detail'!$B$1:$K$143</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Cols" localSheetId="8" hidden="1">'Attachment 5a - ADIT Detail'!$G:$G</definedName>
    <definedName name="Z_71B42B22_A376_44B5_B0C1_23FC1AA3DBA2_.wvu.PrintArea" localSheetId="8" hidden="1">'Attachment 5a - ADIT Detail'!$B$1:$K$143</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8FBB4DC9_2D51_4AB9_80D8_F8474B404C29_.wvu.Cols" localSheetId="8" hidden="1">'Attachment 5a - ADIT Detail'!$G:$G</definedName>
    <definedName name="Z_8FBB4DC9_2D51_4AB9_80D8_F8474B404C29_.wvu.PrintArea" localSheetId="8" hidden="1">'Attachment 5a - ADIT Detail'!$B$1:$K$143</definedName>
    <definedName name="Z_B647CB7F_C846_4278_B6B1_1EF7F3C004F5_.wvu.Cols" localSheetId="8" hidden="1">'Attachment 5a - ADIT Detail'!$G:$G</definedName>
    <definedName name="Z_B647CB7F_C846_4278_B6B1_1EF7F3C004F5_.wvu.PrintArea" localSheetId="8" hidden="1">'Attachment 5a - ADIT Detail'!$B$1:$K$143</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Cols" localSheetId="8" hidden="1">'Attachment 5a - ADIT Detail'!$G:$G</definedName>
    <definedName name="Z_DC91DEF3_837B_4BB9_A81E_3B78C5914E6C_.wvu.PrintArea" localSheetId="8" hidden="1">'Attachment 5a - ADIT Detail'!$B$1:$K$143</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TEC'!$A$1:$O$87</definedName>
    <definedName name="Z_E1861F40_EBD5_44AE_868B_FDE0ED504D72_.wvu.PrintArea" localSheetId="18" hidden="1">'Attachment 12 - TEC True-up'!$A$1:$L$39</definedName>
    <definedName name="Z_E1861F40_EBD5_44AE_868B_FDE0ED504D72_.wvu.PrintArea" localSheetId="0" hidden="1">'Attachment H-11A '!$A$1:$K$320</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Cols" localSheetId="8" hidden="1">'Attachment 5a - ADIT Detail'!$G:$G</definedName>
    <definedName name="Z_FAAD9AAC_1337_43AB_BF1F_CCF9DFCF5B78_.wvu.PrintArea" localSheetId="8" hidden="1">'Attachment 5a - ADIT Detail'!$B$1:$K$143</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4" i="38" l="1"/>
  <c r="K23" i="42" l="1"/>
  <c r="K24" i="42"/>
  <c r="I23" i="42"/>
  <c r="I24" i="42"/>
  <c r="AA51" i="42"/>
  <c r="U23" i="42" s="1"/>
  <c r="W23" i="42" s="1"/>
  <c r="Y51" i="42"/>
  <c r="U51" i="42"/>
  <c r="S51" i="42"/>
  <c r="S23" i="42"/>
  <c r="Q23" i="42"/>
  <c r="B51" i="42"/>
  <c r="A51" i="42"/>
  <c r="A52" i="42"/>
  <c r="A53" i="42"/>
  <c r="D37" i="19" l="1"/>
  <c r="D30" i="19"/>
  <c r="D28" i="19"/>
  <c r="D23" i="19"/>
  <c r="D9" i="19"/>
  <c r="D13" i="19" s="1"/>
  <c r="C55" i="38" l="1"/>
  <c r="C56" i="38"/>
  <c r="C57" i="38"/>
  <c r="C58" i="38"/>
  <c r="C59" i="38"/>
  <c r="C60" i="38"/>
  <c r="C61" i="38"/>
  <c r="C62" i="38"/>
  <c r="C63" i="38"/>
  <c r="C65" i="38"/>
  <c r="C66" i="38"/>
  <c r="C67" i="38"/>
  <c r="C68" i="38"/>
  <c r="K46" i="67" l="1"/>
  <c r="C136" i="38" l="1"/>
  <c r="C137" i="38"/>
  <c r="C138" i="38"/>
  <c r="C139" i="38"/>
  <c r="C135" i="38"/>
  <c r="F111" i="38"/>
  <c r="C97" i="38"/>
  <c r="C98" i="38"/>
  <c r="C99" i="38"/>
  <c r="C100" i="38"/>
  <c r="C101" i="38"/>
  <c r="C102" i="38"/>
  <c r="C103" i="38"/>
  <c r="C104" i="38"/>
  <c r="C105" i="38"/>
  <c r="C106" i="38"/>
  <c r="C107" i="38"/>
  <c r="C108" i="38"/>
  <c r="C109" i="38"/>
  <c r="C96" i="38"/>
  <c r="C111" i="38" l="1"/>
  <c r="C54" i="38" l="1"/>
  <c r="F70" i="38" l="1"/>
  <c r="C70" i="38"/>
  <c r="H55" i="61" l="1"/>
  <c r="H51" i="61"/>
  <c r="D51" i="61"/>
  <c r="I38" i="61" l="1"/>
  <c r="I14" i="61" l="1"/>
  <c r="I15" i="61"/>
  <c r="I16" i="61"/>
  <c r="I17" i="61"/>
  <c r="I18" i="61"/>
  <c r="I19" i="61"/>
  <c r="I20" i="61"/>
  <c r="I21" i="61"/>
  <c r="I22" i="61"/>
  <c r="I23" i="61"/>
  <c r="I24" i="61"/>
  <c r="I25" i="61"/>
  <c r="I26" i="61"/>
  <c r="I27" i="61"/>
  <c r="I28" i="61"/>
  <c r="I29" i="61"/>
  <c r="I13" i="61"/>
  <c r="C61" i="66" l="1"/>
  <c r="I271" i="1" l="1"/>
  <c r="I32" i="61"/>
  <c r="I201" i="1" l="1"/>
  <c r="F17" i="69" l="1"/>
  <c r="F17" i="68"/>
  <c r="H43" i="61" l="1"/>
  <c r="E43" i="61"/>
  <c r="D43" i="61"/>
  <c r="D16" i="27"/>
  <c r="M52" i="67" l="1"/>
  <c r="K52" i="67"/>
  <c r="I52" i="67"/>
  <c r="I32" i="67"/>
  <c r="I200" i="1" s="1"/>
  <c r="AA26" i="65"/>
  <c r="Y47" i="42" l="1"/>
  <c r="J1" i="69" l="1"/>
  <c r="A71" i="69"/>
  <c r="A70" i="69"/>
  <c r="A69" i="69"/>
  <c r="A65" i="69"/>
  <c r="A63" i="69"/>
  <c r="A50" i="69"/>
  <c r="A46" i="69"/>
  <c r="A44" i="69"/>
  <c r="A31" i="69"/>
  <c r="A29" i="69"/>
  <c r="D18" i="69"/>
  <c r="B18" i="69"/>
  <c r="B19" i="69" s="1"/>
  <c r="B20" i="69" s="1"/>
  <c r="B21" i="69" s="1"/>
  <c r="B22" i="69" s="1"/>
  <c r="B23" i="69" s="1"/>
  <c r="B24" i="69" s="1"/>
  <c r="B25" i="69" s="1"/>
  <c r="B26" i="69" s="1"/>
  <c r="B27" i="69" s="1"/>
  <c r="B28" i="69" s="1"/>
  <c r="B32" i="69" s="1"/>
  <c r="B33" i="69" s="1"/>
  <c r="B34" i="69" s="1"/>
  <c r="B35" i="69" s="1"/>
  <c r="B36" i="69" s="1"/>
  <c r="B37" i="69" s="1"/>
  <c r="B38" i="69" s="1"/>
  <c r="B39" i="69" s="1"/>
  <c r="B40" i="69" s="1"/>
  <c r="B41" i="69" s="1"/>
  <c r="B42" i="69" s="1"/>
  <c r="B43" i="69" s="1"/>
  <c r="B51" i="69" s="1"/>
  <c r="B52" i="69" s="1"/>
  <c r="B53" i="69" s="1"/>
  <c r="B54" i="69" s="1"/>
  <c r="B55" i="69" s="1"/>
  <c r="B56" i="69" s="1"/>
  <c r="B57" i="69" s="1"/>
  <c r="B58" i="69" s="1"/>
  <c r="B59" i="69" s="1"/>
  <c r="B60" i="69" s="1"/>
  <c r="B61" i="69" s="1"/>
  <c r="B62" i="69" s="1"/>
  <c r="G17" i="69"/>
  <c r="G18" i="69" s="1"/>
  <c r="A18" i="69" s="1"/>
  <c r="H17" i="69"/>
  <c r="E10" i="69"/>
  <c r="C10" i="69"/>
  <c r="J3" i="69"/>
  <c r="D19" i="69" l="1"/>
  <c r="F19" i="69" s="1"/>
  <c r="F18" i="69"/>
  <c r="D20" i="69"/>
  <c r="F20" i="69" s="1"/>
  <c r="G19" i="69"/>
  <c r="H18" i="69"/>
  <c r="D21" i="69" l="1"/>
  <c r="F21" i="69" s="1"/>
  <c r="A19" i="69"/>
  <c r="H19" i="69"/>
  <c r="I19" i="69" s="1"/>
  <c r="G20" i="69" s="1"/>
  <c r="A20" i="69" l="1"/>
  <c r="G21" i="69"/>
  <c r="H20" i="69"/>
  <c r="D22" i="69"/>
  <c r="F22" i="69" s="1"/>
  <c r="H21" i="69" l="1"/>
  <c r="D23" i="69"/>
  <c r="F23" i="69" s="1"/>
  <c r="A21" i="69"/>
  <c r="G22" i="69"/>
  <c r="H22" i="69" l="1"/>
  <c r="I22" i="69" s="1"/>
  <c r="G23" i="69" s="1"/>
  <c r="A22" i="69"/>
  <c r="D24" i="69"/>
  <c r="F24" i="69" s="1"/>
  <c r="H23" i="69" l="1"/>
  <c r="G24" i="69"/>
  <c r="H24" i="69" s="1"/>
  <c r="A23" i="69"/>
  <c r="D25" i="69"/>
  <c r="F25" i="69" s="1"/>
  <c r="D26" i="69" l="1"/>
  <c r="F26" i="69" s="1"/>
  <c r="A24" i="69"/>
  <c r="G25" i="69"/>
  <c r="H25" i="69" l="1"/>
  <c r="I25" i="69" s="1"/>
  <c r="G26" i="69" s="1"/>
  <c r="A25" i="69"/>
  <c r="D27" i="69"/>
  <c r="F27" i="69" s="1"/>
  <c r="H26" i="69" l="1"/>
  <c r="D28" i="69"/>
  <c r="F28" i="69" s="1"/>
  <c r="G27" i="69"/>
  <c r="A26" i="69"/>
  <c r="H27" i="69" l="1"/>
  <c r="A27" i="69"/>
  <c r="G28" i="69"/>
  <c r="D32" i="69"/>
  <c r="F32" i="69" s="1"/>
  <c r="H28" i="69" l="1"/>
  <c r="I28" i="69" s="1"/>
  <c r="D33" i="69"/>
  <c r="F33" i="69" s="1"/>
  <c r="G30" i="69"/>
  <c r="A28" i="69"/>
  <c r="G32" i="69" l="1"/>
  <c r="H32" i="69" s="1"/>
  <c r="A30" i="69"/>
  <c r="D34" i="69"/>
  <c r="F34" i="69" s="1"/>
  <c r="D35" i="69" l="1"/>
  <c r="F35" i="69" s="1"/>
  <c r="G33" i="69"/>
  <c r="A32" i="69"/>
  <c r="D36" i="69" l="1"/>
  <c r="F36" i="69" s="1"/>
  <c r="G34" i="69"/>
  <c r="A33" i="69"/>
  <c r="H33" i="69"/>
  <c r="A34" i="69" l="1"/>
  <c r="D37" i="69"/>
  <c r="F37" i="69" s="1"/>
  <c r="H34" i="69"/>
  <c r="I34" i="69" s="1"/>
  <c r="G35" i="69" s="1"/>
  <c r="G36" i="69" l="1"/>
  <c r="H36" i="69" s="1"/>
  <c r="A35" i="69"/>
  <c r="H35" i="69"/>
  <c r="D38" i="69"/>
  <c r="F38" i="69" s="1"/>
  <c r="D39" i="69" l="1"/>
  <c r="F39" i="69" s="1"/>
  <c r="G37" i="69"/>
  <c r="A36" i="69"/>
  <c r="A37" i="69" l="1"/>
  <c r="H37" i="69"/>
  <c r="I37" i="69" s="1"/>
  <c r="G38" i="69" s="1"/>
  <c r="D40" i="69"/>
  <c r="F40" i="69" s="1"/>
  <c r="G39" i="69" l="1"/>
  <c r="H39" i="69" s="1"/>
  <c r="A38" i="69"/>
  <c r="H38" i="69"/>
  <c r="D41" i="69"/>
  <c r="F41" i="69" s="1"/>
  <c r="D42" i="69" l="1"/>
  <c r="F42" i="69" s="1"/>
  <c r="D51" i="69"/>
  <c r="F51" i="69" s="1"/>
  <c r="A39" i="69"/>
  <c r="G40" i="69"/>
  <c r="A40" i="69" l="1"/>
  <c r="D52" i="69"/>
  <c r="F52" i="69" s="1"/>
  <c r="D43" i="69"/>
  <c r="F43" i="69" s="1"/>
  <c r="H40" i="69"/>
  <c r="I40" i="69" s="1"/>
  <c r="G41" i="69" s="1"/>
  <c r="A41" i="69" l="1"/>
  <c r="G42" i="69"/>
  <c r="H42" i="69" s="1"/>
  <c r="H41" i="69"/>
  <c r="D53" i="69"/>
  <c r="F53" i="69" s="1"/>
  <c r="D54" i="69" l="1"/>
  <c r="F54" i="69" s="1"/>
  <c r="G43" i="69"/>
  <c r="A42" i="69"/>
  <c r="A43" i="69" l="1"/>
  <c r="H43" i="69"/>
  <c r="I43" i="69" s="1"/>
  <c r="G45" i="69" s="1"/>
  <c r="D55" i="69"/>
  <c r="F55" i="69" s="1"/>
  <c r="G47" i="69" l="1"/>
  <c r="A45" i="69"/>
  <c r="D56" i="69"/>
  <c r="F56" i="69" s="1"/>
  <c r="D57" i="69" l="1"/>
  <c r="F57" i="69" s="1"/>
  <c r="G49" i="69"/>
  <c r="A47" i="69"/>
  <c r="A48" i="69" s="1"/>
  <c r="G66" i="69" l="1"/>
  <c r="A49" i="69"/>
  <c r="G51" i="69"/>
  <c r="D58" i="69"/>
  <c r="F58" i="69" s="1"/>
  <c r="G52" i="69" l="1"/>
  <c r="A51" i="69"/>
  <c r="H51" i="69"/>
  <c r="D59" i="69"/>
  <c r="F59" i="69" s="1"/>
  <c r="G68" i="69"/>
  <c r="D60" i="69" l="1"/>
  <c r="F60" i="69" s="1"/>
  <c r="A52" i="69"/>
  <c r="G53" i="69"/>
  <c r="H52" i="69"/>
  <c r="A53" i="69" l="1"/>
  <c r="H53" i="69"/>
  <c r="I53" i="69" s="1"/>
  <c r="G54" i="69" s="1"/>
  <c r="D61" i="69"/>
  <c r="F61" i="69" s="1"/>
  <c r="A54" i="69" l="1"/>
  <c r="G55" i="69"/>
  <c r="H54" i="69"/>
  <c r="D62" i="69"/>
  <c r="F62" i="69" s="1"/>
  <c r="G56" i="69" l="1"/>
  <c r="A55" i="69"/>
  <c r="H55" i="69"/>
  <c r="A56" i="69" l="1"/>
  <c r="H56" i="69"/>
  <c r="I56" i="69" s="1"/>
  <c r="G57" i="69" s="1"/>
  <c r="A57" i="69" l="1"/>
  <c r="G58" i="69"/>
  <c r="H57" i="69"/>
  <c r="A58" i="69" l="1"/>
  <c r="G59" i="69"/>
  <c r="H58" i="69"/>
  <c r="A59" i="69" l="1"/>
  <c r="H59" i="69"/>
  <c r="I59" i="69" s="1"/>
  <c r="G60" i="69" s="1"/>
  <c r="A60" i="69" l="1"/>
  <c r="G61" i="69"/>
  <c r="H60" i="69"/>
  <c r="A61" i="69" l="1"/>
  <c r="G62" i="69"/>
  <c r="H61" i="69"/>
  <c r="A62" i="69" l="1"/>
  <c r="H62" i="69"/>
  <c r="I62" i="69" s="1"/>
  <c r="G64" i="69" s="1"/>
  <c r="A64" i="69" l="1"/>
  <c r="A66" i="69" s="1"/>
  <c r="A67" i="69" s="1"/>
  <c r="A68" i="69" s="1"/>
  <c r="A69" i="68"/>
  <c r="A70" i="68"/>
  <c r="A71" i="68"/>
  <c r="A65" i="68"/>
  <c r="A50" i="68"/>
  <c r="A63" i="68"/>
  <c r="A44" i="68"/>
  <c r="A46" i="68"/>
  <c r="A29" i="68"/>
  <c r="A31" i="68"/>
  <c r="G17" i="68"/>
  <c r="G18" i="68" s="1"/>
  <c r="A18" i="68" s="1"/>
  <c r="H17" i="68"/>
  <c r="D18" i="68"/>
  <c r="B18" i="68"/>
  <c r="B19" i="68" s="1"/>
  <c r="B20" i="68" s="1"/>
  <c r="B21" i="68" s="1"/>
  <c r="B22" i="68" s="1"/>
  <c r="B23" i="68" s="1"/>
  <c r="B24" i="68" s="1"/>
  <c r="B25" i="68" s="1"/>
  <c r="B26" i="68" s="1"/>
  <c r="B27" i="68" s="1"/>
  <c r="B28" i="68" s="1"/>
  <c r="B32" i="68" s="1"/>
  <c r="E10" i="68"/>
  <c r="C10" i="68"/>
  <c r="J3" i="68"/>
  <c r="J1" i="68"/>
  <c r="D19" i="68" l="1"/>
  <c r="F18" i="68"/>
  <c r="H18" i="68" s="1"/>
  <c r="B33" i="68"/>
  <c r="G19" i="68"/>
  <c r="A19" i="68" s="1"/>
  <c r="D20" i="68" l="1"/>
  <c r="F19" i="68"/>
  <c r="H19" i="68" s="1"/>
  <c r="I19" i="68" s="1"/>
  <c r="G20" i="68" s="1"/>
  <c r="B34" i="68"/>
  <c r="D21" i="68" l="1"/>
  <c r="F20" i="68"/>
  <c r="H20" i="68" s="1"/>
  <c r="B35" i="68"/>
  <c r="G21" i="68"/>
  <c r="A20" i="68"/>
  <c r="F21" i="68" l="1"/>
  <c r="D22" i="68"/>
  <c r="B36" i="68"/>
  <c r="A21" i="68"/>
  <c r="G22" i="68"/>
  <c r="H21" i="68"/>
  <c r="F22" i="68" l="1"/>
  <c r="D23" i="68"/>
  <c r="B37" i="68"/>
  <c r="A22" i="68"/>
  <c r="H22" i="68"/>
  <c r="I22" i="68" s="1"/>
  <c r="G23" i="68" s="1"/>
  <c r="F23" i="68" l="1"/>
  <c r="D24" i="68"/>
  <c r="B38" i="68"/>
  <c r="H23" i="68"/>
  <c r="A23" i="68"/>
  <c r="G24" i="68"/>
  <c r="F24" i="68" l="1"/>
  <c r="D25" i="68"/>
  <c r="B39" i="68"/>
  <c r="A24" i="68"/>
  <c r="H24" i="68"/>
  <c r="G25" i="68"/>
  <c r="F25" i="68" l="1"/>
  <c r="D26" i="68"/>
  <c r="B40" i="68"/>
  <c r="A25" i="68"/>
  <c r="H25" i="68"/>
  <c r="I25" i="68" s="1"/>
  <c r="G26" i="68" s="1"/>
  <c r="F26" i="68" l="1"/>
  <c r="D27" i="68"/>
  <c r="B41" i="68"/>
  <c r="H26" i="68"/>
  <c r="A26" i="68"/>
  <c r="G27" i="68"/>
  <c r="F27" i="68" l="1"/>
  <c r="D28" i="68"/>
  <c r="B42" i="68"/>
  <c r="A27" i="68"/>
  <c r="G28" i="68"/>
  <c r="H27" i="68"/>
  <c r="F28" i="68" l="1"/>
  <c r="D32" i="68"/>
  <c r="B43" i="68"/>
  <c r="H28" i="68"/>
  <c r="I28" i="68" s="1"/>
  <c r="G30" i="68" s="1"/>
  <c r="A28" i="68"/>
  <c r="F32" i="68" l="1"/>
  <c r="D33" i="68"/>
  <c r="B51" i="68"/>
  <c r="G32" i="68"/>
  <c r="A30" i="68"/>
  <c r="F33" i="68" l="1"/>
  <c r="D34" i="68"/>
  <c r="B52" i="68"/>
  <c r="G33" i="68"/>
  <c r="A32" i="68"/>
  <c r="H32" i="68"/>
  <c r="F34" i="68" l="1"/>
  <c r="D35" i="68"/>
  <c r="B53" i="68"/>
  <c r="G34" i="68"/>
  <c r="A33" i="68"/>
  <c r="H33" i="68"/>
  <c r="F35" i="68" l="1"/>
  <c r="D36" i="68"/>
  <c r="B54" i="68"/>
  <c r="H34" i="68"/>
  <c r="I34" i="68" s="1"/>
  <c r="G35" i="68" s="1"/>
  <c r="A34" i="68"/>
  <c r="F36" i="68" l="1"/>
  <c r="D37" i="68"/>
  <c r="B55" i="68"/>
  <c r="G36" i="68"/>
  <c r="A35" i="68"/>
  <c r="H35" i="68"/>
  <c r="F37" i="68" l="1"/>
  <c r="D38" i="68"/>
  <c r="B56" i="68"/>
  <c r="G37" i="68"/>
  <c r="H37" i="68" s="1"/>
  <c r="A36" i="68"/>
  <c r="A37" i="68" s="1"/>
  <c r="H36" i="68"/>
  <c r="F38" i="68" l="1"/>
  <c r="D39" i="68"/>
  <c r="B57" i="68"/>
  <c r="I37" i="68"/>
  <c r="G38" i="68" s="1"/>
  <c r="F39" i="68" l="1"/>
  <c r="D40" i="68"/>
  <c r="B58" i="68"/>
  <c r="A38" i="68"/>
  <c r="G39" i="68"/>
  <c r="H38" i="68"/>
  <c r="F40" i="68" l="1"/>
  <c r="D41" i="68"/>
  <c r="B59" i="68"/>
  <c r="A39" i="68"/>
  <c r="G40" i="68"/>
  <c r="H40" i="68" s="1"/>
  <c r="H39" i="68"/>
  <c r="F41" i="68" l="1"/>
  <c r="D42" i="68"/>
  <c r="D51" i="68"/>
  <c r="B60" i="68"/>
  <c r="A40" i="68"/>
  <c r="I40" i="68"/>
  <c r="G41" i="68" s="1"/>
  <c r="F51" i="68" l="1"/>
  <c r="D52" i="68"/>
  <c r="F42" i="68"/>
  <c r="D43" i="68"/>
  <c r="F43" i="68" s="1"/>
  <c r="B61" i="68"/>
  <c r="A41" i="68"/>
  <c r="G42" i="68"/>
  <c r="H41" i="68"/>
  <c r="F52" i="68" l="1"/>
  <c r="D53" i="68"/>
  <c r="B62" i="68"/>
  <c r="A42" i="68"/>
  <c r="G43" i="68"/>
  <c r="H42" i="68"/>
  <c r="F53" i="68" l="1"/>
  <c r="D54" i="68"/>
  <c r="A43" i="68"/>
  <c r="H43" i="68"/>
  <c r="I43" i="68" s="1"/>
  <c r="G45" i="68" s="1"/>
  <c r="F54" i="68" l="1"/>
  <c r="D55" i="68"/>
  <c r="G47" i="68"/>
  <c r="A45" i="68"/>
  <c r="F55" i="68" l="1"/>
  <c r="D56" i="68"/>
  <c r="A47" i="68"/>
  <c r="A48" i="68" s="1"/>
  <c r="G49" i="68"/>
  <c r="G66" i="68" s="1"/>
  <c r="F56" i="68" l="1"/>
  <c r="D57" i="68"/>
  <c r="G68" i="68"/>
  <c r="A49" i="68"/>
  <c r="G51" i="68"/>
  <c r="F57" i="68" l="1"/>
  <c r="D58" i="68"/>
  <c r="A51" i="68"/>
  <c r="H51" i="68"/>
  <c r="G52" i="68"/>
  <c r="F58" i="68" l="1"/>
  <c r="D59" i="68"/>
  <c r="G53" i="68"/>
  <c r="H52" i="68"/>
  <c r="A52" i="68"/>
  <c r="F59" i="68" l="1"/>
  <c r="D60" i="68"/>
  <c r="H53" i="68"/>
  <c r="I53" i="68" s="1"/>
  <c r="G54" i="68" s="1"/>
  <c r="A53" i="68"/>
  <c r="F60" i="68" l="1"/>
  <c r="D61" i="68"/>
  <c r="G55" i="68"/>
  <c r="H54" i="68"/>
  <c r="A54" i="68"/>
  <c r="F61" i="68" l="1"/>
  <c r="D62" i="68"/>
  <c r="F62" i="68" s="1"/>
  <c r="A55" i="68"/>
  <c r="H55" i="68"/>
  <c r="G56" i="68"/>
  <c r="H56" i="68" l="1"/>
  <c r="I56" i="68" s="1"/>
  <c r="G57" i="68" s="1"/>
  <c r="A56" i="68"/>
  <c r="H57" i="68" l="1"/>
  <c r="A57" i="68"/>
  <c r="G58" i="68"/>
  <c r="H58" i="68" l="1"/>
  <c r="A58" i="68"/>
  <c r="G59" i="68"/>
  <c r="H59" i="68" l="1"/>
  <c r="I59" i="68" s="1"/>
  <c r="G60" i="68" s="1"/>
  <c r="A59" i="68"/>
  <c r="H60" i="68" l="1"/>
  <c r="A60" i="68"/>
  <c r="G61" i="68"/>
  <c r="H61" i="68" l="1"/>
  <c r="A61" i="68"/>
  <c r="G62" i="68"/>
  <c r="A62" i="68" l="1"/>
  <c r="H62" i="68"/>
  <c r="I62" i="68" s="1"/>
  <c r="G64" i="68" s="1"/>
  <c r="A64" i="68" l="1"/>
  <c r="A66" i="68" s="1"/>
  <c r="A67" i="68" s="1"/>
  <c r="A68" i="68" s="1"/>
  <c r="U3" i="67" l="1"/>
  <c r="U1" i="67"/>
  <c r="J67" i="51" l="1"/>
  <c r="J65" i="51"/>
  <c r="J69" i="51" l="1"/>
  <c r="I261" i="1" l="1"/>
  <c r="M5" i="67" l="1"/>
  <c r="O5" i="67" s="1"/>
  <c r="Q5" i="67" s="1"/>
  <c r="S5" i="67" s="1"/>
  <c r="U5" i="67" s="1"/>
  <c r="W5" i="67" s="1"/>
  <c r="O45" i="67"/>
  <c r="O46" i="67"/>
  <c r="S46" i="67" s="1"/>
  <c r="O47" i="67"/>
  <c r="O48" i="67"/>
  <c r="O49" i="67"/>
  <c r="O50" i="67"/>
  <c r="O51" i="67"/>
  <c r="O38" i="67"/>
  <c r="O39" i="67"/>
  <c r="O40" i="67"/>
  <c r="O41" i="67"/>
  <c r="O42" i="67"/>
  <c r="O43" i="67"/>
  <c r="O44" i="67"/>
  <c r="O52" i="67" l="1"/>
  <c r="W46" i="67"/>
  <c r="D17" i="1"/>
  <c r="D118" i="1" l="1"/>
  <c r="A8" i="67"/>
  <c r="G5" i="67"/>
  <c r="I5" i="67" s="1"/>
  <c r="K5" i="67" s="1"/>
  <c r="A9" i="67" l="1"/>
  <c r="A10" i="67" s="1"/>
  <c r="A11" i="67" l="1"/>
  <c r="A12" i="67" l="1"/>
  <c r="A13" i="67" l="1"/>
  <c r="A14" i="67" l="1"/>
  <c r="A15" i="67" l="1"/>
  <c r="A16" i="67" l="1"/>
  <c r="A17" i="67" l="1"/>
  <c r="A18" i="67" l="1"/>
  <c r="A19" i="67" s="1"/>
  <c r="A20" i="67" s="1"/>
  <c r="A21" i="67" s="1"/>
  <c r="A22" i="67" s="1"/>
  <c r="A23" i="67" s="1"/>
  <c r="A24" i="67" s="1"/>
  <c r="A25" i="67" s="1"/>
  <c r="A26" i="67" s="1"/>
  <c r="A27" i="67" s="1"/>
  <c r="A28" i="67" s="1"/>
  <c r="A29" i="67" s="1"/>
  <c r="A30" i="67" s="1"/>
  <c r="A31" i="67" s="1"/>
  <c r="E32" i="67" l="1"/>
  <c r="A32" i="67"/>
  <c r="A38" i="67" l="1"/>
  <c r="A39" i="67" l="1"/>
  <c r="A40" i="67" s="1"/>
  <c r="A41" i="67" s="1"/>
  <c r="A42" i="67" s="1"/>
  <c r="A43" i="67" s="1"/>
  <c r="A44" i="67" s="1"/>
  <c r="A45" i="67" s="1"/>
  <c r="A46" i="67" s="1"/>
  <c r="A47" i="67" s="1"/>
  <c r="A48" i="67" s="1"/>
  <c r="A49" i="67" s="1"/>
  <c r="A50" i="67" s="1"/>
  <c r="A51" i="67" s="1"/>
  <c r="A52" i="67" s="1"/>
  <c r="A54" i="67" l="1"/>
  <c r="W54" i="67"/>
  <c r="E52" i="67"/>
  <c r="AD59" i="66" l="1"/>
  <c r="AB59" i="66"/>
  <c r="Z59" i="66"/>
  <c r="X59" i="66"/>
  <c r="V59" i="66"/>
  <c r="T59" i="66"/>
  <c r="R59" i="66"/>
  <c r="P59" i="66"/>
  <c r="N59" i="66"/>
  <c r="L59" i="66"/>
  <c r="J59" i="66"/>
  <c r="H59" i="66"/>
  <c r="F59" i="66"/>
  <c r="AF58" i="66"/>
  <c r="AF57" i="66"/>
  <c r="AF52" i="66"/>
  <c r="AD47" i="66"/>
  <c r="AB47" i="66"/>
  <c r="Z47" i="66"/>
  <c r="X47" i="66"/>
  <c r="V47" i="66"/>
  <c r="T47" i="66"/>
  <c r="R47" i="66"/>
  <c r="P47" i="66"/>
  <c r="N47" i="66"/>
  <c r="L47" i="66"/>
  <c r="J47" i="66"/>
  <c r="H47" i="66"/>
  <c r="F47" i="66"/>
  <c r="AF46" i="66"/>
  <c r="AF45" i="66"/>
  <c r="AF47" i="66" s="1"/>
  <c r="AD41" i="66"/>
  <c r="AB41" i="66"/>
  <c r="Z41" i="66"/>
  <c r="X41" i="66"/>
  <c r="V41" i="66"/>
  <c r="T41" i="66"/>
  <c r="R41" i="66"/>
  <c r="P41" i="66"/>
  <c r="N41" i="66"/>
  <c r="L41" i="66"/>
  <c r="J41" i="66"/>
  <c r="H41" i="66"/>
  <c r="F41" i="66"/>
  <c r="AF40" i="66"/>
  <c r="AF39" i="66"/>
  <c r="AF41" i="66" s="1"/>
  <c r="AD35" i="66"/>
  <c r="AB35" i="66"/>
  <c r="Z35" i="66"/>
  <c r="X35" i="66"/>
  <c r="V35" i="66"/>
  <c r="T35" i="66"/>
  <c r="R35" i="66"/>
  <c r="P35" i="66"/>
  <c r="N35" i="66"/>
  <c r="L35" i="66"/>
  <c r="J35" i="66"/>
  <c r="H35" i="66"/>
  <c r="F35" i="66"/>
  <c r="AF34" i="66"/>
  <c r="AF33" i="66"/>
  <c r="A29" i="66"/>
  <c r="A31" i="66" s="1"/>
  <c r="A27" i="66"/>
  <c r="AF20" i="66"/>
  <c r="D77" i="1" s="1"/>
  <c r="AF17" i="66"/>
  <c r="D81" i="1" s="1"/>
  <c r="C14" i="66"/>
  <c r="A14" i="66"/>
  <c r="A17" i="66" s="1"/>
  <c r="A20" i="66" s="1"/>
  <c r="AD7" i="66"/>
  <c r="AB7" i="66"/>
  <c r="Z7" i="66"/>
  <c r="X7" i="66"/>
  <c r="V7" i="66"/>
  <c r="T7" i="66"/>
  <c r="R7" i="66"/>
  <c r="P7" i="66"/>
  <c r="N7" i="66"/>
  <c r="L7" i="66"/>
  <c r="J7" i="66"/>
  <c r="H7" i="66"/>
  <c r="D5" i="66"/>
  <c r="F5" i="66" s="1"/>
  <c r="H5" i="66" s="1"/>
  <c r="J5" i="66" s="1"/>
  <c r="L5" i="66" s="1"/>
  <c r="N5" i="66" s="1"/>
  <c r="P5" i="66" s="1"/>
  <c r="R5" i="66" s="1"/>
  <c r="T5" i="66" s="1"/>
  <c r="V5" i="66" s="1"/>
  <c r="X5" i="66" s="1"/>
  <c r="Z5" i="66" s="1"/>
  <c r="AB5" i="66" s="1"/>
  <c r="AD5" i="66" s="1"/>
  <c r="AF5" i="66" s="1"/>
  <c r="AF59" i="66" l="1"/>
  <c r="AF35" i="66"/>
  <c r="A33" i="66"/>
  <c r="A35" i="66"/>
  <c r="A37" i="66" s="1"/>
  <c r="A28" i="66"/>
  <c r="C29" i="66" s="1"/>
  <c r="A41" i="66" l="1"/>
  <c r="A39" i="66"/>
  <c r="A34" i="66"/>
  <c r="C35" i="66"/>
  <c r="A40" i="66" l="1"/>
  <c r="C41" i="66" s="1"/>
  <c r="A43" i="66"/>
  <c r="A47" i="66" l="1"/>
  <c r="A45" i="66"/>
  <c r="A49" i="66" l="1"/>
  <c r="A46" i="66"/>
  <c r="C47" i="66" s="1"/>
  <c r="A51" i="66" l="1"/>
  <c r="A53" i="66"/>
  <c r="A55" i="66" l="1"/>
  <c r="A52" i="66"/>
  <c r="C53" i="66" s="1"/>
  <c r="A59" i="66" l="1"/>
  <c r="A57" i="66"/>
  <c r="A58" i="66" l="1"/>
  <c r="C59" i="66"/>
  <c r="A61" i="66"/>
  <c r="I36" i="61" l="1"/>
  <c r="I37" i="61"/>
  <c r="I39" i="61"/>
  <c r="I25" i="42"/>
  <c r="Y52" i="42"/>
  <c r="Y53" i="42"/>
  <c r="S52" i="42"/>
  <c r="U52" i="42" s="1"/>
  <c r="AA52" i="42" s="1"/>
  <c r="U24" i="42" s="1"/>
  <c r="S53" i="42"/>
  <c r="K25" i="42" s="1"/>
  <c r="B52" i="42"/>
  <c r="B53" i="42"/>
  <c r="Q24" i="42"/>
  <c r="Q25" i="42"/>
  <c r="U53" i="42" l="1"/>
  <c r="AA53" i="42" s="1"/>
  <c r="U25" i="42" s="1"/>
  <c r="D32" i="19"/>
  <c r="D18" i="19"/>
  <c r="F15" i="47"/>
  <c r="L10" i="22" l="1"/>
  <c r="L11" i="22"/>
  <c r="L12" i="22"/>
  <c r="L13" i="22"/>
  <c r="L14" i="22"/>
  <c r="L15" i="22"/>
  <c r="L16" i="22"/>
  <c r="L17" i="22"/>
  <c r="L18" i="22"/>
  <c r="L19" i="22"/>
  <c r="L20" i="22"/>
  <c r="L21" i="22"/>
  <c r="L9" i="22"/>
  <c r="I23" i="22" l="1"/>
  <c r="F23" i="22"/>
  <c r="M7" i="63" l="1"/>
  <c r="N7" i="63" s="1"/>
  <c r="O7" i="63" s="1"/>
  <c r="P7" i="63" s="1"/>
  <c r="Q7" i="63" s="1"/>
  <c r="R7" i="63" s="1"/>
  <c r="S7" i="63" s="1"/>
  <c r="T7" i="63" s="1"/>
  <c r="U7" i="63" s="1"/>
  <c r="V7" i="63" s="1"/>
  <c r="W7" i="63" s="1"/>
  <c r="X7" i="63" s="1"/>
  <c r="Y7" i="63" s="1"/>
  <c r="Z7" i="63" s="1"/>
  <c r="AA7" i="63" s="1"/>
  <c r="AB7" i="63" s="1"/>
  <c r="AC7" i="63" s="1"/>
  <c r="J1" i="2" l="1"/>
  <c r="J1" i="31"/>
  <c r="J8" i="13" l="1"/>
  <c r="D9" i="65" l="1"/>
  <c r="E9" i="65" s="1"/>
  <c r="F9" i="65" s="1"/>
  <c r="G9" i="65" s="1"/>
  <c r="H9" i="65" s="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D130" i="1"/>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G9" i="13"/>
  <c r="H9" i="13"/>
  <c r="J42" i="64"/>
  <c r="M31" i="64"/>
  <c r="M37" i="64"/>
  <c r="M34" i="64"/>
  <c r="H15" i="64"/>
  <c r="H9" i="64"/>
  <c r="H10" i="64"/>
  <c r="H11" i="64"/>
  <c r="H12" i="64"/>
  <c r="H13" i="64"/>
  <c r="H14" i="64"/>
  <c r="H16" i="64"/>
  <c r="H17" i="64"/>
  <c r="H18" i="64"/>
  <c r="H19" i="64"/>
  <c r="H20" i="64"/>
  <c r="H8" i="64"/>
  <c r="G8"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F22" i="64"/>
  <c r="K20" i="64"/>
  <c r="J20" i="64"/>
  <c r="I20" i="64"/>
  <c r="G20" i="64"/>
  <c r="E20" i="64"/>
  <c r="K19" i="64"/>
  <c r="J19" i="64"/>
  <c r="I19" i="64"/>
  <c r="G19" i="64"/>
  <c r="E19" i="64"/>
  <c r="K18" i="64"/>
  <c r="J18" i="64"/>
  <c r="I18" i="64"/>
  <c r="G18" i="64"/>
  <c r="E18" i="64"/>
  <c r="K17" i="64"/>
  <c r="J17" i="64"/>
  <c r="I17" i="64"/>
  <c r="G17" i="64"/>
  <c r="E17" i="64"/>
  <c r="K16" i="64"/>
  <c r="J16" i="64"/>
  <c r="I16" i="64"/>
  <c r="G16" i="64"/>
  <c r="E16" i="64"/>
  <c r="K15" i="64"/>
  <c r="J15" i="64"/>
  <c r="I15" i="64"/>
  <c r="G15" i="64"/>
  <c r="E15" i="64"/>
  <c r="K14" i="64"/>
  <c r="J14" i="64"/>
  <c r="I14" i="64"/>
  <c r="G14" i="64"/>
  <c r="E14" i="64"/>
  <c r="K13" i="64"/>
  <c r="J13" i="64"/>
  <c r="I13" i="64"/>
  <c r="G13" i="64"/>
  <c r="E13" i="64"/>
  <c r="K12" i="64"/>
  <c r="J12" i="64"/>
  <c r="I12" i="64"/>
  <c r="G12" i="64"/>
  <c r="E12" i="64"/>
  <c r="K11" i="64"/>
  <c r="J11" i="64"/>
  <c r="I11" i="64"/>
  <c r="G11" i="64"/>
  <c r="E11" i="64"/>
  <c r="K10" i="64"/>
  <c r="J10" i="64"/>
  <c r="I10" i="64"/>
  <c r="G10" i="64"/>
  <c r="E10" i="64"/>
  <c r="K9" i="64"/>
  <c r="J9" i="64"/>
  <c r="I9" i="64"/>
  <c r="G9" i="64"/>
  <c r="E9" i="64"/>
  <c r="C9" i="64"/>
  <c r="C10" i="64" s="1"/>
  <c r="C11" i="64" s="1"/>
  <c r="C12" i="64" s="1"/>
  <c r="C13" i="64" s="1"/>
  <c r="C14" i="64" s="1"/>
  <c r="C15" i="64" s="1"/>
  <c r="C16" i="64" s="1"/>
  <c r="C17" i="64" s="1"/>
  <c r="C18" i="64" s="1"/>
  <c r="C19" i="64" s="1"/>
  <c r="C20" i="64" s="1"/>
  <c r="K8" i="64"/>
  <c r="J8" i="64"/>
  <c r="I8" i="64"/>
  <c r="E8" i="64"/>
  <c r="M11" i="64" l="1"/>
  <c r="M19" i="64"/>
  <c r="M15" i="64"/>
  <c r="M42" i="64"/>
  <c r="J22" i="64"/>
  <c r="M12" i="64"/>
  <c r="M13" i="64"/>
  <c r="M17" i="64"/>
  <c r="M16" i="64"/>
  <c r="M20" i="64"/>
  <c r="M9" i="64"/>
  <c r="G22" i="64"/>
  <c r="D51" i="1" s="1"/>
  <c r="M10" i="64"/>
  <c r="M14" i="64"/>
  <c r="M18" i="64"/>
  <c r="H22" i="64"/>
  <c r="D52" i="1" s="1"/>
  <c r="I22" i="64"/>
  <c r="E22" i="64"/>
  <c r="D50" i="1" s="1"/>
  <c r="K22" i="64"/>
  <c r="D54" i="1" s="1"/>
  <c r="M8" i="64"/>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D53" i="1" l="1"/>
  <c r="O13" i="65"/>
  <c r="M14" i="65"/>
  <c r="P13" i="65"/>
  <c r="Q13" i="65" s="1"/>
  <c r="R13" i="65" s="1"/>
  <c r="S13" i="65" s="1"/>
  <c r="T13" i="65" s="1"/>
  <c r="U13" i="65" s="1"/>
  <c r="V13" i="65" s="1"/>
  <c r="W13" i="65" s="1"/>
  <c r="X13" i="65" s="1"/>
  <c r="Y13" i="65" s="1"/>
  <c r="Z13" i="65" s="1"/>
  <c r="L15" i="65"/>
  <c r="M15" i="65" s="1"/>
  <c r="M22" i="64"/>
  <c r="O15" i="65" l="1"/>
  <c r="P15" i="65" l="1"/>
  <c r="Q15" i="65" s="1"/>
  <c r="R15" i="65" s="1"/>
  <c r="S15" i="65" s="1"/>
  <c r="T15" i="65" s="1"/>
  <c r="U15" i="65" s="1"/>
  <c r="V15" i="65" s="1"/>
  <c r="W15" i="65" s="1"/>
  <c r="X15" i="65" s="1"/>
  <c r="Y15" i="65" s="1"/>
  <c r="Z15" i="65" s="1"/>
  <c r="L16" i="65" l="1"/>
  <c r="M16" i="65" s="1"/>
  <c r="H8" i="13"/>
  <c r="G8" i="13"/>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22" i="1" s="1"/>
  <c r="O23" i="65" l="1"/>
  <c r="P23" i="65" s="1"/>
  <c r="Q23" i="65" s="1"/>
  <c r="R23" i="65" s="1"/>
  <c r="S23" i="65" s="1"/>
  <c r="T23" i="65" s="1"/>
  <c r="U23" i="65" s="1"/>
  <c r="V23" i="65" s="1"/>
  <c r="W23" i="65" s="1"/>
  <c r="X23" i="65" s="1"/>
  <c r="Y23" i="65" s="1"/>
  <c r="Z23" i="65" s="1"/>
  <c r="D74" i="1" l="1"/>
  <c r="M3" i="6" l="1"/>
  <c r="S3" i="39"/>
  <c r="T49" i="5"/>
  <c r="AA3" i="42"/>
  <c r="C9" i="42" s="1"/>
  <c r="H3" i="26"/>
  <c r="O3" i="22"/>
  <c r="D3" i="19"/>
  <c r="D6" i="19" s="1"/>
  <c r="H3" i="33"/>
  <c r="M37" i="51"/>
  <c r="M3" i="51"/>
  <c r="M3" i="40"/>
  <c r="C10" i="40" s="1"/>
  <c r="M3" i="13"/>
  <c r="S3" i="60"/>
  <c r="AM3" i="60"/>
  <c r="J3" i="59"/>
  <c r="J3" i="31"/>
  <c r="K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F22" i="13" l="1"/>
  <c r="I128" i="1" l="1"/>
  <c r="H10" i="13" l="1"/>
  <c r="H11" i="13"/>
  <c r="H12" i="13"/>
  <c r="H13" i="13"/>
  <c r="H14" i="13"/>
  <c r="H15" i="13"/>
  <c r="H16" i="13"/>
  <c r="H17" i="13"/>
  <c r="H18" i="13"/>
  <c r="H19" i="13"/>
  <c r="H20" i="13"/>
  <c r="G10" i="13"/>
  <c r="G11" i="13"/>
  <c r="G12" i="13"/>
  <c r="G13" i="13"/>
  <c r="G14" i="13"/>
  <c r="G15" i="13"/>
  <c r="G16" i="13"/>
  <c r="G17" i="13"/>
  <c r="G18" i="13"/>
  <c r="G19" i="13"/>
  <c r="G20" i="13"/>
  <c r="AE14" i="62" l="1"/>
  <c r="AC14" i="62"/>
  <c r="AA14" i="62"/>
  <c r="Y14" i="62"/>
  <c r="W14" i="62"/>
  <c r="U14" i="62"/>
  <c r="S14" i="62"/>
  <c r="Q14" i="62"/>
  <c r="O14" i="62"/>
  <c r="M14" i="62"/>
  <c r="K14" i="62"/>
  <c r="I14" i="62"/>
  <c r="G14" i="62"/>
  <c r="AG13" i="62"/>
  <c r="AG12" i="62"/>
  <c r="S7" i="62"/>
  <c r="E5" i="62"/>
  <c r="G5" i="62" l="1"/>
  <c r="I5" i="62" s="1"/>
  <c r="K5" i="62" s="1"/>
  <c r="M5" i="62" s="1"/>
  <c r="AG14" i="62"/>
  <c r="D73" i="1" s="1"/>
  <c r="W7" i="62"/>
  <c r="I7" i="62"/>
  <c r="Y7" i="62"/>
  <c r="K7" i="62"/>
  <c r="AA7" i="62"/>
  <c r="M7" i="62"/>
  <c r="AC7" i="62"/>
  <c r="O7" i="62"/>
  <c r="Q7" i="62"/>
  <c r="U7" i="62"/>
  <c r="AE7" i="62"/>
  <c r="O5" i="62" l="1"/>
  <c r="Q5" i="62" s="1"/>
  <c r="S5" i="62" s="1"/>
  <c r="U5" i="62" s="1"/>
  <c r="W5" i="62" s="1"/>
  <c r="Y5" i="62" s="1"/>
  <c r="AA5" i="62" s="1"/>
  <c r="AC5" i="62" s="1"/>
  <c r="AE5" i="62" s="1"/>
  <c r="AG5" i="62" s="1"/>
  <c r="D151" i="1" l="1"/>
  <c r="I50" i="61"/>
  <c r="I49" i="61"/>
  <c r="I48" i="61"/>
  <c r="A47" i="61"/>
  <c r="I35" i="6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3" i="60" l="1"/>
  <c r="AI12" i="60"/>
  <c r="AI14" i="60"/>
  <c r="AI15" i="60"/>
  <c r="AI17"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D10" i="69" s="1"/>
  <c r="L36" i="58"/>
  <c r="L35" i="58"/>
  <c r="L34" i="58"/>
  <c r="L33" i="58"/>
  <c r="L32" i="58"/>
  <c r="L31" i="58"/>
  <c r="L30" i="58"/>
  <c r="L29" i="58"/>
  <c r="L28" i="58"/>
  <c r="L27" i="58"/>
  <c r="L26" i="58"/>
  <c r="L25" i="58"/>
  <c r="F20" i="58"/>
  <c r="L20" i="58" s="1"/>
  <c r="D10" i="68" s="1"/>
  <c r="L19" i="58"/>
  <c r="L18" i="58"/>
  <c r="L17" i="58"/>
  <c r="L16" i="58"/>
  <c r="L15" i="58"/>
  <c r="L14" i="58"/>
  <c r="L13" i="58"/>
  <c r="L12" i="58"/>
  <c r="L11" i="58"/>
  <c r="L10" i="58"/>
  <c r="L9" i="58"/>
  <c r="B9" i="58"/>
  <c r="L8" i="58"/>
  <c r="F5" i="58"/>
  <c r="H5" i="58" s="1"/>
  <c r="K1" i="27"/>
  <c r="M1" i="6"/>
  <c r="S1" i="39"/>
  <c r="T1" i="5"/>
  <c r="AA1" i="42"/>
  <c r="H1" i="26"/>
  <c r="O1" i="22"/>
  <c r="D1" i="19"/>
  <c r="H1" i="33"/>
  <c r="M35" i="51"/>
  <c r="M1" i="51"/>
  <c r="M1" i="47"/>
  <c r="K1" i="38"/>
  <c r="J5" i="58" l="1"/>
  <c r="L5" i="58" s="1"/>
  <c r="K156" i="38"/>
  <c r="K190" i="38"/>
  <c r="K45" i="38"/>
  <c r="K86" i="38"/>
  <c r="K125" i="38"/>
  <c r="B10" i="58"/>
  <c r="B11" i="58" s="1"/>
  <c r="M1" i="40"/>
  <c r="M1" i="13"/>
  <c r="B12" i="58" l="1"/>
  <c r="B13" i="58" l="1"/>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T11" i="39" l="1"/>
  <c r="T10" i="39"/>
  <c r="E11" i="39"/>
  <c r="E10" i="39"/>
  <c r="M29" i="13" l="1"/>
  <c r="B47" i="42" l="1"/>
  <c r="S47" i="42" l="1"/>
  <c r="Q19" i="42"/>
  <c r="D24" i="19"/>
  <c r="D39" i="19"/>
  <c r="D209" i="38"/>
  <c r="E209" i="38"/>
  <c r="G209" i="38"/>
  <c r="H209" i="38"/>
  <c r="G174" i="38"/>
  <c r="H174" i="38"/>
  <c r="C174" i="38"/>
  <c r="D174" i="38"/>
  <c r="E174" i="38"/>
  <c r="D141" i="38"/>
  <c r="E141" i="38"/>
  <c r="F141" i="38"/>
  <c r="G141" i="38"/>
  <c r="H141" i="38"/>
  <c r="C141" i="38"/>
  <c r="D70" i="38"/>
  <c r="M33" i="13"/>
  <c r="G212" i="1"/>
  <c r="G211" i="1"/>
  <c r="G209" i="1"/>
  <c r="G6" i="39" l="1"/>
  <c r="H6" i="39" s="1"/>
  <c r="I6" i="39" s="1"/>
  <c r="J6" i="39" s="1"/>
  <c r="C40" i="42"/>
  <c r="C15" i="40"/>
  <c r="E24" i="40"/>
  <c r="E28" i="40" s="1"/>
  <c r="E32" i="40" s="1"/>
  <c r="D220" i="1"/>
  <c r="C10" i="38" l="1"/>
  <c r="F43" i="47" l="1"/>
  <c r="F41" i="47"/>
  <c r="F39" i="47"/>
  <c r="E12" i="33" l="1"/>
  <c r="K12" i="47" l="1"/>
  <c r="K192" i="38" l="1"/>
  <c r="K158" i="38"/>
  <c r="K127" i="38"/>
  <c r="K88" i="38"/>
  <c r="K47" i="38"/>
  <c r="K3" i="38"/>
  <c r="D32" i="38" l="1"/>
  <c r="D31" i="38"/>
  <c r="D29" i="38"/>
  <c r="C29" i="38"/>
  <c r="H111" i="38"/>
  <c r="D28" i="38" s="1"/>
  <c r="G111" i="38"/>
  <c r="C28" i="38" s="1"/>
  <c r="E28" i="38" s="1"/>
  <c r="D111" i="38"/>
  <c r="E111" i="38"/>
  <c r="H70" i="38"/>
  <c r="D30" i="38" s="1"/>
  <c r="G70" i="38"/>
  <c r="C30" i="38" s="1"/>
  <c r="C32" i="38"/>
  <c r="C31" i="38"/>
  <c r="A29" i="38"/>
  <c r="A30" i="38" s="1"/>
  <c r="F174" i="38" l="1"/>
  <c r="C13" i="38" s="1"/>
  <c r="E29" i="38"/>
  <c r="E30" i="38"/>
  <c r="E70" i="38"/>
  <c r="E32" i="38"/>
  <c r="D33" i="38"/>
  <c r="E31" i="38"/>
  <c r="I45" i="47" l="1"/>
  <c r="C33" i="38"/>
  <c r="E33" i="38" s="1"/>
  <c r="B49" i="42" l="1"/>
  <c r="B50" i="42"/>
  <c r="B48" i="42"/>
  <c r="I122" i="1" l="1"/>
  <c r="I74" i="1" l="1"/>
  <c r="D70" i="1" l="1"/>
  <c r="F65" i="51" l="1"/>
  <c r="F48" i="51"/>
  <c r="E12" i="47"/>
  <c r="C12" i="47"/>
  <c r="F54" i="1" l="1"/>
  <c r="F69" i="51" l="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H15" i="47"/>
  <c r="J15" i="47" s="1"/>
  <c r="L15" i="47" s="1"/>
  <c r="I12" i="47"/>
  <c r="G12" i="47"/>
  <c r="C11" i="47"/>
  <c r="F9" i="47"/>
  <c r="H9" i="47" s="1"/>
  <c r="J9" i="47" s="1"/>
  <c r="L9" i="47" s="1"/>
  <c r="G39" i="47" l="1"/>
  <c r="G43" i="47"/>
  <c r="G41" i="47"/>
  <c r="G52" i="51"/>
  <c r="H52" i="51" s="1"/>
  <c r="J52" i="51" s="1"/>
  <c r="K52" i="51" s="1"/>
  <c r="F54" i="51"/>
  <c r="G69" i="51"/>
  <c r="F71" i="51"/>
  <c r="G50" i="51"/>
  <c r="H50" i="51" s="1"/>
  <c r="J50" i="51" s="1"/>
  <c r="K50" i="51" s="1"/>
  <c r="G67" i="51"/>
  <c r="G65" i="51"/>
  <c r="G48" i="51"/>
  <c r="H48" i="51" s="1"/>
  <c r="I54" i="51"/>
  <c r="K65" i="51"/>
  <c r="K67" i="51"/>
  <c r="K69" i="51"/>
  <c r="J71" i="51"/>
  <c r="G45" i="47" l="1"/>
  <c r="G71" i="51"/>
  <c r="G54" i="51"/>
  <c r="K71" i="51"/>
  <c r="H54" i="51"/>
  <c r="J48" i="51"/>
  <c r="K48" i="51" l="1"/>
  <c r="K54" i="51" s="1"/>
  <c r="J54" i="51"/>
  <c r="S48" i="42" l="1"/>
  <c r="U47" i="42" l="1"/>
  <c r="U48" i="42" l="1"/>
  <c r="AA47" i="42"/>
  <c r="U19" i="42" s="1"/>
  <c r="Y50" i="42"/>
  <c r="Y48" i="42"/>
  <c r="S50" i="42"/>
  <c r="K20" i="42"/>
  <c r="I62" i="13" l="1"/>
  <c r="F62" i="13"/>
  <c r="G62" i="13"/>
  <c r="I41" i="13"/>
  <c r="E41" i="13"/>
  <c r="F41" i="13"/>
  <c r="H41" i="13"/>
  <c r="F52" i="1"/>
  <c r="A48" i="42" l="1"/>
  <c r="A49" i="42"/>
  <c r="A50" i="42"/>
  <c r="A47" i="42"/>
  <c r="A11" i="39" l="1"/>
  <c r="C11" i="39"/>
  <c r="D11" i="39"/>
  <c r="D10" i="39"/>
  <c r="C10" i="39"/>
  <c r="A10" i="39"/>
  <c r="K20" i="13" l="1"/>
  <c r="K19" i="13"/>
  <c r="K18" i="13"/>
  <c r="K17" i="13"/>
  <c r="K16" i="13"/>
  <c r="K15" i="13"/>
  <c r="K14" i="13"/>
  <c r="K13" i="13"/>
  <c r="K12" i="13"/>
  <c r="K11" i="13"/>
  <c r="K10" i="13"/>
  <c r="K9" i="13"/>
  <c r="K8" i="13"/>
  <c r="J20" i="13"/>
  <c r="J19" i="13"/>
  <c r="J18" i="13"/>
  <c r="J17" i="13"/>
  <c r="J16" i="13"/>
  <c r="J15" i="13"/>
  <c r="J14" i="13"/>
  <c r="J13" i="13"/>
  <c r="J12" i="13"/>
  <c r="J11" i="13"/>
  <c r="J10" i="13"/>
  <c r="J9" i="13"/>
  <c r="I20" i="13"/>
  <c r="I19" i="13"/>
  <c r="I18" i="13"/>
  <c r="I17" i="13"/>
  <c r="I16" i="13"/>
  <c r="I15" i="13"/>
  <c r="I14" i="13"/>
  <c r="I13" i="13"/>
  <c r="I12" i="13"/>
  <c r="I11" i="13"/>
  <c r="I10" i="13"/>
  <c r="I9" i="13"/>
  <c r="I8" i="13"/>
  <c r="E20" i="13"/>
  <c r="M20" i="13" s="1"/>
  <c r="E19" i="13"/>
  <c r="E18" i="13"/>
  <c r="E17" i="13"/>
  <c r="E16" i="13"/>
  <c r="E15" i="13"/>
  <c r="E14" i="13"/>
  <c r="E13" i="13"/>
  <c r="E12" i="13"/>
  <c r="E11" i="13"/>
  <c r="E10" i="13"/>
  <c r="E9" i="13"/>
  <c r="E8" i="13"/>
  <c r="J62" i="13"/>
  <c r="H62" i="13"/>
  <c r="E62" i="13"/>
  <c r="M12" i="13" l="1"/>
  <c r="M16" i="13"/>
  <c r="M8" i="13"/>
  <c r="M9" i="13"/>
  <c r="M13" i="13"/>
  <c r="M17" i="13"/>
  <c r="M10" i="13"/>
  <c r="M14" i="13"/>
  <c r="M18" i="13"/>
  <c r="M11" i="13"/>
  <c r="M15" i="13"/>
  <c r="M19" i="13"/>
  <c r="I22" i="13"/>
  <c r="E22" i="13"/>
  <c r="I50" i="31" l="1"/>
  <c r="M26" i="42" l="1"/>
  <c r="Q20" i="42"/>
  <c r="Q21" i="42"/>
  <c r="Q22" i="42"/>
  <c r="I20" i="42"/>
  <c r="I21" i="42"/>
  <c r="I22" i="42"/>
  <c r="Y49" i="42"/>
  <c r="S49" i="42"/>
  <c r="K21" i="42" l="1"/>
  <c r="S54" i="42"/>
  <c r="Y54" i="42"/>
  <c r="K22" i="42"/>
  <c r="U50" i="42"/>
  <c r="AA50" i="42" s="1"/>
  <c r="U22" i="42" s="1"/>
  <c r="U49" i="42"/>
  <c r="AA49" i="42" s="1"/>
  <c r="U21" i="42" s="1"/>
  <c r="AA48" i="42"/>
  <c r="U20" i="42" s="1"/>
  <c r="K30" i="1" l="1"/>
  <c r="K104" i="1" s="1"/>
  <c r="K182" i="1" s="1"/>
  <c r="K275" i="1" s="1"/>
  <c r="AI1" i="39"/>
  <c r="K23" i="22" l="1"/>
  <c r="D14" i="1" l="1"/>
  <c r="C48" i="13" l="1"/>
  <c r="C27" i="13"/>
  <c r="U6" i="39"/>
  <c r="J23" i="22"/>
  <c r="I16" i="31" l="1"/>
  <c r="I16" i="59"/>
  <c r="V6" i="39"/>
  <c r="W6" i="39"/>
  <c r="X6" i="39" l="1"/>
  <c r="K6" i="39" l="1"/>
  <c r="Y6" i="39"/>
  <c r="L6" i="39" l="1"/>
  <c r="Z6" i="39"/>
  <c r="M6" i="39" l="1"/>
  <c r="AA6" i="39"/>
  <c r="N6" i="39" l="1"/>
  <c r="AB6" i="39"/>
  <c r="O6" i="39" l="1"/>
  <c r="AC6" i="39"/>
  <c r="P6" i="39" l="1"/>
  <c r="AD6" i="39"/>
  <c r="Q6" i="39" l="1"/>
  <c r="R6" i="39" s="1"/>
  <c r="AE6" i="39"/>
  <c r="AG6" i="39" l="1"/>
  <c r="AF6" i="39"/>
  <c r="O54" i="42" l="1"/>
  <c r="M54" i="42"/>
  <c r="K54" i="42"/>
  <c r="I54" i="42"/>
  <c r="I19" i="42"/>
  <c r="I26" i="42" s="1"/>
  <c r="C17" i="42"/>
  <c r="Q26" i="42" l="1"/>
  <c r="K19" i="42"/>
  <c r="S25" i="42" l="1"/>
  <c r="W25" i="42" s="1"/>
  <c r="S24" i="42"/>
  <c r="W24" i="42" s="1"/>
  <c r="S22" i="42"/>
  <c r="W22" i="42" s="1"/>
  <c r="S19" i="42"/>
  <c r="S21" i="42"/>
  <c r="W21" i="42" s="1"/>
  <c r="S20" i="42"/>
  <c r="W20" i="42" s="1"/>
  <c r="W19" i="42" l="1"/>
  <c r="W26" i="42" s="1"/>
  <c r="S26" i="42"/>
  <c r="G245" i="1" l="1"/>
  <c r="I31" i="59" s="1"/>
  <c r="T1" i="39"/>
  <c r="T47" i="5"/>
  <c r="T3" i="5"/>
  <c r="E62" i="5"/>
  <c r="E63" i="5"/>
  <c r="AI11" i="39" l="1"/>
  <c r="H63" i="5" s="1"/>
  <c r="AI10" i="39"/>
  <c r="H62" i="5" s="1"/>
  <c r="AI3" i="39" l="1"/>
  <c r="H22" i="13" l="1"/>
  <c r="D44" i="1" s="1"/>
  <c r="C9" i="13"/>
  <c r="C10" i="13" s="1"/>
  <c r="C11" i="13" s="1"/>
  <c r="C12" i="13" s="1"/>
  <c r="C13" i="13" s="1"/>
  <c r="C14" i="13" s="1"/>
  <c r="C15" i="13" s="1"/>
  <c r="C16" i="13" s="1"/>
  <c r="C17" i="13" s="1"/>
  <c r="C18" i="13" s="1"/>
  <c r="C19" i="13" s="1"/>
  <c r="C20" i="13" s="1"/>
  <c r="G22" i="13" l="1"/>
  <c r="D43" i="1" s="1"/>
  <c r="I192" i="1" s="1"/>
  <c r="I195" i="1" s="1"/>
  <c r="D42" i="1"/>
  <c r="J22" i="13"/>
  <c r="K22" i="13"/>
  <c r="D46" i="1" s="1"/>
  <c r="I52" i="59"/>
  <c r="M22" i="13" l="1"/>
  <c r="D45" i="1"/>
  <c r="A7" i="33"/>
  <c r="A8" i="33" s="1"/>
  <c r="A9" i="33" l="1"/>
  <c r="A10" i="33" s="1"/>
  <c r="A11" i="33" s="1"/>
  <c r="A12" i="33" s="1"/>
  <c r="A14" i="33" s="1"/>
  <c r="A15" i="33" s="1"/>
  <c r="I52" i="31" l="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297" i="1" l="1"/>
  <c r="D140" i="1"/>
  <c r="H23" i="22"/>
  <c r="G23" i="22"/>
  <c r="I15" i="59" s="1"/>
  <c r="E23" i="22"/>
  <c r="C10" i="22"/>
  <c r="C11" i="22" s="1"/>
  <c r="C12" i="22" s="1"/>
  <c r="C13" i="22" s="1"/>
  <c r="C14" i="22" s="1"/>
  <c r="C15" i="22" s="1"/>
  <c r="C16" i="22" s="1"/>
  <c r="C17" i="22" s="1"/>
  <c r="C18" i="22" s="1"/>
  <c r="C19" i="22" s="1"/>
  <c r="C20" i="22" s="1"/>
  <c r="C21" i="22" s="1"/>
  <c r="F34" i="6"/>
  <c r="I196" i="1"/>
  <c r="G270" i="1" s="1"/>
  <c r="I270" i="1" s="1"/>
  <c r="C49" i="13"/>
  <c r="C50" i="13" s="1"/>
  <c r="C51" i="13" s="1"/>
  <c r="C52" i="13" s="1"/>
  <c r="C53" i="13" s="1"/>
  <c r="C54" i="13" s="1"/>
  <c r="C55" i="13" s="1"/>
  <c r="C56" i="13" s="1"/>
  <c r="C57" i="13" s="1"/>
  <c r="C58" i="13" s="1"/>
  <c r="C59" i="13" s="1"/>
  <c r="C60" i="13" s="1"/>
  <c r="D16" i="1"/>
  <c r="D139" i="1"/>
  <c r="D138" i="1"/>
  <c r="D43" i="19"/>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K185" i="1"/>
  <c r="K278" i="1"/>
  <c r="K107" i="1"/>
  <c r="K33" i="1"/>
  <c r="D36" i="1"/>
  <c r="B50" i="1"/>
  <c r="B58" i="1" s="1"/>
  <c r="F50" i="1"/>
  <c r="F66" i="1" s="1"/>
  <c r="F138" i="1" s="1"/>
  <c r="G50" i="1"/>
  <c r="B51" i="1"/>
  <c r="B59" i="1" s="1"/>
  <c r="F51" i="1"/>
  <c r="F77" i="1" s="1"/>
  <c r="B52" i="1"/>
  <c r="B60" i="1" s="1"/>
  <c r="G52" i="1"/>
  <c r="B53" i="1"/>
  <c r="B61" i="1" s="1"/>
  <c r="B54" i="1"/>
  <c r="B62" i="1" s="1"/>
  <c r="D110" i="1"/>
  <c r="B129" i="1"/>
  <c r="F135" i="1"/>
  <c r="F139" i="1"/>
  <c r="D188" i="1"/>
  <c r="I216" i="1"/>
  <c r="D281" i="1"/>
  <c r="I255" i="1"/>
  <c r="G218" i="1"/>
  <c r="D213" i="1"/>
  <c r="M23" i="22"/>
  <c r="D245" i="1" s="1"/>
  <c r="D137" i="1"/>
  <c r="L23" i="22"/>
  <c r="I18" i="59" s="1"/>
  <c r="G17" i="1" l="1"/>
  <c r="I17" i="1" s="1"/>
  <c r="I17" i="59"/>
  <c r="I17" i="31"/>
  <c r="G16" i="27"/>
  <c r="D298" i="1" s="1"/>
  <c r="D144" i="1" s="1"/>
  <c r="I14" i="31"/>
  <c r="I14" i="59"/>
  <c r="G77" i="1"/>
  <c r="G16" i="1"/>
  <c r="G126" i="1"/>
  <c r="G51" i="1"/>
  <c r="I22" i="31"/>
  <c r="I22" i="59"/>
  <c r="G43" i="1"/>
  <c r="E210" i="1"/>
  <c r="G210" i="1" s="1"/>
  <c r="D134" i="1"/>
  <c r="M3" i="47"/>
  <c r="G33" i="47" s="1"/>
  <c r="D246" i="1"/>
  <c r="I15" i="31"/>
  <c r="D247" i="1"/>
  <c r="I18" i="31"/>
  <c r="G18" i="6"/>
  <c r="H18" i="6" s="1"/>
  <c r="G19" i="6"/>
  <c r="H19" i="6" s="1"/>
  <c r="J19" i="6" s="1"/>
  <c r="G17" i="6"/>
  <c r="H17" i="6" s="1"/>
  <c r="G14" i="1"/>
  <c r="I14" i="1" s="1"/>
  <c r="D135" i="1"/>
  <c r="M41" i="13"/>
  <c r="D58" i="1"/>
  <c r="D61" i="1"/>
  <c r="D60" i="1"/>
  <c r="D59" i="1"/>
  <c r="I204" i="1"/>
  <c r="G15" i="1"/>
  <c r="D47" i="1"/>
  <c r="D62" i="1"/>
  <c r="I31" i="31"/>
  <c r="D55" i="1"/>
  <c r="I51" i="59" l="1"/>
  <c r="I51" i="31"/>
  <c r="G42" i="51"/>
  <c r="E6" i="47"/>
  <c r="D141" i="1"/>
  <c r="I43" i="1"/>
  <c r="D148" i="1"/>
  <c r="I45" i="59"/>
  <c r="I23" i="31"/>
  <c r="I23" i="59"/>
  <c r="I24" i="31"/>
  <c r="I24" i="59"/>
  <c r="G246" i="1"/>
  <c r="D63" i="1"/>
  <c r="G213" i="1"/>
  <c r="I213" i="1" s="1"/>
  <c r="I45" i="31"/>
  <c r="I16" i="1"/>
  <c r="AB53" i="66" l="1"/>
  <c r="Z53" i="66"/>
  <c r="X53" i="66"/>
  <c r="V53" i="66"/>
  <c r="T53" i="66"/>
  <c r="R53" i="66"/>
  <c r="J53" i="66"/>
  <c r="P53" i="66"/>
  <c r="H53" i="66"/>
  <c r="N53" i="66"/>
  <c r="L53" i="66"/>
  <c r="D15" i="1"/>
  <c r="I15" i="1" s="1"/>
  <c r="AD53" i="66"/>
  <c r="G268" i="1"/>
  <c r="I268" i="1" s="1"/>
  <c r="D119" i="1"/>
  <c r="Q39" i="67"/>
  <c r="Q50" i="67"/>
  <c r="S50" i="67" s="1"/>
  <c r="W50" i="67" s="1"/>
  <c r="Q44" i="67"/>
  <c r="Q47" i="67"/>
  <c r="S47" i="67" s="1"/>
  <c r="W47" i="67" s="1"/>
  <c r="Q51" i="67"/>
  <c r="Q38" i="67"/>
  <c r="Q42" i="67"/>
  <c r="S42" i="67" s="1"/>
  <c r="W42" i="67" s="1"/>
  <c r="Q45" i="67"/>
  <c r="S45" i="67" s="1"/>
  <c r="W45" i="67" s="1"/>
  <c r="Q48" i="67"/>
  <c r="Q40" i="67"/>
  <c r="S40" i="67" s="1"/>
  <c r="W40" i="67" s="1"/>
  <c r="Q49" i="67"/>
  <c r="Q43" i="67"/>
  <c r="S43" i="67" s="1"/>
  <c r="W43" i="67" s="1"/>
  <c r="Q41" i="67"/>
  <c r="I41" i="61"/>
  <c r="I49" i="59"/>
  <c r="D155" i="1"/>
  <c r="I56" i="59" s="1"/>
  <c r="D154" i="1"/>
  <c r="D153" i="1"/>
  <c r="G127" i="1"/>
  <c r="G135" i="1"/>
  <c r="G53" i="1"/>
  <c r="I32" i="31"/>
  <c r="I32" i="59"/>
  <c r="E15" i="33"/>
  <c r="E16" i="33" s="1"/>
  <c r="E18" i="33" s="1"/>
  <c r="D120" i="1" s="1"/>
  <c r="G32" i="38"/>
  <c r="G28" i="38"/>
  <c r="G29" i="38"/>
  <c r="G30" i="38"/>
  <c r="G31" i="38"/>
  <c r="G45" i="1"/>
  <c r="I45" i="1" s="1"/>
  <c r="I218" i="1"/>
  <c r="K218" i="1" s="1"/>
  <c r="G134" i="1"/>
  <c r="I49" i="31"/>
  <c r="D248" i="1"/>
  <c r="E318" i="1" s="1"/>
  <c r="F318" i="1" s="1"/>
  <c r="G18" i="5"/>
  <c r="I51" i="1"/>
  <c r="S38" i="67" l="1"/>
  <c r="S44" i="67"/>
  <c r="W44" i="67" s="1"/>
  <c r="S39" i="67"/>
  <c r="S51" i="67"/>
  <c r="W51" i="67" s="1"/>
  <c r="I43" i="61"/>
  <c r="AF13" i="66"/>
  <c r="R29" i="66"/>
  <c r="S41" i="67"/>
  <c r="S49" i="67"/>
  <c r="S48" i="67"/>
  <c r="AD29" i="66"/>
  <c r="T29" i="66"/>
  <c r="V29" i="66"/>
  <c r="X29" i="66"/>
  <c r="Z29" i="66"/>
  <c r="P29" i="66"/>
  <c r="AB29" i="66"/>
  <c r="AF27" i="66"/>
  <c r="H29" i="66"/>
  <c r="J29" i="66"/>
  <c r="F29" i="66"/>
  <c r="AF28" i="66"/>
  <c r="L29" i="66"/>
  <c r="AF51" i="66"/>
  <c r="AF53" i="66" s="1"/>
  <c r="F53" i="66"/>
  <c r="N29" i="66"/>
  <c r="W38" i="67"/>
  <c r="G46" i="1"/>
  <c r="I46" i="1" s="1"/>
  <c r="I47" i="1" s="1"/>
  <c r="G121" i="1"/>
  <c r="G129" i="1"/>
  <c r="G54" i="1"/>
  <c r="I54" i="1" s="1"/>
  <c r="I25" i="31"/>
  <c r="I25" i="59"/>
  <c r="I59" i="1"/>
  <c r="G19" i="5" s="1"/>
  <c r="I53" i="1"/>
  <c r="I61" i="1" s="1"/>
  <c r="I56" i="31"/>
  <c r="E247" i="1"/>
  <c r="E246" i="1"/>
  <c r="I28" i="59" s="1"/>
  <c r="I36" i="59" s="1"/>
  <c r="E245" i="1"/>
  <c r="I27" i="59" s="1"/>
  <c r="I35" i="59" s="1"/>
  <c r="I126" i="1"/>
  <c r="I77" i="1"/>
  <c r="W39" i="67" l="1"/>
  <c r="W48" i="67"/>
  <c r="S52" i="67"/>
  <c r="AF29" i="66"/>
  <c r="AF61" i="66" s="1"/>
  <c r="D71" i="1" s="1"/>
  <c r="W49" i="67"/>
  <c r="U52" i="67"/>
  <c r="W41" i="67"/>
  <c r="I247" i="1"/>
  <c r="I29" i="59"/>
  <c r="I37" i="59" s="1"/>
  <c r="I38" i="59" s="1"/>
  <c r="I46" i="59" s="1"/>
  <c r="I55" i="1"/>
  <c r="G47" i="1"/>
  <c r="I62" i="1"/>
  <c r="I63" i="1" s="1"/>
  <c r="I121" i="1"/>
  <c r="I29" i="31"/>
  <c r="I37" i="31" s="1"/>
  <c r="I245" i="1"/>
  <c r="I27" i="31"/>
  <c r="I35" i="31" s="1"/>
  <c r="I246" i="1"/>
  <c r="I28" i="31"/>
  <c r="I36" i="31" s="1"/>
  <c r="AB14" i="66" l="1"/>
  <c r="Z14" i="66"/>
  <c r="X14" i="66"/>
  <c r="V14" i="66"/>
  <c r="T14" i="66"/>
  <c r="R14" i="66"/>
  <c r="P14" i="66"/>
  <c r="N14" i="66"/>
  <c r="L14" i="66"/>
  <c r="J14" i="66"/>
  <c r="H14" i="66"/>
  <c r="G269" i="1"/>
  <c r="I269" i="1" s="1"/>
  <c r="I267" i="1" s="1"/>
  <c r="D18" i="1" s="1"/>
  <c r="I18" i="1" s="1"/>
  <c r="AD14" i="66"/>
  <c r="W52" i="67"/>
  <c r="D117" i="1" s="1"/>
  <c r="I117" i="1" s="1"/>
  <c r="G153" i="1"/>
  <c r="G140" i="1"/>
  <c r="G139" i="1"/>
  <c r="F31" i="38"/>
  <c r="H31" i="38" s="1"/>
  <c r="D13" i="38" s="1"/>
  <c r="E13" i="38" s="1"/>
  <c r="E15" i="40" s="1"/>
  <c r="F32" i="38"/>
  <c r="H32" i="38" s="1"/>
  <c r="D14" i="38" s="1"/>
  <c r="F30" i="38"/>
  <c r="H30" i="38" s="1"/>
  <c r="D12" i="38" s="1"/>
  <c r="F29" i="38"/>
  <c r="H29" i="38" s="1"/>
  <c r="D11" i="38" s="1"/>
  <c r="F28" i="38"/>
  <c r="H28" i="38" s="1"/>
  <c r="I129" i="1"/>
  <c r="I248" i="1"/>
  <c r="AA10" i="63" s="1"/>
  <c r="I38" i="31"/>
  <c r="I46" i="31" s="1"/>
  <c r="AF12" i="66" l="1"/>
  <c r="AF14" i="66" s="1"/>
  <c r="D82" i="1" s="1"/>
  <c r="F14" i="66"/>
  <c r="D145" i="1"/>
  <c r="AB10" i="63" s="1"/>
  <c r="AC10" i="63" s="1"/>
  <c r="D10" i="38"/>
  <c r="H33" i="38"/>
  <c r="E10" i="38" l="1"/>
  <c r="F15" i="40" s="1"/>
  <c r="E67" i="51" s="1"/>
  <c r="D15" i="38"/>
  <c r="H67" i="51" l="1"/>
  <c r="I67" i="51" s="1"/>
  <c r="L67" i="51" s="1"/>
  <c r="K24" i="40" s="1"/>
  <c r="E41" i="47"/>
  <c r="H41" i="47" s="1"/>
  <c r="J41" i="47" s="1"/>
  <c r="F10" i="40" l="1"/>
  <c r="M67" i="51"/>
  <c r="K41" i="47"/>
  <c r="G68" i="1" l="1"/>
  <c r="G69" i="1" s="1"/>
  <c r="I127" i="1"/>
  <c r="I130" i="1" s="1"/>
  <c r="G26" i="5" l="1"/>
  <c r="G73" i="1"/>
  <c r="I73" i="1" s="1"/>
  <c r="G70" i="1"/>
  <c r="G71" i="1" s="1"/>
  <c r="G27" i="5" l="1"/>
  <c r="I27" i="5" s="1"/>
  <c r="I71" i="1"/>
  <c r="I82" i="1"/>
  <c r="G137" i="1"/>
  <c r="I116" i="1" l="1"/>
  <c r="I140" i="1"/>
  <c r="I139" i="1"/>
  <c r="I137" i="1"/>
  <c r="I153" i="1"/>
  <c r="E10" i="40"/>
  <c r="D66" i="1" s="1"/>
  <c r="I154" i="1"/>
  <c r="I55" i="31" l="1"/>
  <c r="I55" i="59"/>
  <c r="I54" i="31"/>
  <c r="I54" i="59"/>
  <c r="G155" i="1"/>
  <c r="I155" i="1" s="1"/>
  <c r="I70" i="1" l="1"/>
  <c r="I120" i="1"/>
  <c r="I134" i="1" l="1"/>
  <c r="I135" i="1"/>
  <c r="I141" i="1" l="1"/>
  <c r="G30" i="5" l="1"/>
  <c r="G31" i="5" s="1"/>
  <c r="I31" i="5" s="1"/>
  <c r="D67" i="1" l="1"/>
  <c r="I67" i="1" l="1"/>
  <c r="C12" i="38" l="1"/>
  <c r="E12" i="38" l="1"/>
  <c r="H15" i="40" s="1"/>
  <c r="E65" i="51" s="1"/>
  <c r="C11" i="38"/>
  <c r="H65" i="51" l="1"/>
  <c r="E11" i="38"/>
  <c r="E39" i="47"/>
  <c r="I65" i="51" l="1"/>
  <c r="L65" i="51" s="1"/>
  <c r="H39" i="47"/>
  <c r="G15" i="40"/>
  <c r="E69" i="51" s="1"/>
  <c r="H69" i="51" l="1"/>
  <c r="E71" i="51"/>
  <c r="K32" i="40"/>
  <c r="M65" i="51"/>
  <c r="E43" i="47"/>
  <c r="J39" i="47"/>
  <c r="I69" i="51" l="1"/>
  <c r="H71" i="51"/>
  <c r="K39" i="47"/>
  <c r="H10" i="40"/>
  <c r="H43" i="47"/>
  <c r="E45" i="47"/>
  <c r="L69" i="51" l="1"/>
  <c r="I71" i="51"/>
  <c r="D69" i="1"/>
  <c r="J43" i="47"/>
  <c r="H45" i="47"/>
  <c r="I69" i="1" l="1"/>
  <c r="K28" i="40"/>
  <c r="M69" i="51"/>
  <c r="M71" i="51" s="1"/>
  <c r="L71" i="51"/>
  <c r="K43" i="47"/>
  <c r="K45" i="47" s="1"/>
  <c r="J45" i="47"/>
  <c r="G10" i="40" l="1"/>
  <c r="L10" i="40" s="1"/>
  <c r="D68" i="1" l="1"/>
  <c r="D75" i="1" s="1"/>
  <c r="I68" i="1" l="1"/>
  <c r="I75" i="1" s="1"/>
  <c r="F209" i="38" l="1"/>
  <c r="C14" i="38" s="1"/>
  <c r="C209" i="38"/>
  <c r="E14" i="38" l="1"/>
  <c r="C15" i="38"/>
  <c r="E15" i="38" l="1"/>
  <c r="I15" i="40"/>
  <c r="L15" i="40" s="1"/>
  <c r="M12" i="63" l="1"/>
  <c r="K12" i="63"/>
  <c r="L12" i="63" s="1"/>
  <c r="L11" i="63"/>
  <c r="N12" i="63" l="1"/>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 r="I119" i="1" l="1"/>
  <c r="D8" i="2" l="1"/>
  <c r="D10" i="2" s="1"/>
  <c r="D13" i="2" s="1"/>
  <c r="I202" i="1"/>
  <c r="I203" i="1" s="1"/>
  <c r="I205" i="1" s="1"/>
  <c r="K10" i="67" l="1"/>
  <c r="M10" i="67" s="1"/>
  <c r="Q10" i="67" s="1"/>
  <c r="K14" i="67"/>
  <c r="M14" i="67" s="1"/>
  <c r="Q14" i="67" s="1"/>
  <c r="K20" i="67"/>
  <c r="K25" i="67"/>
  <c r="M25" i="67" s="1"/>
  <c r="Q25" i="67" s="1"/>
  <c r="K15" i="67"/>
  <c r="M15" i="67" s="1"/>
  <c r="K30" i="67"/>
  <c r="M30" i="67" s="1"/>
  <c r="Q30" i="67" s="1"/>
  <c r="K21" i="67"/>
  <c r="M21" i="67" s="1"/>
  <c r="Q21" i="67" s="1"/>
  <c r="K31" i="67"/>
  <c r="M31" i="67" s="1"/>
  <c r="Q31" i="67" s="1"/>
  <c r="K26" i="67"/>
  <c r="M26" i="67" s="1"/>
  <c r="Q26" i="67" s="1"/>
  <c r="K16" i="67"/>
  <c r="M16" i="67" s="1"/>
  <c r="Q16" i="67" s="1"/>
  <c r="K22" i="67"/>
  <c r="M22" i="67" s="1"/>
  <c r="Q22" i="67" s="1"/>
  <c r="K27" i="67"/>
  <c r="M27" i="67" s="1"/>
  <c r="Q27" i="67" s="1"/>
  <c r="G81" i="1"/>
  <c r="I81" i="1" s="1"/>
  <c r="K17" i="67"/>
  <c r="M17" i="67" s="1"/>
  <c r="Q17" i="67" s="1"/>
  <c r="K12" i="67"/>
  <c r="M12" i="67" s="1"/>
  <c r="Q12" i="67" s="1"/>
  <c r="K28" i="67"/>
  <c r="M28" i="67" s="1"/>
  <c r="Q28" i="67" s="1"/>
  <c r="K13" i="67"/>
  <c r="M13" i="67" s="1"/>
  <c r="Q13" i="67" s="1"/>
  <c r="K19" i="67"/>
  <c r="M19" i="67" s="1"/>
  <c r="K24" i="67"/>
  <c r="M24" i="67" s="1"/>
  <c r="Q24" i="67" s="1"/>
  <c r="K29" i="67"/>
  <c r="M29" i="67" s="1"/>
  <c r="Q29" i="67" s="1"/>
  <c r="K8" i="67"/>
  <c r="M8" i="67" s="1"/>
  <c r="Q8" i="67" s="1"/>
  <c r="K9" i="67"/>
  <c r="M9" i="67" s="1"/>
  <c r="Q9" i="67" s="1"/>
  <c r="K11" i="67"/>
  <c r="M11" i="67" s="1"/>
  <c r="K23" i="67"/>
  <c r="M23" i="67" s="1"/>
  <c r="Q23" i="67" s="1"/>
  <c r="K18" i="67"/>
  <c r="M18" i="67" s="1"/>
  <c r="Q18" i="67" s="1"/>
  <c r="K7" i="67"/>
  <c r="M7" i="67" s="1"/>
  <c r="M20" i="67" l="1"/>
  <c r="M32" i="67" s="1"/>
  <c r="O15" i="67"/>
  <c r="Q15" i="67" s="1"/>
  <c r="O19" i="67"/>
  <c r="Q19" i="67" s="1"/>
  <c r="O11" i="67"/>
  <c r="Q7" i="67"/>
  <c r="O32" i="67" l="1"/>
  <c r="Q20" i="67"/>
  <c r="Q11" i="67"/>
  <c r="Q32" i="67" l="1"/>
  <c r="D115" i="1"/>
  <c r="I115" i="1" s="1"/>
  <c r="I123" i="1" s="1"/>
  <c r="D80" i="1" s="1"/>
  <c r="Y54" i="67"/>
  <c r="D123" i="1" l="1"/>
  <c r="I80" i="1"/>
  <c r="I83" i="1" s="1"/>
  <c r="I85" i="1" s="1"/>
  <c r="D83" i="1"/>
  <c r="D85" i="1" s="1"/>
  <c r="D158" i="1" s="1"/>
  <c r="D152" i="1" s="1"/>
  <c r="D156" i="1" s="1"/>
  <c r="D161" i="1" s="1"/>
  <c r="G22" i="5"/>
  <c r="G23" i="5" s="1"/>
  <c r="I23" i="5" s="1"/>
  <c r="I33" i="5" s="1"/>
  <c r="I8" i="31" l="1"/>
  <c r="I40" i="31" s="1"/>
  <c r="I53" i="31" s="1"/>
  <c r="I57" i="31" s="1"/>
  <c r="I61" i="31" s="1"/>
  <c r="I8" i="59"/>
  <c r="I158" i="1"/>
  <c r="F63" i="5"/>
  <c r="G63" i="5" s="1"/>
  <c r="F62" i="5"/>
  <c r="G62" i="5" s="1"/>
  <c r="I63" i="31" l="1"/>
  <c r="I152" i="1"/>
  <c r="I156" i="1" s="1"/>
  <c r="I226" i="1"/>
  <c r="G40" i="5"/>
  <c r="G41" i="5" s="1"/>
  <c r="I41" i="5" s="1"/>
  <c r="I66" i="59"/>
  <c r="I40" i="59"/>
  <c r="I53" i="59" l="1"/>
  <c r="I57" i="59" s="1"/>
  <c r="I63" i="59"/>
  <c r="I231" i="1"/>
  <c r="G36" i="5"/>
  <c r="G37" i="5" s="1"/>
  <c r="I37" i="5" s="1"/>
  <c r="I43" i="5" s="1"/>
  <c r="I64" i="31"/>
  <c r="I225" i="1"/>
  <c r="I227" i="1" s="1"/>
  <c r="I161" i="1"/>
  <c r="AK17" i="60" l="1"/>
  <c r="AK15" i="60"/>
  <c r="AK13" i="60"/>
  <c r="AK16" i="60"/>
  <c r="AK14" i="60"/>
  <c r="AK12" i="60"/>
  <c r="I62" i="5"/>
  <c r="J62" i="5" s="1"/>
  <c r="L62" i="5" s="1"/>
  <c r="I63" i="5"/>
  <c r="J63" i="5" s="1"/>
  <c r="L63" i="5" s="1"/>
  <c r="I61" i="59"/>
  <c r="I65" i="59" s="1"/>
  <c r="I67" i="59" s="1"/>
  <c r="I230" i="1"/>
  <c r="I232" i="1" s="1"/>
  <c r="I234" i="1" s="1"/>
  <c r="I64" i="59"/>
  <c r="AL13" i="60" l="1"/>
  <c r="AM13" i="60" s="1"/>
  <c r="AL12" i="60"/>
  <c r="AM12" i="60" s="1"/>
  <c r="AL14" i="60"/>
  <c r="AM14" i="60" s="1"/>
  <c r="N63" i="5"/>
  <c r="O63" i="5" s="1"/>
  <c r="AL16" i="60"/>
  <c r="AM16" i="60" s="1"/>
  <c r="AL17" i="60"/>
  <c r="AM17" i="60" s="1"/>
  <c r="N62" i="5"/>
  <c r="AL15" i="60"/>
  <c r="AM15" i="60" s="1"/>
  <c r="N79" i="5" l="1"/>
  <c r="D164" i="1" s="1"/>
  <c r="I164" i="1" s="1"/>
  <c r="AM31" i="60"/>
  <c r="D163" i="1" s="1"/>
  <c r="I163" i="1" s="1"/>
  <c r="O62" i="5"/>
  <c r="O78" i="5" s="1"/>
  <c r="D19" i="1" s="1"/>
  <c r="I167" i="1" l="1"/>
  <c r="I11" i="1" s="1"/>
  <c r="D167" i="1"/>
  <c r="D20" i="1"/>
  <c r="I19" i="1"/>
  <c r="I20" i="1" s="1"/>
  <c r="I23" i="1" l="1"/>
  <c r="B10" i="68" s="1"/>
  <c r="F10" i="68" s="1"/>
  <c r="G72" i="68" s="1"/>
  <c r="G73" i="68" l="1"/>
  <c r="A72" i="68"/>
  <c r="G74" i="68" l="1"/>
  <c r="A73" i="68"/>
  <c r="A74" i="68" l="1"/>
  <c r="I47" i="61" l="1"/>
  <c r="I51" i="61" s="1"/>
  <c r="E51" i="61"/>
  <c r="Q62" i="5"/>
  <c r="I17" i="6" s="1"/>
  <c r="Q63" i="5"/>
  <c r="I18" i="6" s="1"/>
  <c r="J18" i="6" s="1"/>
  <c r="I34" i="6" l="1"/>
  <c r="B10" i="69" s="1"/>
  <c r="F10" i="69" s="1"/>
  <c r="G72" i="69" s="1"/>
  <c r="J17" i="6"/>
  <c r="J34" i="6" s="1"/>
  <c r="G73" i="69" l="1"/>
  <c r="A72" i="69"/>
  <c r="G74" i="69" l="1"/>
  <c r="L36" i="6"/>
  <c r="A73" i="69"/>
  <c r="A74" i="69" s="1"/>
  <c r="K19" i="6" l="1"/>
  <c r="L19" i="6" s="1"/>
  <c r="K18" i="6"/>
  <c r="L18" i="6" s="1"/>
  <c r="K17" i="6"/>
  <c r="L17" i="6" s="1"/>
  <c r="L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tc={0278AB86-2CCF-4866-ABF3-BE979207B858}</author>
    <author>tc={838EC3BE-C983-4742-A9D7-E4FF5F1C7599}</author>
  </authors>
  <commentList>
    <comment ref="D126" authorId="0" shapeId="0" xr:uid="{0278AB86-2CCF-4866-ABF3-BE979207B858}">
      <text>
        <t>[Threaded comment]
Your version of Excel allows you to read this threaded comment; however, any edits to it will get removed if the file is opened in a newer version of Excel. Learn more: https://go.microsoft.com/fwlink/?linkid=870924
Comment:
    $54523 is added depr exp related to in-service adjustments - see file "SFC in-serv adjustments by month 2023"</t>
      </text>
    </comment>
    <comment ref="D127" authorId="1" shapeId="0" xr:uid="{838EC3BE-C983-4742-A9D7-E4FF5F1C7599}">
      <text>
        <t>[Threaded comment]
Your version of Excel allows you to read this threaded comment; however, any edits to it will get removed if the file is opened in a newer version of Excel. Learn more: https://go.microsoft.com/fwlink/?linkid=870924
Comment:
    $145991 is added depr exp related to in-service adjustments - see file "SFC in-serv adjustments by month 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tc={66B69456-464D-41A7-8ED6-25FB64E5A930}</author>
  </authors>
  <commentList>
    <comment ref="O20" authorId="0" shapeId="0" xr:uid="{66B69456-464D-41A7-8ED6-25FB64E5A930}">
      <text>
        <t>[Threaded comment]
Your version of Excel allows you to read this threaded comment; however, any edits to it will get removed if the file is opened in a newer version of Excel. Learn more: https://go.microsoft.com/fwlink/?linkid=870924
Comment:
    AGC expense</t>
      </text>
    </comment>
  </commentList>
</comments>
</file>

<file path=xl/sharedStrings.xml><?xml version="1.0" encoding="utf-8"?>
<sst xmlns="http://schemas.openxmlformats.org/spreadsheetml/2006/main" count="2624" uniqueCount="1402">
  <si>
    <t>page 1 of 5</t>
  </si>
  <si>
    <t xml:space="preserve">Formula Rate - Non-Levelized </t>
  </si>
  <si>
    <t xml:space="preserve">     Rate Formula Template</t>
  </si>
  <si>
    <t xml:space="preserve"> </t>
  </si>
  <si>
    <t xml:space="preserve"> Utilizing FERC Form 1 Data</t>
  </si>
  <si>
    <t>Line</t>
  </si>
  <si>
    <t>Allocated</t>
  </si>
  <si>
    <t>No.</t>
  </si>
  <si>
    <t>Amount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</si>
  <si>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</si>
  <si>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</si>
  <si>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</si>
  <si>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</si>
  <si>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</si>
  <si>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</si>
  <si>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</si>
  <si>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</si>
  <si>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</si>
  <si>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</si>
  <si>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</si>
  <si>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</si>
  <si>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</si>
  <si>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</si>
  <si>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</si>
  <si>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</si>
  <si>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</si>
  <si>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</si>
  <si>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</si>
  <si>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</si>
  <si>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</si>
  <si>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</si>
  <si>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</si>
  <si>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</si>
  <si>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</si>
  <si>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</si>
  <si>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</si>
  <si>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</si>
  <si>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</si>
  <si>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</si>
  <si>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</si>
  <si>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</si>
  <si>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</si>
  <si>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</si>
  <si>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</si>
  <si>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</si>
  <si>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</si>
  <si>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</si>
  <si>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</si>
  <si>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</si>
  <si>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</si>
  <si>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</si>
  <si>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</si>
  <si>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</si>
  <si>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</si>
  <si>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</si>
  <si>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</si>
  <si>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</si>
  <si>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</si>
  <si>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</si>
  <si>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</si>
  <si>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</si>
  <si>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</si>
  <si>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</si>
  <si>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</si>
  <si>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</si>
  <si>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</si>
  <si>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</si>
  <si>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</si>
  <si>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</si>
  <si>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</si>
  <si>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</si>
  <si>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</si>
  <si>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</si>
  <si>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</si>
  <si>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</si>
  <si>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</si>
  <si>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</si>
  <si>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</si>
  <si>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</si>
  <si>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</si>
  <si>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</si>
  <si>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</si>
  <si>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</si>
  <si>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</si>
  <si>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</si>
  <si>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</si>
  <si>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</si>
  <si>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</si>
  <si>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</si>
  <si>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</si>
  <si>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</si>
  <si>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(Note P)</t>
  </si>
  <si>
    <t>Weighted</t>
  </si>
  <si>
    <t>=WCLTD</t>
  </si>
  <si>
    <t>=R</t>
  </si>
  <si>
    <t>REVENUE CREDITS</t>
  </si>
  <si>
    <t>ACCOUNT 447 (SALES FOR RESALE)</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</si>
  <si>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</si>
  <si>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</si>
  <si>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</si>
  <si>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</si>
  <si>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</si>
  <si>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</si>
  <si>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</si>
  <si>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</si>
  <si>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</si>
  <si>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</si>
  <si>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</si>
  <si>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</si>
  <si>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</si>
  <si>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</si>
  <si>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</si>
  <si>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</si>
  <si>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</si>
  <si>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</si>
  <si>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</si>
  <si>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</si>
  <si>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</si>
  <si>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</si>
  <si>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</si>
  <si>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</si>
  <si>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</si>
  <si>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Includes income related only to transmission facilities, such as pole attachments, rentals and special use.</t>
  </si>
  <si>
    <t>W</t>
  </si>
  <si>
    <t>205.46.g</t>
  </si>
  <si>
    <t>207.75.g</t>
  </si>
  <si>
    <t>354.20.b</t>
  </si>
  <si>
    <t>354.21.b</t>
  </si>
  <si>
    <t>354.23.b</t>
  </si>
  <si>
    <t>page 3 of 5</t>
  </si>
  <si>
    <t>page 4 of 5</t>
  </si>
  <si>
    <t>(Note E)</t>
  </si>
  <si>
    <t>= WS</t>
  </si>
  <si>
    <t>Preferred Dividends  (118.29c) (positive number)</t>
  </si>
  <si>
    <t>Inputs Required:</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</si>
  <si>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</si>
  <si>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</si>
  <si>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</si>
  <si>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</si>
  <si>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</si>
  <si>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</si>
  <si>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</si>
  <si>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</si>
  <si>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</si>
  <si>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</si>
  <si>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</si>
  <si>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</si>
  <si>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</si>
  <si>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</si>
  <si>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</si>
  <si>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</si>
  <si>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</si>
  <si>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</si>
  <si>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</si>
  <si>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</si>
  <si>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</si>
  <si>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</si>
  <si>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</si>
  <si>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</si>
  <si>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</si>
  <si>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</si>
  <si>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</si>
  <si>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</si>
  <si>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</si>
  <si>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</si>
  <si>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</si>
  <si>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</si>
  <si>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</si>
  <si>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</si>
  <si>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</si>
  <si>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</si>
  <si>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</si>
  <si>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</si>
  <si>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</si>
  <si>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</si>
  <si>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</si>
  <si>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</si>
  <si>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</si>
  <si>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</si>
  <si>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</si>
  <si>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</si>
  <si>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</si>
  <si>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</si>
  <si>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</si>
  <si>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</si>
  <si>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</si>
  <si>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</si>
  <si>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</si>
  <si>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</si>
  <si>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</si>
  <si>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</si>
  <si>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</si>
  <si>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</si>
  <si>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</si>
  <si>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</si>
  <si>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</si>
  <si>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</si>
  <si>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</si>
  <si>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</si>
  <si>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</si>
  <si>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</si>
  <si>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</si>
  <si>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</si>
  <si>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</si>
  <si>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</si>
  <si>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</si>
  <si>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</si>
  <si>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</si>
  <si>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</si>
  <si>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</si>
  <si>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</si>
  <si>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</si>
  <si>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</si>
  <si>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</si>
  <si>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</si>
  <si>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</si>
  <si>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</si>
  <si>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</si>
  <si>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</si>
  <si>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</si>
  <si>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</si>
  <si>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</si>
  <si>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</si>
  <si>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</si>
  <si>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</si>
  <si>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</si>
  <si>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</si>
  <si>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</si>
  <si>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</si>
  <si>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</si>
  <si>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</si>
  <si>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</si>
  <si>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</si>
  <si>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</si>
  <si>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</si>
  <si>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</si>
  <si>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</si>
  <si>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</si>
  <si>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</si>
  <si>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</si>
  <si>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</si>
  <si>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</si>
  <si>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</si>
  <si>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</si>
  <si>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</si>
  <si>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</si>
  <si>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</si>
  <si>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</si>
  <si>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Amortized Investment Tax Credit (266.8.f) (enter negative)</t>
  </si>
  <si>
    <t xml:space="preserve">  a. Bundled Non-RQ Sales for Resale (311.x.h)</t>
  </si>
  <si>
    <t>(State Income Tax Rate or Composite SIT)</t>
  </si>
  <si>
    <t>(percent of federal income tax deductible for state purposes)</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</si>
  <si>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</si>
  <si>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</si>
  <si>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</si>
  <si>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</si>
  <si>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</si>
  <si>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</si>
  <si>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</si>
  <si>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</si>
  <si>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</si>
  <si>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FERC Account</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</si>
  <si>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</si>
  <si>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</si>
  <si>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</si>
  <si>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</si>
  <si>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</si>
  <si>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</si>
  <si>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</si>
  <si>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</si>
  <si>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</si>
  <si>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</si>
  <si>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</si>
  <si>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</si>
  <si>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</si>
  <si>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</si>
  <si>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</si>
  <si>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</si>
  <si>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</si>
  <si>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</si>
  <si>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</si>
  <si>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</si>
  <si>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</si>
  <si>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</si>
  <si>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</si>
  <si>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</si>
  <si>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</si>
  <si>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</si>
  <si>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</si>
  <si>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</si>
  <si>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</si>
  <si>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</si>
  <si>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</si>
  <si>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</si>
  <si>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</si>
  <si>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</si>
  <si>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</si>
  <si>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</si>
  <si>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</si>
  <si>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DA</t>
  </si>
  <si>
    <t>company records</t>
  </si>
  <si>
    <t>(Line 12 * Line 15)</t>
  </si>
  <si>
    <t>(Line 13 * Line 16)</t>
  </si>
  <si>
    <t>(Line 14 * Line 17)</t>
  </si>
  <si>
    <t>Sum lines 29 to 32</t>
  </si>
  <si>
    <t>(line 22 * line 24)</t>
  </si>
  <si>
    <t>(Line 22 + Line 33)</t>
  </si>
  <si>
    <t>Line 1</t>
  </si>
  <si>
    <t xml:space="preserve">Rate Base </t>
  </si>
  <si>
    <t>(Note G)</t>
  </si>
  <si>
    <t>Retail</t>
  </si>
  <si>
    <t xml:space="preserve">Plant </t>
  </si>
  <si>
    <t>Labor</t>
  </si>
  <si>
    <t>Related</t>
  </si>
  <si>
    <t>ADIT</t>
  </si>
  <si>
    <t>ADIT-283 From Account Total Below</t>
  </si>
  <si>
    <t>ADIT-190 From Account Total Below</t>
  </si>
  <si>
    <t>ADIT-190</t>
  </si>
  <si>
    <t xml:space="preserve">End of Year  </t>
  </si>
  <si>
    <t>Gas, Prod</t>
  </si>
  <si>
    <t>Only</t>
  </si>
  <si>
    <t>Balance</t>
  </si>
  <si>
    <t>Or Other</t>
  </si>
  <si>
    <t>p234.18.c</t>
  </si>
  <si>
    <t>JUSTIFICATION</t>
  </si>
  <si>
    <t>Instructions for Account 190:</t>
  </si>
  <si>
    <t xml:space="preserve"> 1.  ADIT items related only to Retail Related Operations are directly assigned to Column C.</t>
  </si>
  <si>
    <t xml:space="preserve"> 2.  ADIT items related only to Non-Electric Operations (e.g., Gas, Water, Sewer) or Production are directly assigned to Column D.</t>
  </si>
  <si>
    <t>3.  ADIT items related only to Transmission are directly assigned to Column E.</t>
  </si>
  <si>
    <t>4.  ADIT items related to Plant and not in Columns C, D &amp; E are directly assigned to Column F.</t>
  </si>
  <si>
    <t>5.  ADIT items related to labor and not in Columns C, D, E &amp; F are directly assigned to Column G.</t>
  </si>
  <si>
    <t xml:space="preserve"> 6. Deferred income taxes arise when items are included in taxable income in different periods than they are included in rates.  Therefore, if the item giving rise to the ADIT is not included in the formula, the associated ADIT amount shall be excluded.</t>
  </si>
  <si>
    <t>p275.9.k</t>
  </si>
  <si>
    <t>Instructions for Account 282:</t>
  </si>
  <si>
    <t>ADIT-283</t>
  </si>
  <si>
    <t>p277.19.k</t>
  </si>
  <si>
    <t>Instructions for Account 283:</t>
  </si>
  <si>
    <t>ADIT-281</t>
  </si>
  <si>
    <t>p273.8.k</t>
  </si>
  <si>
    <t>ADIT-281 From Account Total Below</t>
  </si>
  <si>
    <t>ADIT-255 From Account Total Below</t>
  </si>
  <si>
    <t>Instructions for Account 281:</t>
  </si>
  <si>
    <t>ADIT-255</t>
  </si>
  <si>
    <t>Instructions for Account 255:</t>
  </si>
  <si>
    <t>p267.h</t>
  </si>
  <si>
    <t>Accumulated Depreciation</t>
  </si>
  <si>
    <t>Project Net Plant</t>
  </si>
  <si>
    <t>Net Plant Detail</t>
  </si>
  <si>
    <t>Based on a 13-month average</t>
  </si>
  <si>
    <t>(line 12 divided by line 2, col. 3)</t>
  </si>
  <si>
    <t xml:space="preserve">Gross Plant </t>
  </si>
  <si>
    <t>Plant &amp; Labor</t>
  </si>
  <si>
    <t>Wages &amp; Salary</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</si>
  <si>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</si>
  <si>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</si>
  <si>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</si>
  <si>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</si>
  <si>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</si>
  <si>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</si>
  <si>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</si>
  <si>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</si>
  <si>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</si>
  <si>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</si>
  <si>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</si>
  <si>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</si>
  <si>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</si>
  <si>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</si>
  <si>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</si>
  <si>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</si>
  <si>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</si>
  <si>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</si>
  <si>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</si>
  <si>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</si>
  <si>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</si>
  <si>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</si>
  <si>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</si>
  <si>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</si>
  <si>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</si>
  <si>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</si>
  <si>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</si>
  <si>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</si>
  <si>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</si>
  <si>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</si>
  <si>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</si>
  <si>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</si>
  <si>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</si>
  <si>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</si>
  <si>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</si>
  <si>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</si>
  <si>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</si>
  <si>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</si>
  <si>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</si>
  <si>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</si>
  <si>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</si>
  <si>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</si>
  <si>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</si>
  <si>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</si>
  <si>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</si>
  <si>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</si>
  <si>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</si>
  <si>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</si>
  <si>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</si>
  <si>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</si>
  <si>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</si>
  <si>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</si>
  <si>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</si>
  <si>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</si>
  <si>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</si>
  <si>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</si>
  <si>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</si>
  <si>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</si>
  <si>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</si>
  <si>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</si>
  <si>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</si>
  <si>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</si>
  <si>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</si>
  <si>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</si>
  <si>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</si>
  <si>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</si>
  <si>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</si>
  <si>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</si>
  <si>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</si>
  <si>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</si>
  <si>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</si>
  <si>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</si>
  <si>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</si>
  <si>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</si>
  <si>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</si>
  <si>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</si>
  <si>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</si>
  <si>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</si>
  <si>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</si>
  <si>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</si>
  <si>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</si>
  <si>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</si>
  <si>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</si>
  <si>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</si>
  <si>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</si>
  <si>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</si>
  <si>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</si>
  <si>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</si>
  <si>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</si>
  <si>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</si>
  <si>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</si>
  <si>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</si>
  <si>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</si>
  <si>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</si>
  <si>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(Page 1, line 9)</t>
  </si>
  <si>
    <t>Page 1, line 14</t>
  </si>
  <si>
    <t>(Note C &amp; H)</t>
  </si>
  <si>
    <t>(Note D &amp; H)</t>
  </si>
  <si>
    <t>Additional Incentive Annual Allocation Factor for Return (Note F)</t>
  </si>
  <si>
    <t xml:space="preserve">ADIT- 282 </t>
  </si>
  <si>
    <t>End Plant</t>
  </si>
  <si>
    <t>End Labor</t>
  </si>
  <si>
    <t xml:space="preserve">End Plant &amp; Labor Related </t>
  </si>
  <si>
    <t xml:space="preserve">  Account No. 456</t>
  </si>
  <si>
    <t>[1]</t>
  </si>
  <si>
    <t>[2]</t>
  </si>
  <si>
    <t>[3]</t>
  </si>
  <si>
    <t>[4]</t>
  </si>
  <si>
    <t>[5]</t>
  </si>
  <si>
    <t>[6]</t>
  </si>
  <si>
    <t>[7]</t>
  </si>
  <si>
    <t>1a</t>
  </si>
  <si>
    <t>1b</t>
  </si>
  <si>
    <t>1c</t>
  </si>
  <si>
    <t>2</t>
  </si>
  <si>
    <t>3b</t>
  </si>
  <si>
    <t>3c</t>
  </si>
  <si>
    <t>5a</t>
  </si>
  <si>
    <t>5b</t>
  </si>
  <si>
    <t>5c</t>
  </si>
  <si>
    <t>1z</t>
  </si>
  <si>
    <t>2z</t>
  </si>
  <si>
    <t>3z</t>
  </si>
  <si>
    <t>4z</t>
  </si>
  <si>
    <t>5z</t>
  </si>
  <si>
    <t>6z</t>
  </si>
  <si>
    <t>Total other than income taxes (sum lines 1z, 2z, 3z, 4z, 5z, 6z) 
[tie to 114.14c]</t>
  </si>
  <si>
    <t xml:space="preserve">Includes only CWIP authorized by the Commission for inclusion in rate base.  </t>
  </si>
  <si>
    <t>Rate Base</t>
  </si>
  <si>
    <t>Preferred Dividends</t>
  </si>
  <si>
    <t xml:space="preserve"> enter positive</t>
  </si>
  <si>
    <t>Proprietary Capital</t>
  </si>
  <si>
    <t>Capitalization</t>
  </si>
  <si>
    <t>Debt %</t>
  </si>
  <si>
    <t>Preferred %</t>
  </si>
  <si>
    <t>Common %</t>
  </si>
  <si>
    <t>Preferred Cost</t>
  </si>
  <si>
    <t>Common Cost</t>
  </si>
  <si>
    <t>Weighted Cost of Debt</t>
  </si>
  <si>
    <t>Weighted Cost of Preferred</t>
  </si>
  <si>
    <t>Weighted Cost of Common</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</si>
  <si>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</si>
  <si>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</si>
  <si>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</si>
  <si>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</si>
  <si>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</si>
  <si>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</si>
  <si>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</si>
  <si>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</si>
  <si>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</si>
  <si>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</si>
  <si>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</si>
  <si>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Attachment 8, Line 14, Col. 1</t>
  </si>
  <si>
    <t>Attachment 8, Line 14, Col. 6</t>
  </si>
  <si>
    <t>3a</t>
  </si>
  <si>
    <t>Actual Revenues for Attachment 11</t>
  </si>
  <si>
    <t>1d</t>
  </si>
  <si>
    <t>112.3.c</t>
  </si>
  <si>
    <t>207.98.g</t>
  </si>
  <si>
    <t>[G]</t>
  </si>
  <si>
    <t>CIAC</t>
  </si>
  <si>
    <t>Incremental Return and incomes taxes for increase in ROE</t>
  </si>
  <si>
    <t>Incremental Return and incomes taxes for increase in ROE divided by rate base</t>
  </si>
  <si>
    <t>page 1 of 6</t>
  </si>
  <si>
    <t>page 6 of 6</t>
  </si>
  <si>
    <t>page 5 of 6</t>
  </si>
  <si>
    <t>page 4 of 6</t>
  </si>
  <si>
    <t>page 3 of 6</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</si>
  <si>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</si>
  <si>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</si>
  <si>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</si>
  <si>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</si>
  <si>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</si>
  <si>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</si>
  <si>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</si>
  <si>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</si>
  <si>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</si>
  <si>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</si>
  <si>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 xml:space="preserve"> Transmission Ending</t>
  </si>
  <si>
    <t>ADIT-283 From Account Subtotal Below</t>
  </si>
  <si>
    <t>ADIT-190 From Account Subtotal Below</t>
  </si>
  <si>
    <t>ADIT-281 From Account Subtotal Below</t>
  </si>
  <si>
    <t>ADIT-255 From Account Subtotal Below</t>
  </si>
  <si>
    <t>Total Transmission Ending</t>
  </si>
  <si>
    <t>From column F (beginning on page 2)</t>
  </si>
  <si>
    <t>From column G (beginning on page 2)</t>
  </si>
  <si>
    <t>(Note F)</t>
  </si>
  <si>
    <t>Total (sum rows 1-5)</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</si>
  <si>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</si>
  <si>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</si>
  <si>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</si>
  <si>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</si>
  <si>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</si>
  <si>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</si>
  <si>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</si>
  <si>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</si>
  <si>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</si>
  <si>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Reserve for Depreciation of Asset Retirement Costs</t>
  </si>
  <si>
    <t>Balance excludes Asset Retirements Costs</t>
  </si>
  <si>
    <t>Balance excludes reserve for depreciation of asset retirement costs</t>
  </si>
  <si>
    <t>From column E (beginning on page 2) by account</t>
  </si>
  <si>
    <t>page 2 of 6</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</si>
  <si>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</si>
  <si>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</si>
  <si>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</si>
  <si>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</si>
  <si>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</si>
  <si>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</si>
  <si>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</si>
  <si>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</si>
  <si>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</si>
  <si>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</si>
  <si>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</si>
  <si>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</si>
  <si>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</si>
  <si>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</si>
  <si>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</si>
  <si>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</si>
  <si>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</si>
  <si>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</si>
  <si>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</si>
  <si>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</si>
  <si>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</si>
  <si>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</si>
  <si>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</si>
  <si>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</si>
  <si>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</si>
  <si>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</si>
  <si>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</si>
  <si>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</si>
  <si>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</si>
  <si>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</si>
  <si>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</si>
  <si>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</si>
  <si>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</si>
  <si>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</si>
  <si>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</si>
  <si>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</si>
  <si>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</si>
  <si>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</si>
  <si>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</si>
  <si>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</si>
  <si>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</si>
  <si>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</si>
  <si>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</si>
  <si>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</si>
  <si>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</si>
  <si>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</si>
  <si>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</si>
  <si>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</si>
  <si>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</si>
  <si>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</si>
  <si>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</si>
  <si>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</si>
  <si>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</si>
  <si>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</si>
  <si>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</si>
  <si>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</si>
  <si>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</si>
  <si>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</si>
  <si>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</si>
  <si>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</si>
  <si>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</si>
  <si>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</si>
  <si>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Summary of Transmission ADIT (Prior to adjusted items)</t>
  </si>
  <si>
    <t>(page 1, Col. K)</t>
  </si>
  <si>
    <t>(col. 2 + col. 3) (Note E)</t>
  </si>
  <si>
    <t>Total Transmission Ending taken to Attachment 5, line 2</t>
  </si>
  <si>
    <t>Years Remaining at Year End</t>
  </si>
  <si>
    <t xml:space="preserve">labor (labor not capitalized) current year, transmission only </t>
  </si>
  <si>
    <t>Total FirstEnergy PBOP expenses</t>
  </si>
  <si>
    <t>PBOP expense in Account 926 for current year, total company</t>
  </si>
  <si>
    <t xml:space="preserve">W&amp;S Labor Allocator </t>
  </si>
  <si>
    <t>Allocated Transmission PBOP (line 8 * line 9)</t>
  </si>
  <si>
    <t>Attachment 6, Line 11 (Note C)</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</si>
  <si>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</si>
  <si>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</si>
  <si>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</si>
  <si>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</si>
  <si>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</si>
  <si>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</si>
  <si>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</si>
  <si>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</si>
  <si>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</si>
  <si>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Col. A + Col. B</t>
  </si>
  <si>
    <t xml:space="preserve">(Col. A * Col. D) + (Col. B * Col. E) </t>
  </si>
  <si>
    <t>Line 1= A-E-F                               Lines 2-3= -A+E+F</t>
  </si>
  <si>
    <t>Line 5= H-M-O                               Lines 6-7= -H+M+O</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</si>
  <si>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</si>
  <si>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</si>
  <si>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</si>
  <si>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</si>
  <si>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</si>
  <si>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</si>
  <si>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</si>
  <si>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</si>
  <si>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</si>
  <si>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</si>
  <si>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</si>
  <si>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</si>
  <si>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</si>
  <si>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</si>
  <si>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</si>
  <si>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</si>
  <si>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</si>
  <si>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</si>
  <si>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</si>
  <si>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</si>
  <si>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</si>
  <si>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</si>
  <si>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</si>
  <si>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</si>
  <si>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</si>
  <si>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</si>
  <si>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</si>
  <si>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</si>
  <si>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</si>
  <si>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</si>
  <si>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</si>
  <si>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</si>
  <si>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</si>
  <si>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</si>
  <si>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</si>
  <si>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</si>
  <si>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</si>
  <si>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</si>
  <si>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</si>
  <si>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Maintenance of General Plant</t>
  </si>
  <si>
    <t>Note: (1)</t>
  </si>
  <si>
    <t xml:space="preserve">cost per labor dollar </t>
  </si>
  <si>
    <t>Ending ADIT Balance Included in Formula Rate</t>
  </si>
  <si>
    <t>Normalization</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</si>
  <si>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</si>
  <si>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</si>
  <si>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</si>
  <si>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</si>
  <si>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</si>
  <si>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</si>
  <si>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</si>
  <si>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</si>
  <si>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</si>
  <si>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</si>
  <si>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</si>
  <si>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</si>
  <si>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</si>
  <si>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</si>
  <si>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</si>
  <si>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</si>
  <si>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</si>
  <si>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</si>
  <si>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</si>
  <si>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</si>
  <si>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</si>
  <si>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</si>
  <si>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</si>
  <si>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</si>
  <si>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</si>
  <si>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</si>
  <si>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</si>
  <si>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</si>
  <si>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</si>
  <si>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</si>
  <si>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Property Book-Tax Timing Difference - Account 190</t>
  </si>
  <si>
    <t>Property Book-Tax Timing Difference - Account 282</t>
  </si>
  <si>
    <t>Property Book-Tax Timing Difference - Account 283</t>
  </si>
  <si>
    <t xml:space="preserve">Property Gross up for Taxes </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</si>
  <si>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</si>
  <si>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</si>
  <si>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</si>
  <si>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</si>
  <si>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</si>
  <si>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</si>
  <si>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</si>
  <si>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</si>
  <si>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</si>
  <si>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</si>
  <si>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</si>
  <si>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</si>
  <si>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</si>
  <si>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</si>
  <si>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</si>
  <si>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</si>
  <si>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</si>
  <si>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</si>
  <si>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</si>
  <si>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</si>
  <si>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</si>
  <si>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</si>
  <si>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</si>
  <si>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</si>
  <si>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</si>
  <si>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</si>
  <si>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</si>
  <si>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</si>
  <si>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</si>
  <si>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</si>
  <si>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</si>
  <si>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</si>
  <si>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</si>
  <si>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Sub-transmission balance from company records</t>
  </si>
  <si>
    <t xml:space="preserve">  Sub-Transmission</t>
  </si>
  <si>
    <t>ROE Basis Pts adder</t>
  </si>
  <si>
    <t>Sub-Transmission [D]</t>
  </si>
  <si>
    <t>Incremental return and income taxes</t>
  </si>
  <si>
    <t>Attach 2a Line 33 / Page 2, Line 14, Col. 5</t>
  </si>
  <si>
    <t>Attach 2a Line 22 / Page 2, Line 14, Col. 5</t>
  </si>
  <si>
    <t xml:space="preserve">  Unamortized Regulatory asset</t>
  </si>
  <si>
    <t xml:space="preserve">Sub-Transmission A&amp;G reduction percent </t>
  </si>
  <si>
    <t xml:space="preserve">Less Sub-Transmission A&amp;G </t>
  </si>
  <si>
    <r>
      <t xml:space="preserve">Tax Effect of Permanent Differences and AFUDC Equity </t>
    </r>
    <r>
      <rPr>
        <strike/>
        <sz val="12"/>
        <rFont val="Times New Roman"/>
        <family val="1"/>
      </rPr>
      <t xml:space="preserve"> </t>
    </r>
  </si>
  <si>
    <t xml:space="preserve">(Excess)/Deficient Deferred Income Taxes </t>
  </si>
  <si>
    <t>Line 37 / Line 38</t>
  </si>
  <si>
    <t>[8]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</si>
  <si>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</si>
  <si>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</si>
  <si>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</si>
  <si>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</si>
  <si>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</si>
  <si>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</si>
  <si>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</si>
  <si>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</si>
  <si>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</si>
  <si>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</si>
  <si>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</si>
  <si>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</si>
  <si>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</si>
  <si>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</si>
  <si>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</si>
  <si>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</si>
  <si>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</si>
  <si>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</si>
  <si>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</si>
  <si>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</si>
  <si>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</si>
  <si>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</si>
  <si>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Months Remaining at year beginning</t>
  </si>
  <si>
    <t>ROE Calculation</t>
  </si>
  <si>
    <t>Return and Taxes</t>
  </si>
  <si>
    <t>Return and Income taxes with ROE</t>
  </si>
  <si>
    <t>Annual Allocation Factor for Income taxes and Return (ROE)</t>
  </si>
  <si>
    <t>Incremental Return and Taxes</t>
  </si>
  <si>
    <t>Transmission [E]</t>
  </si>
  <si>
    <t>Distribution [F]</t>
  </si>
  <si>
    <t>Distribution amount includes sub-transmission</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</si>
  <si>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</si>
  <si>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</si>
  <si>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</si>
  <si>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Transmission amount excludes sub-transmission</t>
  </si>
  <si>
    <t>FirstEnergy 2019 Actuarial Study</t>
  </si>
  <si>
    <t>FirstEnergy 2019 Actual: Company Records</t>
  </si>
  <si>
    <t>Source (B)</t>
  </si>
  <si>
    <t>Amortization Amount (C)</t>
  </si>
  <si>
    <t>Year (D)</t>
  </si>
  <si>
    <t>Yearly Amort. Expense (E)</t>
  </si>
  <si>
    <t>Average (F)</t>
  </si>
  <si>
    <t>(E)</t>
  </si>
  <si>
    <t>Cumulative Months Amortized by end of year</t>
  </si>
  <si>
    <t>Regulatory Asset Name (A)</t>
  </si>
  <si>
    <t>Annual MWh in AP Zone - Note B</t>
  </si>
  <si>
    <t>(B)</t>
  </si>
  <si>
    <t>(C)</t>
  </si>
  <si>
    <t>(D)</t>
  </si>
  <si>
    <t>NOTES</t>
  </si>
  <si>
    <t>Col. f - Col. g</t>
  </si>
  <si>
    <t>Col. h line 2x / Col. h line 3  * Col. j line 4</t>
  </si>
  <si>
    <t>Attachment 5, Line 1, Col. 2 (Notes C, F)</t>
  </si>
  <si>
    <t xml:space="preserve">Sourced from Attachment 5a, page 1, Lines 1-5, col. 4 </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</si>
  <si>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</si>
  <si>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</si>
  <si>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</si>
  <si>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</si>
  <si>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</si>
  <si>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</si>
  <si>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</si>
  <si>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</si>
  <si>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</si>
  <si>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</si>
  <si>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</si>
  <si>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</si>
  <si>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</si>
  <si>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</si>
  <si>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(Line 1- Line 7)</t>
  </si>
  <si>
    <t>(Line 2- Line 8)</t>
  </si>
  <si>
    <t>(Line 3 - Line 9)</t>
  </si>
  <si>
    <t>(Line 4 - Line 10)</t>
  </si>
  <si>
    <t>(Line 5 - Line 11)</t>
  </si>
  <si>
    <t>TOTAL NET PLANT (sum Lines 13-17)</t>
  </si>
  <si>
    <t>Attachment 7, Line 6z</t>
  </si>
  <si>
    <t>Total transmission plant  (page 2, Line 2, column 3)</t>
  </si>
  <si>
    <t>Transmission plant included in ISO rates  (Line 1 less Lines 2 &amp; 3)</t>
  </si>
  <si>
    <t>Percentage of transmission plant included in ISO Rates  (Line 4 divided by Line 1)</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</si>
  <si>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</si>
  <si>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</si>
  <si>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</si>
  <si>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</si>
  <si>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</si>
  <si>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</si>
  <si>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</si>
  <si>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</si>
  <si>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</si>
  <si>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</si>
  <si>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</si>
  <si>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</si>
  <si>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</si>
  <si>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</si>
  <si>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</si>
  <si>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</si>
  <si>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</si>
  <si>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</si>
  <si>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</si>
  <si>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</si>
  <si>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</si>
  <si>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</si>
  <si>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 xml:space="preserve">  Less Sub-Transmission O&amp;M</t>
  </si>
  <si>
    <t>Gross Receipts</t>
  </si>
  <si>
    <t>4b</t>
  </si>
  <si>
    <t>4c</t>
  </si>
  <si>
    <t>Taxes Non-Functionalized to Transmission [B]</t>
  </si>
  <si>
    <t>Includes items that are not functionalized to transmission</t>
  </si>
  <si>
    <t xml:space="preserve">Gross Receipts and Taxes Non-Functionalized to Transmission </t>
  </si>
  <si>
    <t xml:space="preserve">        Gross Receipts and Taxes Non-Functionalized to Transmission </t>
  </si>
  <si>
    <t>Amortization of Regulatory Assets</t>
  </si>
  <si>
    <t>Amortization Account</t>
  </si>
  <si>
    <t>Attachment 19, Line 2, Col. K</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</si>
  <si>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</si>
  <si>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Utilize only in the instance there exists Commission approved ROE incentive projects</t>
  </si>
  <si>
    <t>ADIT Total Transmission-related only, including Plant &amp; Labor Related Transmission ADITs (prior to adjustments from notes below)</t>
  </si>
  <si>
    <t xml:space="preserve">                                      page 1 of 1</t>
  </si>
  <si>
    <t>O&amp;M and A&amp;G</t>
  </si>
  <si>
    <t>Transmission O&amp;M Expense</t>
  </si>
  <si>
    <t>A&amp;G Expense</t>
  </si>
  <si>
    <t>Attachment H-11A, Page 4, Line 7</t>
  </si>
  <si>
    <t>Attachment H-11A, page 2, Line 35, Col. 5</t>
  </si>
  <si>
    <t>Attachment H-11A, page 4, Line 30, Col. 6</t>
  </si>
  <si>
    <t>Attachment H-11A, page 4, Line 31, Col. 3</t>
  </si>
  <si>
    <t>Attachment H-11A, page 4, Line 32, Col. 3</t>
  </si>
  <si>
    <t>Attachment H-11A, page 4, Line 33, Col. 3</t>
  </si>
  <si>
    <t>Attachment H-11A, page 4, Line 34, Col. 3</t>
  </si>
  <si>
    <t>Attachment H-11A, page 4, Line 31, Col. 4</t>
  </si>
  <si>
    <t>Attachment H-11A, page 4, Line 32, Col. 4</t>
  </si>
  <si>
    <t>Attachment H-11A, page 4, Line 33, Col. 4</t>
  </si>
  <si>
    <t>Attachment H-11A, page 4, Line 31, Col. 5</t>
  </si>
  <si>
    <t>Attachment H-11A, page 4, Line 32, Col. 5</t>
  </si>
  <si>
    <t>Attachment H-11A, page 4, Line 33, Col. 5</t>
  </si>
  <si>
    <t>Line 17 will reflect the ROE, as reflected on Attachment H-11A, Page 4, Line 33, Col. 5</t>
  </si>
  <si>
    <t>Attachment H-11A, page 4, Line 33, Col. 5 plus 100 bps (Note A)</t>
  </si>
  <si>
    <t>Col. A*((Attachment H-11A, Page 4, Line 29, Col. 6) * Col. B/100+Attachment H-11A, Page 4, Line 24, Col. 6)</t>
  </si>
  <si>
    <t>Taken to Attachment H-11A, page 2, Lines 1-5, Col. 3</t>
  </si>
  <si>
    <t>Taken to Attachment H-11A, page 2, Lines 7-11, Col. 3</t>
  </si>
  <si>
    <t>Year-end balance with adjustments for FAS143, FAS106, FAS109, CIACs and normalization to populate Attachment H-11A, page 2, Lines 19-23, col. 3 for accounts 281, 282, 283, 190, and 255, respectively</t>
  </si>
  <si>
    <t>** This Total Weighted Average Debt Cost will be shown on page 4, line 31, column 5 of formula rate Attachment H-11A</t>
  </si>
  <si>
    <t>Attach. H-11A, p. 2, line 2, col. 5 (Note A)</t>
  </si>
  <si>
    <t>Attach. H-11A, p. 2, line 14, col. 5 (Note B)</t>
  </si>
  <si>
    <t>To be completed in conjunction with Attachment H-11A</t>
  </si>
  <si>
    <t>Page 2 Col. 6 *(Attachment H-11A, Page 4, line 29 *(Page 2, Col. 11/100))</t>
  </si>
  <si>
    <t xml:space="preserve">Gross Transmission Plant is that identified on page 2 line 2 of Attachment H-11A. </t>
  </si>
  <si>
    <t>Net Transmission Plant is that identified on page 2 line 14 of Attachment H-11A.</t>
  </si>
  <si>
    <t>Refers to Attachment H-11A, page 2, line 6, col. 4</t>
  </si>
  <si>
    <t>Refers to Attachment H-11A, page 4, line 16, col.6</t>
  </si>
  <si>
    <r>
      <t xml:space="preserve">(a) Average calculated as [Sum of Columns (C) through (O)] </t>
    </r>
    <r>
      <rPr>
        <sz val="12"/>
        <rFont val="Calibri"/>
        <family val="2"/>
      </rPr>
      <t>÷</t>
    </r>
    <r>
      <rPr>
        <sz val="12"/>
        <rFont val="Times New Roman"/>
        <family val="1"/>
      </rPr>
      <t xml:space="preserve"> 13.</t>
    </r>
  </si>
  <si>
    <t>True-up adjustment is calculated on the project true-up schedule, attachment 12 column J. Enter values in Col. 14 as negative</t>
  </si>
  <si>
    <t>Abandoned Plant</t>
  </si>
  <si>
    <t>Construction Work in Progress</t>
  </si>
  <si>
    <t>*  z = Average of monthly balances for months outstanding during the year (average of the balances for the 12 months of the year, with zero in months that the issuance is not outstanding in a month.).</t>
  </si>
  <si>
    <t>Sub-transmission includes assets below 100 kV, but which reside in transmission FERC accounts</t>
  </si>
  <si>
    <t>Enter Commission approved project specific ROE incentive basis points adder, which is a scaled factor against a 100 to derive the approved percentage adder</t>
  </si>
  <si>
    <t xml:space="preserve">  b. Bundled Sales for Resale</t>
  </si>
  <si>
    <t>Regulatory Assets</t>
  </si>
  <si>
    <t>(Note H)</t>
  </si>
  <si>
    <t>Col. A * Attachment H-11A, Page 4, Line 24, Col. 6</t>
  </si>
  <si>
    <t xml:space="preserve">Utilizes a 13-month average.   </t>
  </si>
  <si>
    <t>AGC Investment</t>
  </si>
  <si>
    <t>[9]</t>
  </si>
  <si>
    <r>
      <t xml:space="preserve">Equity Adj </t>
    </r>
    <r>
      <rPr>
        <sz val="12"/>
        <rFont val="Calibri"/>
        <family val="2"/>
        <scheme val="minor"/>
      </rPr>
      <t>[B]</t>
    </r>
  </si>
  <si>
    <r>
      <t xml:space="preserve">Renaissance Adj </t>
    </r>
    <r>
      <rPr>
        <sz val="12"/>
        <rFont val="Calibri"/>
        <family val="2"/>
        <scheme val="minor"/>
      </rPr>
      <t>[C]</t>
    </r>
  </si>
  <si>
    <t>(1) - (2) - (3) - (4) - (5) - (6) - (7)</t>
  </si>
  <si>
    <t>AGC’s capital structure adjustment per FERC Docket No. ER84-504-000</t>
  </si>
  <si>
    <t>Renaissance issued securitized debt in 2007and the proceeds were distributed up to Mon Power in the form of a dividend.  The balance in account 216.1 related to Renaissance does not require exclusion as there is an offsetting amount in account 216 and therefore no impact on total equity.</t>
  </si>
  <si>
    <t>Load expressed in MWh consistent with load used for billing under Schedule 1A for the AP Zone.  Data from RTO settlement systems for the calendar year prior to the rate year.</t>
  </si>
  <si>
    <t>Attachment 8, Line 14, Col. 3</t>
  </si>
  <si>
    <t xml:space="preserve">       Less Account 216.1, Renaissance Adj, AGC adj &amp; Goodwill</t>
  </si>
  <si>
    <t>Attachment 8, Line 14, Col. 2, 4, 5 &amp; 7</t>
  </si>
  <si>
    <t>Attachment 8, Line 14, Col. 8</t>
  </si>
  <si>
    <t>Includes only FICA, unemployment, highway, property, gross receipts, and other assessments charged in the current year.  Taxes related to income are excluded.  Gross receipts and taxes non-functionalized to Transmission are not included in transmission revenue requirement in the Rate Formula Template, since they are recovered elsewhere.</t>
  </si>
  <si>
    <t>Any actual ROE incentive must be approved by the Commission; therefore, Line will remain zero until a project(s) is granted a ROE incentive adder.</t>
  </si>
  <si>
    <t>3. Depreciation Rates (1)</t>
  </si>
  <si>
    <t>Attachment H -11A</t>
  </si>
  <si>
    <t>Revenues received pursuant to PJM Schedule 1A revenue allocation procedures for transmission service outside of the AP Zone during the year used to calculate rates under Attachment H-11A</t>
  </si>
  <si>
    <t>(Notes C &amp; D)</t>
  </si>
  <si>
    <t>(Attachment 15, Line 12, Col. F) (Notes C &amp; E)</t>
  </si>
  <si>
    <t xml:space="preserve">SFC's ROE is set to: </t>
  </si>
  <si>
    <t>MP-Depr % (WV)</t>
  </si>
  <si>
    <t>TOTAL ACCUM. DEPRECIATION (sum Lines 7-11)</t>
  </si>
  <si>
    <t>TOTAL ADJUSTMENTS (sum Lines 19-27)</t>
  </si>
  <si>
    <t>WORKING CAPITAL (Note H)</t>
  </si>
  <si>
    <t xml:space="preserve">  Materials &amp; Supplies (Note G)</t>
  </si>
  <si>
    <t>TOTAL WORKING CAPITAL (sum Lines 31 - 33)</t>
  </si>
  <si>
    <t>RATE BASE (sum Lines 18, 28, 29, &amp; 34)</t>
  </si>
  <si>
    <t>Source Reference</t>
  </si>
  <si>
    <t>Total Capitalization</t>
  </si>
  <si>
    <t>Line 17 - ROE adder is a scaling factor to calculate the incremental return and income taxes, which will be utilized to calculate additional revenue requirement only in the instance there exists Commission approved ROE incentive projects.</t>
  </si>
  <si>
    <t>Rate of Return on Rate Base (ROR)</t>
  </si>
  <si>
    <t>Total Long-Term Debt</t>
  </si>
  <si>
    <t>Total Long-Term Debt (WCLTD)</t>
  </si>
  <si>
    <t>End Plant &amp; Labor Related Allocated to Transmission</t>
  </si>
  <si>
    <t>ADIT- 282 From Account Total Below</t>
  </si>
  <si>
    <t>ADIT- 282 From Account Subtotal Below</t>
  </si>
  <si>
    <t>Estimated Ending Balance (Before Adjustments)</t>
  </si>
  <si>
    <t>Actual Ending Balance (Before Adjustments)</t>
  </si>
  <si>
    <t>*sometimes referred to as Other Post-Employment Benefits, or "OPEB"</t>
  </si>
  <si>
    <t>To the extent transmission assets are transferred to KATCo, a proration factor will be applied on a percent of the transmission gross plant transferred</t>
  </si>
  <si>
    <t>MON POWER</t>
  </si>
  <si>
    <t>MON POWER Labor: Company Records</t>
  </si>
  <si>
    <t>MON POWER Account 926: Company Records</t>
  </si>
  <si>
    <t>Attachment H -11A, Attachment 14</t>
  </si>
  <si>
    <t>Text Description (b)</t>
  </si>
  <si>
    <t>Allocator utilized (f)</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</si>
  <si>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</si>
  <si>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</si>
  <si>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</si>
  <si>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</si>
  <si>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</si>
  <si>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</si>
  <si>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</si>
  <si>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</si>
  <si>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</si>
  <si>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</si>
  <si>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</si>
  <si>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</si>
  <si>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</si>
  <si>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</si>
  <si>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FERC A/C</t>
  </si>
  <si>
    <t>Title</t>
  </si>
  <si>
    <t>FERC Form No. 1 Citation</t>
  </si>
  <si>
    <t>FERC Form No. 1 Balance</t>
  </si>
  <si>
    <t>x</t>
  </si>
  <si>
    <t>TE Allocator</t>
  </si>
  <si>
    <t xml:space="preserve">Total Transmission </t>
  </si>
  <si>
    <t xml:space="preserve">To Revenue Req. </t>
  </si>
  <si>
    <t>Page 321.83.b</t>
  </si>
  <si>
    <t>Page 321.85.b</t>
  </si>
  <si>
    <t>Page 321.86.b</t>
  </si>
  <si>
    <t>Page 321.87.b</t>
  </si>
  <si>
    <t>Page 321.88.b</t>
  </si>
  <si>
    <t>Page 321.89.b</t>
  </si>
  <si>
    <t>Page 321.90.b</t>
  </si>
  <si>
    <t>Page 321.91.b</t>
  </si>
  <si>
    <t>Page 321.92.b</t>
  </si>
  <si>
    <t>Page 321.93.b</t>
  </si>
  <si>
    <t>Page 321.94.b</t>
  </si>
  <si>
    <t>Page 321.95.b</t>
  </si>
  <si>
    <t>Page 321.96.b</t>
  </si>
  <si>
    <t>Page 321.97.b</t>
  </si>
  <si>
    <t>Page 321.98.b</t>
  </si>
  <si>
    <t>Page 321.101.b</t>
  </si>
  <si>
    <t>Page 321.102.b</t>
  </si>
  <si>
    <t>Page 321.103.b</t>
  </si>
  <si>
    <t>Page 321.104.b</t>
  </si>
  <si>
    <t>Page 321.105.b</t>
  </si>
  <si>
    <t>Page 321.106.b</t>
  </si>
  <si>
    <t>Page 321.107.b</t>
  </si>
  <si>
    <t>Page 321.108.b</t>
  </si>
  <si>
    <t>Page 321.109.b</t>
  </si>
  <si>
    <t>Page 321.110.b</t>
  </si>
  <si>
    <t>Page 323.181.b</t>
  </si>
  <si>
    <t>Page 323.182.b</t>
  </si>
  <si>
    <t>Page 323.183.b</t>
  </si>
  <si>
    <t>Page 323.184.b</t>
  </si>
  <si>
    <t>Page 323.185.b</t>
  </si>
  <si>
    <t>Page 323.186.b</t>
  </si>
  <si>
    <t>Page 323.187.b</t>
  </si>
  <si>
    <t>Page 323.188.b</t>
  </si>
  <si>
    <t>Page 323.189.b</t>
  </si>
  <si>
    <t>Page 323.190.b</t>
  </si>
  <si>
    <t>Page 323.191.b</t>
  </si>
  <si>
    <t>Page 323.192.b</t>
  </si>
  <si>
    <t>Page 323.193.b</t>
  </si>
  <si>
    <t>Page 323.196.b</t>
  </si>
  <si>
    <t>OTHER REVENUE CREDITS</t>
  </si>
  <si>
    <t>SECTION 30.9 CREDITS</t>
  </si>
  <si>
    <t xml:space="preserve">(B) The PJM NITS &amp; TEC charges will include a true-up for the (over)/under recovery from a prior rate period. The total without true-up for NITS and TEC will be taken to Attachment 12 and Attachment 13 respectively. </t>
  </si>
  <si>
    <t>Other (C)</t>
  </si>
  <si>
    <t xml:space="preserve">Other </t>
  </si>
  <si>
    <t>Firm Point-to-Point</t>
  </si>
  <si>
    <t>Remaining Total Company excluding 100% Non-Tx and 100% Tx</t>
  </si>
  <si>
    <t>Allocated to Transmission</t>
  </si>
  <si>
    <t>(K)</t>
  </si>
  <si>
    <t>Transmission Exclusions (a) (d)</t>
  </si>
  <si>
    <t>The SFCs shall not seek to recover any O&amp;M and A&amp;G costs associated with cancelled projects without seeking Commission approval.</t>
  </si>
  <si>
    <t>100% Non-Transmission (b)</t>
  </si>
  <si>
    <t>3d</t>
  </si>
  <si>
    <t>(page 4, Line 41)</t>
  </si>
  <si>
    <t>(page 4, Line 42)</t>
  </si>
  <si>
    <t>Line 2/ Attachment 20, Line 26, Col C</t>
  </si>
  <si>
    <t>Attachment 20, Line 26, Col. G</t>
  </si>
  <si>
    <t>Line 4 * Page 4, Line 16, Col. 6 * (Attachment 20, Line 41, Col C minus Attachment 20, Line 41, Col D)</t>
  </si>
  <si>
    <t>TOTAL O&amp;M and A&amp;G (sum Lines 1,3,6,7,8 less Lines 2,5)</t>
  </si>
  <si>
    <t>TOTAL DEPRECIATION (sum Lines 10, 11, 13 less 12)</t>
  </si>
  <si>
    <t>TOTAL OTHER TAXES (sum Lines 15 - 21)</t>
  </si>
  <si>
    <t xml:space="preserve">      1 / (1 - T)  (from Line 23)</t>
  </si>
  <si>
    <t>Income Tax Calculation = Line 24 * Line 34</t>
  </si>
  <si>
    <t>ITC adjustment (Line 25 * Line 26)</t>
  </si>
  <si>
    <t>Permanent Differences and AFUDC Equity Tax Adjustment (Line 25 * Line 27)</t>
  </si>
  <si>
    <t>(Excess)/Deficient Deferred Income Tax Adjustment (Line 25 * Line 28)</t>
  </si>
  <si>
    <t>sum Lines 29 through 32</t>
  </si>
  <si>
    <t>PBOP Expense Adjustment in Year</t>
  </si>
  <si>
    <t>(sum Lines 35, 36, 37)</t>
  </si>
  <si>
    <t>Page 3, Line 33, Col. 5 / Page 2, Line 14, Col. 5</t>
  </si>
  <si>
    <t>Page 3, Line 34, Col. 5 / Page 2, Line 14, Col. 5</t>
  </si>
  <si>
    <t>Attachment 20, Line 41, Col. J</t>
  </si>
  <si>
    <t>40 a</t>
  </si>
  <si>
    <t>40 b</t>
  </si>
  <si>
    <t>True-Up Adj.</t>
  </si>
  <si>
    <t>Compounding</t>
  </si>
  <si>
    <t>Principle Amortization</t>
  </si>
  <si>
    <t>Interest Amortization</t>
  </si>
  <si>
    <t>Year 3 Monthly Amortization</t>
  </si>
  <si>
    <t>Total Amount Refunded/Surcharged</t>
  </si>
  <si>
    <t>True-Up Before Interest</t>
  </si>
  <si>
    <t>Interest Refunded/Surcharged</t>
  </si>
  <si>
    <t>(F)</t>
  </si>
  <si>
    <t>Year 1 True-Up Adjustment + Interest</t>
  </si>
  <si>
    <t>Year 2 True-Up Adjustment + Interest</t>
  </si>
  <si>
    <t>Year 3 True-Up Adjustment + Interest</t>
  </si>
  <si>
    <t>[a]</t>
  </si>
  <si>
    <t>[b]</t>
  </si>
  <si>
    <t>Base Over (Under) Recovery</t>
  </si>
  <si>
    <t>NITS Revenue Requirement True-up with Interest</t>
  </si>
  <si>
    <t>20-Months Average Interest Rate (a)</t>
  </si>
  <si>
    <t>Total Over (Under) Recovery plus True-Up with Interest</t>
  </si>
  <si>
    <t>(Line 1 - Line 8 + Line 9)</t>
  </si>
  <si>
    <t>GROSS REVENUE REQUIREMENT [page 3, Line 38, col 5]</t>
  </si>
  <si>
    <t>TOTAL REVENUE CREDITS (sum Lines 2-7)</t>
  </si>
  <si>
    <t>Transmission-related only.</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</si>
  <si>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</si>
  <si>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Prepayments - FERC Account No. 165 (d) (e)</t>
  </si>
  <si>
    <t xml:space="preserve">  Section 30.9 credits</t>
  </si>
  <si>
    <t xml:space="preserve">  Other Revenue credits</t>
  </si>
  <si>
    <t>On Page 4, Line 40, 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2.23 requires inclusion.</t>
  </si>
  <si>
    <t xml:space="preserve">BB </t>
  </si>
  <si>
    <t>Calculates using a 13-month average balance.</t>
  </si>
  <si>
    <t>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J. Account 281 is not allocated.</t>
  </si>
  <si>
    <t>(Note S)</t>
  </si>
  <si>
    <t>Attachment 3, Line 14, Col. 1 (Notes T&amp;V)</t>
  </si>
  <si>
    <t>Attachment 3, Line 14, Col. 3 (Notes T&amp;V)</t>
  </si>
  <si>
    <t>Attachment 3, Line 14, Col. 4 (Notes T&amp;V)</t>
  </si>
  <si>
    <t>Attachment 3, Line 14, Col. 7 (Notes T&amp;V)</t>
  </si>
  <si>
    <t>Attachment 3, Line 14, Col. 5 &amp; 6 (Notes T&amp;V)</t>
  </si>
  <si>
    <t>Attachment 4, Line 14, Col. 1 (Notes T&amp;V)</t>
  </si>
  <si>
    <t>Attachment 4, Line 14, Col. 3 (Notes T&amp;V)</t>
  </si>
  <si>
    <t>Attachment 4, Line 14, Col. 4 (Notes T&amp;V)</t>
  </si>
  <si>
    <t>Attachment 4, Line 14, Col. 5 &amp; 6 (Notes T&amp;V)</t>
  </si>
  <si>
    <t>Attachment 4, Line 14, Col. 7 (Notes T&amp;V)</t>
  </si>
  <si>
    <t>(Company records, Note Y)</t>
  </si>
  <si>
    <t>TAXES OTHER THAN INCOME TAXES (Note I)</t>
  </si>
  <si>
    <t>(Note J)</t>
  </si>
  <si>
    <t>Attachment 2b, Line 2 (Note X)</t>
  </si>
  <si>
    <t>Attachment 11, Line 4, col 12 (Note X)</t>
  </si>
  <si>
    <t>Less transmission plant excluded from ISO rates  (Note L)</t>
  </si>
  <si>
    <t>Less transmission plant included in OATT Ancillary Services  (Note M )</t>
  </si>
  <si>
    <t>Total transmission expenses  (Attachment 20, Line 26, Col. C)</t>
  </si>
  <si>
    <t>Less transmission expenses included in OATT Ancillary Services  (Attachment 20, Line 2 plus Line 3 and Line 4, Col. C) (Note K)</t>
  </si>
  <si>
    <t>Proration (Note Z)</t>
  </si>
  <si>
    <t>(Note Z)</t>
  </si>
  <si>
    <t>COMMON PLANT ALLOCATOR  (CE)  (Note N)</t>
  </si>
  <si>
    <t xml:space="preserve">  Preferred Stock  (112.3d) (Attachment 8, Line 14, Col. 3) (Note BB)</t>
  </si>
  <si>
    <t xml:space="preserve">  Common Stock Attachment 8, Line 14, Col. 8) (Note BB)</t>
  </si>
  <si>
    <t>REVENUE CREDITS (Note AA)</t>
  </si>
  <si>
    <t>ACCOUNT 451 (MISCELLANEOUS SERVICE REVENUE) (Note R)</t>
  </si>
  <si>
    <t>ACCOUNT 454 (RENT FROM ELECTRIC PROPERTY)  (Note Q)</t>
  </si>
  <si>
    <t>ACCOUNT 456 (OTHER ELECTRIC REVENUE)  (Note U)</t>
  </si>
  <si>
    <t>Q</t>
  </si>
  <si>
    <t>R</t>
  </si>
  <si>
    <t>S</t>
  </si>
  <si>
    <t>T</t>
  </si>
  <si>
    <t>U</t>
  </si>
  <si>
    <t>V</t>
  </si>
  <si>
    <t>X</t>
  </si>
  <si>
    <t>Y</t>
  </si>
  <si>
    <t>Z</t>
  </si>
  <si>
    <t>AA</t>
  </si>
  <si>
    <t>Attachment H-11A, page 3, Line 23, Col. 3</t>
  </si>
  <si>
    <t>Attachment H-11A, page 3, Line 25, Col. 3</t>
  </si>
  <si>
    <t>Attachment H-11A, page 3, Line 26, Col. 3</t>
  </si>
  <si>
    <t>Attachment H-11A, page 3, Line 27, Col. 3</t>
  </si>
  <si>
    <t>Attachment H-11A, page 3, Line 28, Col. 3</t>
  </si>
  <si>
    <r>
      <t>Attachment H-11A, page 3, Line</t>
    </r>
    <r>
      <rPr>
        <strike/>
        <sz val="12"/>
        <rFont val="Arial"/>
        <family val="2"/>
      </rPr>
      <t xml:space="preserve"> </t>
    </r>
    <r>
      <rPr>
        <sz val="12"/>
        <rFont val="Arial"/>
        <family val="2"/>
      </rPr>
      <t>30, Col. 5</t>
    </r>
  </si>
  <si>
    <t>Attachment H-11A, page 3, Line 31, Col. 5</t>
  </si>
  <si>
    <t>Attachment H-11A, page 3, Line 32, Col. 5</t>
  </si>
  <si>
    <t>Attachment H-11A, Page 3, Line 34, Col. 5</t>
  </si>
  <si>
    <t>Attachment H-11A, Page 3, Line 33, Col. 5</t>
  </si>
  <si>
    <t>Attachment H-11A, page 3, Line 30, Col. 5</t>
  </si>
  <si>
    <t>Taken to Attachment H-11A, Page 3, Line 36, Col. 3</t>
  </si>
  <si>
    <t>PBOP Adjustment for Attachment H-11A, page 3, line 6 (line 7 - line 10)</t>
  </si>
  <si>
    <t>(table 2, col. gg)</t>
  </si>
  <si>
    <t>(Table 2, Col. kk)</t>
  </si>
  <si>
    <t>((col. gg/col. cc)*100)</t>
  </si>
  <si>
    <t>Transmission Enhancement Credit taken to Attachment H-11A, Page 1, Line 7, Col. 3</t>
  </si>
  <si>
    <t>Additional TEC Incentive Revenue taken to Attachment H-11A, Page 3, Line 37, Col. 3</t>
  </si>
  <si>
    <t>Project Depreciation Expense is the actual value booked for the project and included in the Depreciation Expense in Attachment H-11A, page 3, line 10.</t>
  </si>
  <si>
    <t>The amortization gross-up for taxes occurs on Attachment H-11A, page 3, line 32, Col. 3. ARO related EDIT shall not be included within the formula rate.</t>
  </si>
  <si>
    <t>Attach. H-11A, p. 3, line 9, col. 5</t>
  </si>
  <si>
    <t>Attach. H-11A, p. 3, lines 11 &amp; 13, col. 5</t>
  </si>
  <si>
    <t>Attach. H-11A, p. 3, line 22, col. 5</t>
  </si>
  <si>
    <t>Attach. H-11A, p. 3, line 33, col. 5</t>
  </si>
  <si>
    <t>Attach. H-11A, p. 3, line 34, col. 5</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</si>
  <si>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25).</t>
  </si>
  <si>
    <t>Page 4, Line 37 must equal zero since all short-term power sales must be unbundled and the transmission component reflected in Account No. 456.1 and all other uses are to be included in the divisor.</t>
  </si>
  <si>
    <t>(col. cc * col. ii)</t>
  </si>
  <si>
    <t>(kk)</t>
  </si>
  <si>
    <t>(entered on Attachment H-11A,
page 5 of 5, Note J)</t>
  </si>
  <si>
    <t>Attachment 14, Line 18, Col. P (Notes C &amp; V)</t>
  </si>
  <si>
    <t>Attachment 17, Line 3, Col P 216.b (Notes V &amp; W)</t>
  </si>
  <si>
    <t>Attachment 19, Line 2, Col. Y (Note V)</t>
  </si>
  <si>
    <t>(Note O)</t>
  </si>
  <si>
    <t>(Attachment 13, Line 47) enter negative</t>
  </si>
  <si>
    <t>See Attachment H-11A, page 5, note J; A utility that elected to utilize amortization of tax credits against taxable income, rather than book tax credits to Account No. 255 and reduce rate base, must reduce its income tax expense by the amount of the Amortized Investment Tax Credit (Form 1, 266.8.f).</t>
  </si>
  <si>
    <t>Total Interest (Sourced from Attachment 13a, line 46)</t>
  </si>
  <si>
    <t>Attachment 14, Line 4, Col. P (Note G)</t>
  </si>
  <si>
    <t>Attachment 14, Line 3, Col. P (Note V)</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</si>
  <si>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</si>
  <si>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</si>
  <si>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</si>
  <si>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t>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federal or state income tax rate change.</t>
  </si>
  <si>
    <t>42a</t>
  </si>
  <si>
    <t>Labor Related Revenues</t>
  </si>
  <si>
    <t>42b</t>
  </si>
  <si>
    <t>Plant Related Revenues</t>
  </si>
  <si>
    <t>42c</t>
  </si>
  <si>
    <t>Transmission Related Revenues</t>
  </si>
  <si>
    <t>42d</t>
  </si>
  <si>
    <t>Other</t>
  </si>
  <si>
    <t>W&amp;S</t>
  </si>
  <si>
    <t>[This line left intentionally blank]</t>
  </si>
  <si>
    <t>FERC Form No. 1, Page 356.1</t>
  </si>
  <si>
    <t>FERC Form No. 1, 336.7.b (Note T)</t>
  </si>
  <si>
    <t>FERC Form No. 1, 336.1.f &amp; 336.10.f (Note T)</t>
  </si>
  <si>
    <t>FERC Form No. 1, 336.11.b (Note T)</t>
  </si>
  <si>
    <t>Attachment 7, Line 1z</t>
  </si>
  <si>
    <t>Attachment 7, Line 2z</t>
  </si>
  <si>
    <t>Attachment 7, Line 3z</t>
  </si>
  <si>
    <t>Attachment 7, Line 4z</t>
  </si>
  <si>
    <t>Attachment 7, Line 5z</t>
  </si>
  <si>
    <t>FERC Form No. 1, 310-311</t>
  </si>
  <si>
    <t>FERC Form No. 1, 300.17.b</t>
  </si>
  <si>
    <t>FERC Form No. 1, 300.19.b</t>
  </si>
  <si>
    <t>FERC Form No. 1, 330.x.n</t>
  </si>
  <si>
    <t>Plant in Service, Accumulated Depreciation, and Depreciation Expense amounts exclude Asset Retirement Obligation amounts unless authorized by FERC. FERC account 405 – Amortization of Other Electric Plant amounts are excluded unless approved and authorized by FERC.</t>
  </si>
  <si>
    <t xml:space="preserve">The SFCs shall utilize a W/S allocator to the extent that it aligns with distribution treatment, to become effective following the filing of the Settlement in Docket No. ER21-253 with a sunset of three years.  After the sunset period, any revenue credits shall be credited to the formula rate template in the same manner as the underlying associated plant assets or expenses that generate the credits.  </t>
  </si>
  <si>
    <t>Attachment 5 - ADIT Summary, Line 2</t>
  </si>
  <si>
    <t>Attachment 5-ADIT Summary, Lines 3, 4, and 5</t>
  </si>
  <si>
    <t>(col. cc + col. dd - col. ee - col. ff)</t>
  </si>
  <si>
    <t>Note [b]</t>
  </si>
  <si>
    <r>
      <t>(Found using Excel Solver/Goal Seek</t>
    </r>
    <r>
      <rPr>
        <sz val="12"/>
        <color rgb="FFFF0000"/>
        <rFont val="Times New Roman"/>
        <family val="1"/>
      </rPr>
      <t>/or equivalent</t>
    </r>
    <r>
      <rPr>
        <sz val="12"/>
        <rFont val="Times New Roman"/>
        <family val="1"/>
      </rPr>
      <t>) Note [c]</t>
    </r>
  </si>
  <si>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</si>
  <si>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The ATRR is used to compare against the billed revenue in the true-up calculation. This calculation excludes prior year true-up amounts.</t>
  </si>
  <si>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</si>
  <si>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</si>
  <si>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</si>
  <si>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</si>
  <si>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(c) Included as a credit to rate base on Attachment H-11A, page 2, lines 24. Enter credit balances as negatives</t>
  </si>
  <si>
    <t>(A) Only projects approved by the Commission will be included.</t>
  </si>
  <si>
    <t>(A) Only Regulatory Assets approved by the Commission will be included.</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</si>
  <si>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</si>
  <si>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</si>
  <si>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amortization period ends.</t>
  </si>
  <si>
    <t>(E) Total Yearly amortization expense from Col. (K) line 2 will be taken to Attachment H-11A, page 3, line 8, Col.3 when the amortization begins. Until such time, Attachment H-11A, page 3, line 8, Col.3 will be 0.</t>
  </si>
  <si>
    <r>
      <t xml:space="preserve">(F) Includes only Regulatory assets that are designated to earn a return. Average calculated as [Sum of Columns (L) through (X)] </t>
    </r>
    <r>
      <rPr>
        <sz val="12"/>
        <rFont val="Calibri"/>
        <family val="2"/>
      </rPr>
      <t>÷</t>
    </r>
    <r>
      <rPr>
        <sz val="12"/>
        <rFont val="Times New Roman"/>
        <family val="1"/>
      </rPr>
      <t xml:space="preserve"> 13. Total from Col (Y) line 2 will be taken to Attachment H-11A, page 2, line 27, Col.3 when the amortization begins. Until such time, Attachment H-11A, page 2, line 27, Col.3 will be 0.</t>
    </r>
  </si>
  <si>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</si>
  <si>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(C) Enter the year of amortization starting with 1 for the year the amortization begins and increment by 1 for every subsequent year until the amortization period ends.</t>
  </si>
  <si>
    <r>
      <t xml:space="preserve">(D) Average calculated as [Sum of Columns (B) through (N)] </t>
    </r>
    <r>
      <rPr>
        <sz val="12"/>
        <rFont val="Calibri"/>
        <family val="2"/>
      </rPr>
      <t>÷</t>
    </r>
    <r>
      <rPr>
        <sz val="12"/>
        <rFont val="Times New Roman"/>
        <family val="1"/>
      </rPr>
      <t xml:space="preserve"> 13.</t>
    </r>
  </si>
  <si>
    <t>(E) Column O * Attachment H-11A, page 4, line 34, col. 6.</t>
  </si>
  <si>
    <t>(F) Column P * Attachment H-11A, page 3, line 24, col 3.</t>
  </si>
  <si>
    <t>(G) Column A + Column P + Column Q.</t>
  </si>
  <si>
    <t>(H) Revenue Requirement will not be billed until the year the amortization begins. Once a project is fully amortized, it will be removed from this attachment and will have no revenue requirement.</t>
  </si>
  <si>
    <t xml:space="preserve"> 100% Transmission (c)</t>
  </si>
  <si>
    <t>All labor or expenses that are 100% non-transmission related to be excluded from transmission A&amp;G recovery</t>
  </si>
  <si>
    <t>All labor or expenses that are 100% transmission related to be included within transmission A&amp;G recovery</t>
  </si>
  <si>
    <t>Excluded costs specifically include, but are not limited to any amortization related to Regulatory Assets for which FERC approval has not been granted; EPRI dues; non-safety advertising included within 930.1; Regulatory commission expenses within FERC Account 928 that are directly assigned in total or portions allocated to distribution; FERC Account Nos. 561.4, 561.8, and 575.7 that consist of RTO expenses billed to load-serving entities and are not included in Transmission Owner revenue requirements; FERC Account No. 565 Transmission of Electricity by Others; and the Vegetation Management Surcharge Rider.</t>
  </si>
  <si>
    <t>Structure and Improvements</t>
  </si>
  <si>
    <t>Station Equipment - Other</t>
  </si>
  <si>
    <t>Station Eqiupment - SCADA</t>
  </si>
  <si>
    <t>Towers and Fixtures</t>
  </si>
  <si>
    <t>Poles and Fixtures</t>
  </si>
  <si>
    <t>Overhead Conductors &amp; Devices - Other</t>
  </si>
  <si>
    <t>Overhead Conductors &amp; Devices - Clearing</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</si>
  <si>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</si>
  <si>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</si>
  <si>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</si>
  <si>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</si>
  <si>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</si>
  <si>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</si>
  <si>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</si>
  <si>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</si>
  <si>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</si>
  <si>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</si>
  <si>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Transportation Equipment - ATV</t>
  </si>
  <si>
    <t>Storage equipment</t>
  </si>
  <si>
    <t>Tools, shop and garage equipment</t>
  </si>
  <si>
    <t>Power operated equipment</t>
  </si>
  <si>
    <t>Communication equipment</t>
  </si>
  <si>
    <t>Miscellaneous equipment</t>
  </si>
  <si>
    <t>N/A</t>
  </si>
  <si>
    <t>Land and Land Rights - Easements</t>
  </si>
  <si>
    <t>The goal is to determine the value to input in Col. (D), Line 28 such that the value in Col. (D), line 41 becomes zero.  For example, using Excel's Goal Seek function, the goal would be to set Excel cell G64 to 0 by changing only Excel cell G48.</t>
  </si>
  <si>
    <t>(sum Lines 9, 14, 22, 33, 34)</t>
  </si>
  <si>
    <t>Rate Base (page 2, Line 35) * Rate of Return (page 4, Line 34, col. 6)</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</si>
  <si>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</si>
  <si>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Laboratory equipment</t>
  </si>
  <si>
    <t>Attachment 14, Line 2, Col. P (Notes B &amp; V)</t>
  </si>
  <si>
    <t>Debt cost rate = Attachment 10, Column (j) total.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ER21-253-000.</t>
  </si>
  <si>
    <t>112.18-21.c</t>
  </si>
  <si>
    <t xml:space="preserve">  Long Term Debt  (112.18-21.c) (Attachment 8, Line 14, Col. 9) (Note BB) </t>
  </si>
  <si>
    <t>Structure and Improvements - Leased</t>
  </si>
  <si>
    <t xml:space="preserve">  Unfunded Reserves</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</si>
  <si>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permanent differences in the income tax allowance calculations (other than Equity AFUDC) unless and until specific Commission approval is obtained to include such differences in a separate 205 proceeding.</t>
  </si>
  <si>
    <t>Clarksburg Service Center</t>
  </si>
  <si>
    <t>Elkins Service Center</t>
  </si>
  <si>
    <t>Fairlea WVP</t>
  </si>
  <si>
    <t>Fairmont Corp. Ctr. - Garage</t>
  </si>
  <si>
    <t>Fairmont Corporate Center</t>
  </si>
  <si>
    <t>Fairmont Tech Service</t>
  </si>
  <si>
    <t>Fairmont Training Center</t>
  </si>
  <si>
    <t>Franklin Service Center</t>
  </si>
  <si>
    <t>Gassaway Service Center</t>
  </si>
  <si>
    <t>Glenville Service Center</t>
  </si>
  <si>
    <t>Harrisville Service Center</t>
  </si>
  <si>
    <t>Hinton WVP</t>
  </si>
  <si>
    <t>Kingwood Service Center</t>
  </si>
  <si>
    <t>Marlington Service Center</t>
  </si>
  <si>
    <t>Morgantown Service Center</t>
  </si>
  <si>
    <t>Parkersburg Service Center</t>
  </si>
  <si>
    <t>Parkersburg - Robinson Bldg</t>
  </si>
  <si>
    <t>Sisterville Service Center</t>
  </si>
  <si>
    <t>Spencer Service Center</t>
  </si>
  <si>
    <t>Sutton</t>
  </si>
  <si>
    <t>Weirton Service Center</t>
  </si>
  <si>
    <t>Weston-Buckannon Serv. Ctr.</t>
  </si>
  <si>
    <t>White Happ Service Center</t>
  </si>
  <si>
    <t>Fairlea</t>
  </si>
  <si>
    <t>Morgantown</t>
  </si>
  <si>
    <t>Parkersburg</t>
  </si>
  <si>
    <t>Robinson Building</t>
  </si>
  <si>
    <t>Summersville</t>
  </si>
  <si>
    <t>Webster</t>
  </si>
  <si>
    <t>Weirton</t>
  </si>
  <si>
    <r>
      <t>Calculates using a 13-month average balance. The Capitalization ratio for a capital component is the ratio of that component's capitalization to total company capitalization, subject to a total equity ceiling (</t>
    </r>
    <r>
      <rPr>
        <i/>
        <sz val="12"/>
        <rFont val="Times New Roman"/>
        <family val="1"/>
      </rPr>
      <t>i.e.</t>
    </r>
    <r>
      <rPr>
        <sz val="12"/>
        <rFont val="Times New Roman"/>
        <family val="1"/>
      </rPr>
      <t>, preferred and common equity) of 56%</t>
    </r>
  </si>
  <si>
    <t>Actual equity capitalization:</t>
  </si>
  <si>
    <t>Account 303 amortization period is 7 years.  Depreciation/amortization rates listed as agreed to as part of the settlement of Docket No. ER21-253 for transmission formula rate purposes.</t>
  </si>
  <si>
    <t>For the 12 months ended 12/31/2022</t>
  </si>
  <si>
    <t>FICA</t>
  </si>
  <si>
    <t>Federal Unemployment Tax</t>
  </si>
  <si>
    <t>PA State Unemployment Tax</t>
  </si>
  <si>
    <t>WV Unemployment Tax</t>
  </si>
  <si>
    <t>Federal Heavy Vehicle Use</t>
  </si>
  <si>
    <t>Motor Fuel Tax</t>
  </si>
  <si>
    <t>OH Property Tax</t>
  </si>
  <si>
    <t>PA Property</t>
  </si>
  <si>
    <t>WV Local Property Tax</t>
  </si>
  <si>
    <t>Gross Receipts Tax</t>
  </si>
  <si>
    <t>Business &amp; Occupation Tax WV</t>
  </si>
  <si>
    <t>Sales &amp; Use Tax</t>
  </si>
  <si>
    <t>Federal Excise Tax</t>
  </si>
  <si>
    <t>Prepayments</t>
  </si>
  <si>
    <t>Accumulated Provision for injuries and damages</t>
  </si>
  <si>
    <t>Accumulated Provision for workers compensation</t>
  </si>
  <si>
    <t>Misc current and accrued liability - emp incentive comp award</t>
  </si>
  <si>
    <t>West Virginia</t>
  </si>
  <si>
    <t>Replace Fort Martin 500 kV breaker 'FL-1'</t>
  </si>
  <si>
    <t>b0577</t>
  </si>
  <si>
    <t>Terminate the Powell Mountain and Goff Run lines into the new Chloe substation and perform any associated relay upgrades or modifications required at Powell Mountain and Goff run to accommodate new substation</t>
  </si>
  <si>
    <t>b2609.5</t>
  </si>
  <si>
    <t>(Page 3, Line 9 minus Page 3, Line 8 minus (SC depr expense*Page 4, Line 16))/8</t>
  </si>
  <si>
    <t>FAS 112 - Medical Benefit Accrual</t>
  </si>
  <si>
    <t>State Income Tax Deductible</t>
  </si>
  <si>
    <t>Deferred Charge-EIB</t>
  </si>
  <si>
    <t>3e</t>
  </si>
  <si>
    <t>N &amp; P</t>
  </si>
  <si>
    <t>Capitalized Interest</t>
  </si>
  <si>
    <t>Cost of Removal</t>
  </si>
  <si>
    <t>Accrued Taxes</t>
  </si>
  <si>
    <t>Accum. Prov. For Injuries and Damages</t>
  </si>
  <si>
    <t>Employee Compensation</t>
  </si>
  <si>
    <t>FAS 123R Employee Compensation</t>
  </si>
  <si>
    <t>Federal Long Term</t>
  </si>
  <si>
    <t>Inventory</t>
  </si>
  <si>
    <t>Pension/OPEB</t>
  </si>
  <si>
    <t>Post Retirement Benefits FAS 106</t>
  </si>
  <si>
    <t>Vacation Accrual</t>
  </si>
  <si>
    <t>Property FAS 109</t>
  </si>
  <si>
    <t>A&amp;G Expenses</t>
  </si>
  <si>
    <t>Accelerated Tax Depr</t>
  </si>
  <si>
    <t>AFUDC Debt</t>
  </si>
  <si>
    <t>Capital Vertical Tree Trimming</t>
  </si>
  <si>
    <t>Capitalized Pension</t>
  </si>
  <si>
    <t>Casualty Loss</t>
  </si>
  <si>
    <t>FAS123R Items</t>
  </si>
  <si>
    <t>Highway Relocations</t>
  </si>
  <si>
    <t>Meters and Transformers</t>
  </si>
  <si>
    <t>OPEB</t>
  </si>
  <si>
    <t>Other Basis Differences</t>
  </si>
  <si>
    <t>R&amp;D Cost</t>
  </si>
  <si>
    <t>Tax Repairs</t>
  </si>
  <si>
    <t>Property FAS109</t>
  </si>
  <si>
    <t>Service Company Timing</t>
  </si>
  <si>
    <t>Property FAS109 Gross-up</t>
  </si>
  <si>
    <t>For the 12 months ended 12/31/2023</t>
  </si>
  <si>
    <t>An over or under collection will be recovered prorata over 2023, held for 2024 and returned prorate over 2025</t>
  </si>
  <si>
    <t>2023 Revenue Requirement Collected by PJM Based on Forecast filed on Oct 31, 2022</t>
  </si>
  <si>
    <t>Reconciliation Revenue Requirement For Year 2023 Available June 17, 2024</t>
  </si>
  <si>
    <t>5d</t>
  </si>
  <si>
    <t>Real Estate Tax</t>
  </si>
  <si>
    <t>(7)</t>
  </si>
  <si>
    <t>4.10%, Senior Unsecured Note</t>
  </si>
  <si>
    <t>5.40%, Senior Unsecured Note</t>
  </si>
  <si>
    <t>3.55%, Senior Unsecured Note</t>
  </si>
  <si>
    <t>3.23%, Senior Unsecured Note</t>
  </si>
  <si>
    <t>3.93%, Senior Unsecured Note</t>
  </si>
  <si>
    <t>5.85%, Senior Unsecured Note</t>
  </si>
  <si>
    <t>Accrued Taxes: FICA on Vacation Accrual</t>
  </si>
  <si>
    <t>Accum Prov For Inj and Damage-Workers Comp</t>
  </si>
  <si>
    <t>Accum Prov: Asbestos Accrual</t>
  </si>
  <si>
    <t>Deferred Compensation Expense</t>
  </si>
  <si>
    <t>FE Service Timing Allocation</t>
  </si>
  <si>
    <t>1g</t>
  </si>
  <si>
    <t>Federal Long Term - Unprotected</t>
  </si>
  <si>
    <t>1h</t>
  </si>
  <si>
    <t>Federal Long Term - Protected</t>
  </si>
  <si>
    <t>1i</t>
  </si>
  <si>
    <t>Incentive Compensation</t>
  </si>
  <si>
    <t>1j</t>
  </si>
  <si>
    <t>NOL Deferred Tax Asset - LT WV</t>
  </si>
  <si>
    <t>1k</t>
  </si>
  <si>
    <t>Pension EDCP-SERP Payments</t>
  </si>
  <si>
    <t>1l</t>
  </si>
  <si>
    <t>Pension/OPEB : Other Def Cr. or Dr.</t>
  </si>
  <si>
    <t>1m</t>
  </si>
  <si>
    <t>Pensions Expense</t>
  </si>
  <si>
    <t>1n</t>
  </si>
  <si>
    <t>1o</t>
  </si>
  <si>
    <t>Vacation Pay Accrual</t>
  </si>
  <si>
    <t>1p</t>
  </si>
  <si>
    <t>WV STIP</t>
  </si>
  <si>
    <t>Accum Prov For Inj and Damage-Gen Liability</t>
  </si>
  <si>
    <t>SC01 Timing Allocation</t>
  </si>
  <si>
    <t>Storm Damage</t>
  </si>
  <si>
    <t>Vegetation Management</t>
  </si>
  <si>
    <t>AMT Credit Carryforward</t>
  </si>
  <si>
    <t>Family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</si>
</sst>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0.0000000"/>
    <numFmt numFmtId="176" formatCode="_(* #,##0_);_(* \(#,##0\);_(* &quot;-&quot;??_);_(@_)"/>
    <numFmt numFmtId="177" formatCode="0.000000%"/>
    <numFmt numFmtId="178" formatCode="_(&quot;$&quot;* #,##0.0000_);_(&quot;$&quot;* \(#,##0.0000\);_(&quot;$&quot;* &quot;-&quot;??_);_(@_)"/>
    <numFmt numFmtId="179" formatCode="0.00000_);\(0.00000\)"/>
    <numFmt numFmtId="180" formatCode="0.0000%"/>
    <numFmt numFmtId="181" formatCode="_(* #,##0.0000_);_(* \(#,##0.0000\);_(* &quot;-&quot;??_);_(@_)"/>
    <numFmt numFmtId="182" formatCode="0.00000%"/>
    <numFmt numFmtId="183" formatCode="&quot;$&quot;#,##0.0000"/>
    <numFmt numFmtId="184" formatCode="_(* #,##0.00000_);_(* \(#,##0.00000\);_(* &quot;-&quot;??_);_(@_)"/>
    <numFmt numFmtId="185" formatCode="0.0000000"/>
    <numFmt numFmtId="186" formatCode="_(&quot;$&quot;* #,##0.000_);_(&quot;$&quot;* \(#,##0.000\);_(&quot;$&quot;* &quot;-&quot;_);_(@_)"/>
    <numFmt numFmtId="187" formatCode="[$-409]mmmm\ d\,\ yyyy;@"/>
    <numFmt numFmtId="188" formatCode="0.0%"/>
    <numFmt numFmtId="189" formatCode="&quot;$&quot;#,##0.0000_);[Red]\(&quot;$&quot;#,##0.0000\)"/>
  </numFmts>
  <fonts count="15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0"/>
      <color indexed="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sz val="14"/>
      <name val="Arial"/>
      <family val="2"/>
    </font>
    <font>
      <b/>
      <sz val="10"/>
      <name val="Arial Narrow"/>
      <family val="2"/>
    </font>
    <font>
      <sz val="10"/>
      <color indexed="10"/>
      <name val="Arial"/>
      <family val="2"/>
    </font>
    <font>
      <b/>
      <sz val="10"/>
      <color indexed="10"/>
      <name val="Arial Narrow"/>
      <family val="2"/>
    </font>
    <font>
      <b/>
      <sz val="10"/>
      <color indexed="10"/>
      <name val="Helv"/>
    </font>
    <font>
      <sz val="10"/>
      <color indexed="48"/>
      <name val="Arial"/>
      <family val="2"/>
    </font>
    <font>
      <sz val="10"/>
      <color rgb="FFFF0000"/>
      <name val="Arial"/>
      <family val="2"/>
    </font>
    <font>
      <u/>
      <sz val="12"/>
      <name val="Arial"/>
      <family val="2"/>
    </font>
    <font>
      <u val="singleAccounting"/>
      <sz val="10"/>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strike/>
      <vertAlign val="superscript"/>
      <sz val="12"/>
      <name val="Arial"/>
      <family val="2"/>
    </font>
    <font>
      <vertAlign val="subscript"/>
      <sz val="10"/>
      <name val="Arial"/>
      <family val="2"/>
    </font>
    <font>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1"/>
      <name val="Calibri"/>
      <family val="2"/>
      <scheme val="minor"/>
    </font>
    <font>
      <b/>
      <sz val="12"/>
      <name val="Arial MT"/>
    </font>
    <font>
      <u/>
      <sz val="10"/>
      <name val="Arial"/>
      <family val="2"/>
    </font>
    <font>
      <b/>
      <u/>
      <sz val="12"/>
      <name val="Times New Roman"/>
      <family val="1"/>
    </font>
    <font>
      <b/>
      <sz val="10"/>
      <color rgb="FFFF0000"/>
      <name val="Arial"/>
      <family val="2"/>
    </font>
    <font>
      <b/>
      <sz val="10"/>
      <color indexed="10"/>
      <name val="Times New Roman"/>
      <family val="1"/>
    </font>
    <font>
      <b/>
      <sz val="12"/>
      <color rgb="FF0070C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b/>
      <sz val="14"/>
      <name val="Times New Roman"/>
      <family val="1"/>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
      <sz val="12"/>
      <color theme="1"/>
      <name val="Arial Narrow"/>
      <family val="2"/>
    </font>
    <font>
      <sz val="12"/>
      <color theme="1"/>
      <name val="Arial"/>
      <family val="2"/>
    </font>
    <font>
      <i/>
      <sz val="12"/>
      <name val="Times New Roman"/>
      <family val="1"/>
    </font>
    <font>
      <sz val="11"/>
      <color rgb="FF2F5496"/>
      <name val="Times New Roman"/>
      <family val="1"/>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s>
  <borders count="4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63">
    <xf numFmtId="172" fontId="0" fillId="0" borderId="0" applyProtection="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172" fontId="18" fillId="0" borderId="0" applyFill="0"/>
    <xf numFmtId="172" fontId="18" fillId="0" borderId="0">
      <alignment horizontal="center"/>
    </xf>
    <xf numFmtId="0" fontId="18" fillId="0" borderId="0" applyFill="0">
      <alignment horizontal="center"/>
    </xf>
    <xf numFmtId="172" fontId="19" fillId="0" borderId="1" applyFill="0"/>
    <xf numFmtId="0" fontId="20" fillId="0" borderId="0" applyFont="0" applyAlignment="0"/>
    <xf numFmtId="0" fontId="21" fillId="0" borderId="0" applyFill="0">
      <alignment vertical="top"/>
    </xf>
    <xf numFmtId="0" fontId="19" fillId="0" borderId="0" applyFill="0">
      <alignment horizontal="left" vertical="top"/>
    </xf>
    <xf numFmtId="172" fontId="22" fillId="0" borderId="2" applyFill="0"/>
    <xf numFmtId="0" fontId="20" fillId="0" borderId="0" applyNumberFormat="0" applyFont="0" applyAlignment="0"/>
    <xf numFmtId="0" fontId="21" fillId="0" borderId="0" applyFill="0">
      <alignment wrapText="1"/>
    </xf>
    <xf numFmtId="0" fontId="19" fillId="0" borderId="0" applyFill="0">
      <alignment horizontal="left" vertical="top" wrapText="1"/>
    </xf>
    <xf numFmtId="172" fontId="23" fillId="0" borderId="0" applyFill="0"/>
    <xf numFmtId="0" fontId="24" fillId="0" borderId="0" applyNumberFormat="0" applyFont="0" applyAlignment="0">
      <alignment horizontal="center"/>
    </xf>
    <xf numFmtId="0" fontId="25" fillId="0" borderId="0" applyFill="0">
      <alignment vertical="top" wrapText="1"/>
    </xf>
    <xf numFmtId="0" fontId="22" fillId="0" borderId="0" applyFill="0">
      <alignment horizontal="left" vertical="top" wrapText="1"/>
    </xf>
    <xf numFmtId="172" fontId="20"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2" fontId="28" fillId="0" borderId="0" applyFill="0"/>
    <xf numFmtId="0" fontId="24"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2" fontId="31" fillId="0" borderId="0" applyFill="0"/>
    <xf numFmtId="0" fontId="24"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4" fillId="0" borderId="0" applyNumberFormat="0" applyFont="0" applyAlignment="0">
      <alignment horizontal="center"/>
    </xf>
    <xf numFmtId="0" fontId="35" fillId="0" borderId="0">
      <alignment horizontal="center" wrapText="1"/>
    </xf>
    <xf numFmtId="0" fontId="31" fillId="0" borderId="0" applyFill="0">
      <alignment horizontal="center" wrapText="1"/>
    </xf>
    <xf numFmtId="0" fontId="58" fillId="16" borderId="3" applyNumberFormat="0" applyAlignment="0" applyProtection="0"/>
    <xf numFmtId="0" fontId="59" fillId="17" borderId="4" applyNumberFormat="0" applyAlignment="0" applyProtection="0"/>
    <xf numFmtId="43" fontId="20" fillId="0" borderId="0" applyFont="0" applyFill="0" applyBorder="0" applyAlignment="0" applyProtection="0"/>
    <xf numFmtId="43" fontId="68" fillId="0" borderId="0" applyFont="0" applyFill="0" applyBorder="0" applyAlignment="0" applyProtection="0"/>
    <xf numFmtId="43" fontId="30" fillId="0" borderId="0" applyFont="0" applyFill="0" applyBorder="0" applyAlignment="0" applyProtection="0"/>
    <xf numFmtId="3" fontId="20" fillId="0" borderId="0" applyFont="0" applyFill="0" applyBorder="0" applyAlignment="0" applyProtection="0"/>
    <xf numFmtId="44"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0" fontId="61" fillId="0" borderId="0" applyNumberFormat="0" applyFill="0" applyBorder="0" applyAlignment="0" applyProtection="0"/>
    <xf numFmtId="2" fontId="20" fillId="0" borderId="0" applyFont="0" applyFill="0" applyBorder="0" applyAlignment="0" applyProtection="0"/>
    <xf numFmtId="0" fontId="62" fillId="6" borderId="0" applyNumberFormat="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63" fillId="0" borderId="5" applyNumberFormat="0" applyFill="0" applyAlignment="0" applyProtection="0"/>
    <xf numFmtId="0" fontId="63" fillId="0" borderId="0" applyNumberFormat="0" applyFill="0" applyBorder="0" applyAlignment="0" applyProtection="0"/>
    <xf numFmtId="0" fontId="38" fillId="0" borderId="6"/>
    <xf numFmtId="0" fontId="39" fillId="0" borderId="0"/>
    <xf numFmtId="0" fontId="64" fillId="7" borderId="3" applyNumberFormat="0" applyAlignment="0" applyProtection="0"/>
    <xf numFmtId="0" fontId="65" fillId="0" borderId="7" applyNumberFormat="0" applyFill="0" applyAlignment="0" applyProtection="0"/>
    <xf numFmtId="0" fontId="66" fillId="7" borderId="0" applyNumberFormat="0" applyBorder="0" applyAlignment="0" applyProtection="0"/>
    <xf numFmtId="0" fontId="70" fillId="0" borderId="0">
      <alignment vertical="top"/>
    </xf>
    <xf numFmtId="0" fontId="30" fillId="0" borderId="0"/>
    <xf numFmtId="0" fontId="30" fillId="0" borderId="0"/>
    <xf numFmtId="0" fontId="30" fillId="0" borderId="0"/>
    <xf numFmtId="0" fontId="20" fillId="0" borderId="0"/>
    <xf numFmtId="0" fontId="60" fillId="4" borderId="8" applyNumberFormat="0" applyFont="0" applyAlignment="0" applyProtection="0"/>
    <xf numFmtId="0" fontId="67" fillId="16" borderId="9" applyNumberFormat="0" applyAlignment="0" applyProtection="0"/>
    <xf numFmtId="9" fontId="20" fillId="0" borderId="0" applyFont="0" applyFill="0" applyBorder="0" applyAlignment="0" applyProtection="0"/>
    <xf numFmtId="9" fontId="30"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3" fontId="20" fillId="0" borderId="0">
      <alignment horizontal="left" vertical="top"/>
    </xf>
    <xf numFmtId="0" fontId="41" fillId="0" borderId="6">
      <alignment horizontal="center"/>
    </xf>
    <xf numFmtId="3" fontId="40" fillId="0" borderId="0" applyFont="0" applyFill="0" applyBorder="0" applyAlignment="0" applyProtection="0"/>
    <xf numFmtId="0" fontId="40" fillId="18" borderId="0" applyNumberFormat="0" applyFont="0" applyBorder="0" applyAlignment="0" applyProtection="0"/>
    <xf numFmtId="3" fontId="20" fillId="0" borderId="0">
      <alignment horizontal="right" vertical="top"/>
    </xf>
    <xf numFmtId="41" fontId="27" fillId="19" borderId="10" applyFill="0"/>
    <xf numFmtId="0" fontId="42" fillId="0" borderId="0">
      <alignment horizontal="left" indent="7"/>
    </xf>
    <xf numFmtId="41" fontId="27" fillId="0" borderId="10" applyFill="0">
      <alignment horizontal="left" indent="2"/>
    </xf>
    <xf numFmtId="172" fontId="43" fillId="0" borderId="11" applyFill="0">
      <alignment horizontal="right"/>
    </xf>
    <xf numFmtId="0" fontId="44" fillId="0" borderId="12" applyNumberFormat="0" applyFont="0" applyBorder="0">
      <alignment horizontal="right"/>
    </xf>
    <xf numFmtId="0" fontId="45" fillId="0" borderId="0" applyFill="0"/>
    <xf numFmtId="0" fontId="22" fillId="0" borderId="0" applyFill="0"/>
    <xf numFmtId="4" fontId="43" fillId="0" borderId="11" applyFill="0"/>
    <xf numFmtId="0" fontId="20" fillId="0" borderId="0" applyNumberFormat="0" applyFont="0" applyBorder="0" applyAlignment="0"/>
    <xf numFmtId="0" fontId="25" fillId="0" borderId="0" applyFill="0">
      <alignment horizontal="left" indent="1"/>
    </xf>
    <xf numFmtId="0" fontId="46" fillId="0" borderId="0" applyFill="0">
      <alignment horizontal="left" indent="1"/>
    </xf>
    <xf numFmtId="4" fontId="28" fillId="0" borderId="0" applyFill="0"/>
    <xf numFmtId="0" fontId="20" fillId="0" borderId="0" applyNumberFormat="0" applyFont="0" applyFill="0" applyBorder="0" applyAlignment="0"/>
    <xf numFmtId="0" fontId="25" fillId="0" borderId="0" applyFill="0">
      <alignment horizontal="left" indent="2"/>
    </xf>
    <xf numFmtId="0" fontId="22" fillId="0" borderId="0" applyFill="0">
      <alignment horizontal="left" indent="2"/>
    </xf>
    <xf numFmtId="4" fontId="28" fillId="0" borderId="0" applyFill="0"/>
    <xf numFmtId="0" fontId="20" fillId="0" borderId="0" applyNumberFormat="0" applyFont="0" applyBorder="0" applyAlignment="0"/>
    <xf numFmtId="0" fontId="47" fillId="0" borderId="0">
      <alignment horizontal="left" indent="3"/>
    </xf>
    <xf numFmtId="0" fontId="48" fillId="0" borderId="0" applyFill="0">
      <alignment horizontal="left" indent="3"/>
    </xf>
    <xf numFmtId="4" fontId="28" fillId="0" borderId="0" applyFill="0"/>
    <xf numFmtId="0" fontId="20" fillId="0" borderId="0" applyNumberFormat="0" applyFont="0" applyBorder="0" applyAlignment="0"/>
    <xf numFmtId="0" fontId="29" fillId="0" borderId="0">
      <alignment horizontal="left" indent="4"/>
    </xf>
    <xf numFmtId="0" fontId="30" fillId="0" borderId="0" applyFill="0">
      <alignment horizontal="left" indent="4"/>
    </xf>
    <xf numFmtId="4" fontId="31" fillId="0" borderId="0" applyFill="0"/>
    <xf numFmtId="0" fontId="20" fillId="0" borderId="0" applyNumberFormat="0" applyFont="0" applyBorder="0" applyAlignment="0"/>
    <xf numFmtId="0" fontId="32" fillId="0" borderId="0">
      <alignment horizontal="left" indent="5"/>
    </xf>
    <xf numFmtId="0" fontId="33" fillId="0" borderId="0" applyFill="0">
      <alignment horizontal="left" indent="5"/>
    </xf>
    <xf numFmtId="4" fontId="34" fillId="0" borderId="0" applyFill="0"/>
    <xf numFmtId="0" fontId="20" fillId="0" borderId="0" applyNumberFormat="0" applyFont="0" applyFill="0" applyBorder="0" applyAlignment="0"/>
    <xf numFmtId="0" fontId="35" fillId="0" borderId="0" applyFill="0">
      <alignment horizontal="left" indent="6"/>
    </xf>
    <xf numFmtId="0" fontId="31" fillId="0" borderId="0" applyFill="0">
      <alignment horizontal="left" indent="6"/>
    </xf>
    <xf numFmtId="0" fontId="69" fillId="0" borderId="0" applyNumberFormat="0" applyFill="0" applyBorder="0" applyAlignment="0" applyProtection="0"/>
    <xf numFmtId="0" fontId="20" fillId="0" borderId="0" applyFont="0" applyFill="0" applyBorder="0" applyAlignment="0" applyProtection="0"/>
    <xf numFmtId="0" fontId="65" fillId="0" borderId="0" applyNumberFormat="0" applyFill="0" applyBorder="0" applyAlignment="0" applyProtection="0"/>
    <xf numFmtId="0" fontId="17" fillId="0" borderId="0"/>
    <xf numFmtId="9" fontId="17" fillId="0" borderId="0" applyFont="0" applyFill="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60" fillId="0" borderId="0" applyProtection="0"/>
    <xf numFmtId="43" fontId="20" fillId="0" borderId="0" applyFont="0" applyFill="0" applyBorder="0" applyAlignment="0" applyProtection="0"/>
    <xf numFmtId="0" fontId="107" fillId="0" borderId="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172" fontId="60" fillId="0" borderId="0" applyProtection="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0" fontId="15" fillId="0" borderId="0"/>
    <xf numFmtId="43" fontId="15" fillId="0" borderId="0" applyFont="0" applyFill="0" applyBorder="0" applyAlignment="0" applyProtection="0"/>
    <xf numFmtId="0" fontId="111" fillId="0" borderId="0"/>
    <xf numFmtId="43" fontId="111" fillId="0" borderId="0" applyFont="0" applyFill="0" applyBorder="0" applyAlignment="0" applyProtection="0"/>
    <xf numFmtId="0" fontId="20" fillId="0" borderId="0"/>
    <xf numFmtId="9" fontId="60" fillId="0" borderId="0" applyFont="0" applyFill="0" applyBorder="0" applyAlignment="0" applyProtection="0"/>
    <xf numFmtId="0" fontId="14" fillId="0" borderId="0"/>
    <xf numFmtId="43" fontId="14" fillId="0" borderId="0" applyFont="0" applyFill="0" applyBorder="0" applyAlignment="0" applyProtection="0"/>
    <xf numFmtId="0" fontId="20" fillId="0" borderId="0"/>
    <xf numFmtId="43" fontId="9" fillId="0" borderId="0" applyFont="0" applyFill="0" applyBorder="0" applyAlignment="0" applyProtection="0"/>
    <xf numFmtId="0" fontId="20" fillId="0" borderId="0"/>
    <xf numFmtId="0" fontId="131" fillId="0" borderId="0"/>
    <xf numFmtId="43" fontId="131" fillId="0" borderId="0" applyFont="0" applyFill="0" applyBorder="0" applyAlignment="0" applyProtection="0"/>
    <xf numFmtId="41" fontId="8" fillId="0" borderId="0" applyFont="0" applyFill="0" applyBorder="0" applyAlignment="0" applyProtection="0"/>
    <xf numFmtId="0" fontId="6" fillId="0" borderId="0"/>
  </cellStyleXfs>
  <cellXfs count="1160">
    <xf numFmtId="172" fontId="0" fillId="0" borderId="0" xfId="0"/>
    <xf numFmtId="172" fontId="49" fillId="0" borderId="0" xfId="0" applyFont="1"/>
    <xf numFmtId="0" fontId="49" fillId="0" borderId="0" xfId="0" applyNumberFormat="1" applyFont="1"/>
    <xf numFmtId="0" fontId="49" fillId="0" borderId="0" xfId="0" applyNumberFormat="1" applyFont="1" applyAlignment="1">
      <alignment horizontal="right"/>
    </xf>
    <xf numFmtId="3" fontId="49" fillId="0" borderId="0" xfId="82" applyNumberFormat="1" applyFont="1"/>
    <xf numFmtId="0" fontId="20" fillId="0" borderId="0" xfId="82"/>
    <xf numFmtId="0" fontId="51" fillId="0" borderId="0" xfId="82" applyFont="1"/>
    <xf numFmtId="3" fontId="51" fillId="0" borderId="0" xfId="82" applyNumberFormat="1" applyFont="1"/>
    <xf numFmtId="0" fontId="49" fillId="0" borderId="0" xfId="82" applyFont="1"/>
    <xf numFmtId="173" fontId="49" fillId="0" borderId="0" xfId="63" applyNumberFormat="1" applyFont="1" applyFill="1" applyBorder="1" applyAlignment="1"/>
    <xf numFmtId="0" fontId="53" fillId="0" borderId="0" xfId="82" applyFont="1"/>
    <xf numFmtId="173" fontId="49" fillId="0" borderId="0" xfId="63" applyNumberFormat="1" applyFont="1" applyBorder="1" applyAlignment="1"/>
    <xf numFmtId="178" fontId="49" fillId="0" borderId="0" xfId="63" applyNumberFormat="1" applyFont="1" applyBorder="1"/>
    <xf numFmtId="0" fontId="49" fillId="0" borderId="0" xfId="82" applyFont="1" applyAlignment="1">
      <alignment horizontal="left" wrapText="1"/>
    </xf>
    <xf numFmtId="0" fontId="49" fillId="0" borderId="0" xfId="82" applyFont="1" applyAlignment="1">
      <alignment horizontal="left"/>
    </xf>
    <xf numFmtId="0" fontId="53" fillId="0" borderId="0" xfId="82" applyFont="1" applyAlignment="1">
      <alignment horizontal="center"/>
    </xf>
    <xf numFmtId="172" fontId="49" fillId="0" borderId="0" xfId="0" applyFont="1" applyAlignment="1">
      <alignment horizontal="right"/>
    </xf>
    <xf numFmtId="172" fontId="49" fillId="0" borderId="0" xfId="0" applyFont="1" applyAlignment="1">
      <alignment horizontal="center"/>
    </xf>
    <xf numFmtId="172" fontId="50" fillId="0" borderId="0" xfId="0" applyFont="1"/>
    <xf numFmtId="172" fontId="50" fillId="0" borderId="13" xfId="0" applyFont="1" applyBorder="1" applyAlignment="1">
      <alignment horizontal="center" wrapText="1"/>
    </xf>
    <xf numFmtId="172" fontId="50" fillId="0" borderId="14" xfId="0" applyFont="1" applyBorder="1"/>
    <xf numFmtId="172" fontId="50" fillId="0" borderId="14" xfId="0" applyFont="1" applyBorder="1" applyAlignment="1">
      <alignment horizontal="center" wrapText="1"/>
    </xf>
    <xf numFmtId="0" fontId="50" fillId="0" borderId="14" xfId="0" applyNumberFormat="1" applyFont="1" applyBorder="1" applyAlignment="1">
      <alignment horizontal="center" wrapText="1"/>
    </xf>
    <xf numFmtId="0" fontId="49" fillId="0" borderId="13" xfId="0" applyNumberFormat="1" applyFont="1" applyBorder="1"/>
    <xf numFmtId="0" fontId="49" fillId="0" borderId="14" xfId="0" applyNumberFormat="1" applyFont="1" applyBorder="1"/>
    <xf numFmtId="0" fontId="49" fillId="0" borderId="14" xfId="0" applyNumberFormat="1" applyFont="1" applyBorder="1" applyAlignment="1">
      <alignment horizontal="center"/>
    </xf>
    <xf numFmtId="0" fontId="49" fillId="0" borderId="16" xfId="0" applyNumberFormat="1" applyFont="1" applyBorder="1"/>
    <xf numFmtId="1" fontId="49" fillId="0" borderId="0" xfId="0" applyNumberFormat="1" applyFont="1" applyAlignment="1">
      <alignment horizontal="center"/>
    </xf>
    <xf numFmtId="172" fontId="51" fillId="0" borderId="0" xfId="0" applyFont="1"/>
    <xf numFmtId="172" fontId="53" fillId="0" borderId="0" xfId="0" applyFont="1"/>
    <xf numFmtId="172" fontId="50" fillId="0" borderId="14" xfId="0" applyFont="1" applyBorder="1" applyAlignment="1">
      <alignment horizontal="center"/>
    </xf>
    <xf numFmtId="0" fontId="49" fillId="0" borderId="0" xfId="82" applyFont="1" applyAlignment="1">
      <alignment horizontal="center" vertical="top"/>
    </xf>
    <xf numFmtId="0" fontId="49" fillId="20" borderId="0" xfId="0" applyNumberFormat="1" applyFont="1" applyFill="1" applyAlignment="1">
      <alignment horizontal="right"/>
    </xf>
    <xf numFmtId="172" fontId="71" fillId="0" borderId="0" xfId="0" applyFont="1" applyAlignment="1">
      <alignment vertical="center"/>
    </xf>
    <xf numFmtId="43" fontId="71" fillId="0" borderId="0" xfId="59" applyFont="1" applyAlignment="1">
      <alignment vertical="center"/>
    </xf>
    <xf numFmtId="0" fontId="71" fillId="0" borderId="0" xfId="0" applyNumberFormat="1" applyFont="1" applyAlignment="1">
      <alignment vertical="center"/>
    </xf>
    <xf numFmtId="0" fontId="71" fillId="20" borderId="0" xfId="0" applyNumberFormat="1" applyFont="1" applyFill="1" applyAlignment="1">
      <alignment vertical="center"/>
    </xf>
    <xf numFmtId="172" fontId="72" fillId="0" borderId="0" xfId="0" applyFont="1" applyAlignment="1">
      <alignment horizontal="right" vertical="center"/>
    </xf>
    <xf numFmtId="172" fontId="72" fillId="0" borderId="0" xfId="0" applyFont="1" applyAlignment="1">
      <alignment vertical="center"/>
    </xf>
    <xf numFmtId="172" fontId="71" fillId="0" borderId="0" xfId="0" applyFont="1" applyAlignment="1">
      <alignment horizontal="center" vertical="center"/>
    </xf>
    <xf numFmtId="172" fontId="72" fillId="0" borderId="0" xfId="0" applyFont="1" applyAlignment="1">
      <alignment horizontal="center" vertical="center"/>
    </xf>
    <xf numFmtId="172" fontId="73" fillId="0" borderId="0" xfId="0" applyFont="1" applyAlignment="1">
      <alignment horizontal="center" vertical="center"/>
    </xf>
    <xf numFmtId="172" fontId="75" fillId="0" borderId="0" xfId="0" applyFont="1" applyAlignment="1">
      <alignment horizontal="left" vertical="center"/>
    </xf>
    <xf numFmtId="0" fontId="72" fillId="0" borderId="0" xfId="0" applyNumberFormat="1" applyFont="1" applyAlignment="1">
      <alignment horizontal="center" vertical="center"/>
    </xf>
    <xf numFmtId="172" fontId="73" fillId="0" borderId="0" xfId="0" applyFont="1" applyAlignment="1">
      <alignment vertical="center"/>
    </xf>
    <xf numFmtId="43" fontId="71" fillId="0" borderId="0" xfId="59" applyFont="1" applyAlignment="1">
      <alignment horizontal="center" vertical="center"/>
    </xf>
    <xf numFmtId="49" fontId="71" fillId="0" borderId="0" xfId="0" applyNumberFormat="1" applyFont="1" applyAlignment="1">
      <alignment vertical="center"/>
    </xf>
    <xf numFmtId="172" fontId="74" fillId="0" borderId="0" xfId="0" applyFont="1" applyAlignment="1">
      <alignment horizontal="center" vertical="center"/>
    </xf>
    <xf numFmtId="172" fontId="72" fillId="0" borderId="0" xfId="0" applyFont="1" applyAlignment="1">
      <alignment horizontal="left" vertical="center"/>
    </xf>
    <xf numFmtId="172" fontId="74" fillId="0" borderId="0" xfId="0" applyFont="1" applyAlignment="1">
      <alignment horizontal="right" vertical="center"/>
    </xf>
    <xf numFmtId="49" fontId="71" fillId="0" borderId="0" xfId="0" applyNumberFormat="1" applyFont="1" applyAlignment="1">
      <alignment horizontal="center" vertical="center"/>
    </xf>
    <xf numFmtId="49" fontId="72" fillId="0" borderId="0" xfId="0" applyNumberFormat="1" applyFont="1" applyAlignment="1">
      <alignment horizontal="center" vertical="center"/>
    </xf>
    <xf numFmtId="164" fontId="71" fillId="0" borderId="0" xfId="85" applyNumberFormat="1" applyFont="1" applyAlignment="1">
      <alignment horizontal="center" vertical="center"/>
    </xf>
    <xf numFmtId="172" fontId="77" fillId="21" borderId="15" xfId="0" applyFont="1" applyFill="1" applyBorder="1" applyAlignment="1">
      <alignment vertical="center"/>
    </xf>
    <xf numFmtId="172" fontId="78" fillId="21" borderId="2" xfId="0" applyFont="1" applyFill="1" applyBorder="1" applyAlignment="1">
      <alignment vertical="center"/>
    </xf>
    <xf numFmtId="172" fontId="78" fillId="21" borderId="2" xfId="0" applyFont="1" applyFill="1" applyBorder="1" applyAlignment="1">
      <alignment horizontal="center" vertical="center"/>
    </xf>
    <xf numFmtId="172" fontId="78" fillId="21" borderId="20" xfId="0" applyFont="1" applyFill="1" applyBorder="1" applyAlignment="1">
      <alignment vertical="center"/>
    </xf>
    <xf numFmtId="172" fontId="71" fillId="0" borderId="16" xfId="0" applyFont="1" applyBorder="1" applyAlignment="1">
      <alignment vertical="center"/>
    </xf>
    <xf numFmtId="172" fontId="71" fillId="0" borderId="21" xfId="0" applyFont="1" applyBorder="1" applyAlignment="1">
      <alignment vertical="center"/>
    </xf>
    <xf numFmtId="172" fontId="71" fillId="0" borderId="17" xfId="0" applyFont="1" applyBorder="1" applyAlignment="1">
      <alignment vertical="center"/>
    </xf>
    <xf numFmtId="172" fontId="71" fillId="0" borderId="11" xfId="0" applyFont="1" applyBorder="1" applyAlignment="1">
      <alignment vertical="center"/>
    </xf>
    <xf numFmtId="173" fontId="49" fillId="20" borderId="0" xfId="63" applyNumberFormat="1" applyFont="1" applyFill="1" applyBorder="1" applyAlignment="1"/>
    <xf numFmtId="0" fontId="49" fillId="0" borderId="23" xfId="0" applyNumberFormat="1" applyFont="1" applyBorder="1" applyAlignment="1">
      <alignment horizontal="center"/>
    </xf>
    <xf numFmtId="172" fontId="76" fillId="0" borderId="0" xfId="0" applyFont="1" applyAlignment="1">
      <alignment horizontal="left" vertical="center"/>
    </xf>
    <xf numFmtId="172" fontId="49" fillId="0" borderId="0" xfId="0" applyFont="1" applyAlignment="1">
      <alignment vertical="center"/>
    </xf>
    <xf numFmtId="172" fontId="49" fillId="0" borderId="0" xfId="0" applyFont="1" applyAlignment="1">
      <alignment horizontal="right" vertical="center"/>
    </xf>
    <xf numFmtId="172" fontId="49" fillId="0" borderId="0" xfId="0" applyFont="1" applyAlignment="1">
      <alignment horizontal="center" vertical="center"/>
    </xf>
    <xf numFmtId="172" fontId="79" fillId="0" borderId="0" xfId="0" applyFont="1" applyProtection="1">
      <protection locked="0"/>
    </xf>
    <xf numFmtId="172" fontId="27" fillId="0" borderId="0" xfId="0" applyFont="1" applyProtection="1">
      <protection locked="0"/>
    </xf>
    <xf numFmtId="172" fontId="79" fillId="0" borderId="25" xfId="0" applyFont="1" applyBorder="1" applyAlignment="1" applyProtection="1">
      <alignment horizontal="center" wrapText="1"/>
      <protection locked="0"/>
    </xf>
    <xf numFmtId="172" fontId="79" fillId="0" borderId="25" xfId="0" applyFont="1" applyBorder="1" applyProtection="1">
      <protection locked="0"/>
    </xf>
    <xf numFmtId="172" fontId="79" fillId="0" borderId="0" xfId="0" applyFont="1" applyAlignment="1" applyProtection="1">
      <alignment horizontal="center"/>
      <protection locked="0"/>
    </xf>
    <xf numFmtId="176" fontId="79" fillId="0" borderId="0" xfId="0" applyNumberFormat="1" applyFont="1" applyProtection="1">
      <protection locked="0"/>
    </xf>
    <xf numFmtId="172" fontId="80" fillId="0" borderId="0" xfId="0" applyFont="1" applyAlignment="1" applyProtection="1">
      <alignment horizontal="center"/>
      <protection locked="0"/>
    </xf>
    <xf numFmtId="5" fontId="79" fillId="0" borderId="26" xfId="0" applyNumberFormat="1" applyFont="1" applyBorder="1" applyAlignment="1" applyProtection="1">
      <alignment horizontal="center"/>
      <protection locked="0"/>
    </xf>
    <xf numFmtId="176" fontId="79" fillId="0" borderId="6" xfId="0" applyNumberFormat="1" applyFont="1" applyBorder="1" applyProtection="1">
      <protection locked="0"/>
    </xf>
    <xf numFmtId="172" fontId="79" fillId="0" borderId="6" xfId="0" applyFont="1" applyBorder="1" applyAlignment="1" applyProtection="1">
      <alignment horizontal="center"/>
      <protection locked="0"/>
    </xf>
    <xf numFmtId="172" fontId="27" fillId="0" borderId="6" xfId="0" applyFont="1" applyBorder="1" applyProtection="1">
      <protection locked="0"/>
    </xf>
    <xf numFmtId="176" fontId="79" fillId="0" borderId="0" xfId="0" applyNumberFormat="1" applyFont="1" applyAlignment="1" applyProtection="1">
      <alignment horizontal="left"/>
      <protection locked="0"/>
    </xf>
    <xf numFmtId="176" fontId="79" fillId="0" borderId="0" xfId="0" applyNumberFormat="1" applyFont="1" applyAlignment="1" applyProtection="1">
      <alignment horizontal="center"/>
      <protection locked="0"/>
    </xf>
    <xf numFmtId="172" fontId="27" fillId="0" borderId="0" xfId="0" applyFont="1"/>
    <xf numFmtId="173" fontId="27" fillId="0" borderId="0" xfId="63" applyNumberFormat="1" applyFont="1" applyFill="1"/>
    <xf numFmtId="172" fontId="27" fillId="0" borderId="0" xfId="0" applyFont="1" applyAlignment="1" applyProtection="1">
      <alignment wrapText="1"/>
      <protection locked="0"/>
    </xf>
    <xf numFmtId="172" fontId="49" fillId="0" borderId="0" xfId="0" applyFont="1" applyAlignment="1">
      <alignment vertical="center" wrapText="1"/>
    </xf>
    <xf numFmtId="172" fontId="79" fillId="0" borderId="24" xfId="0" applyFont="1" applyBorder="1" applyAlignment="1" applyProtection="1">
      <alignment horizontal="center" vertical="center" wrapText="1"/>
      <protection locked="0"/>
    </xf>
    <xf numFmtId="172" fontId="79" fillId="0" borderId="0" xfId="0" applyFont="1" applyAlignment="1" applyProtection="1">
      <alignment horizontal="center" vertical="center" wrapText="1"/>
      <protection locked="0"/>
    </xf>
    <xf numFmtId="176" fontId="72" fillId="20" borderId="0" xfId="59" applyNumberFormat="1" applyFont="1" applyFill="1" applyAlignment="1">
      <alignment horizontal="center" vertical="center"/>
    </xf>
    <xf numFmtId="176" fontId="72" fillId="0" borderId="0" xfId="59" applyNumberFormat="1" applyFont="1" applyAlignment="1">
      <alignment vertical="center"/>
    </xf>
    <xf numFmtId="176" fontId="72" fillId="0" borderId="0" xfId="59" applyNumberFormat="1" applyFont="1" applyAlignment="1">
      <alignment horizontal="center" vertical="center"/>
    </xf>
    <xf numFmtId="176" fontId="72" fillId="20" borderId="0" xfId="59" applyNumberFormat="1" applyFont="1" applyFill="1" applyBorder="1" applyAlignment="1">
      <alignment horizontal="center" vertical="center"/>
    </xf>
    <xf numFmtId="176" fontId="72" fillId="0" borderId="0" xfId="59" applyNumberFormat="1" applyFont="1" applyBorder="1" applyAlignment="1">
      <alignment horizontal="center" vertical="center"/>
    </xf>
    <xf numFmtId="176" fontId="72" fillId="0" borderId="11" xfId="59" applyNumberFormat="1" applyFont="1" applyBorder="1" applyAlignment="1">
      <alignment horizontal="center" vertical="center"/>
    </xf>
    <xf numFmtId="176" fontId="72" fillId="20" borderId="6" xfId="59" applyNumberFormat="1" applyFont="1" applyFill="1" applyBorder="1" applyAlignment="1">
      <alignment horizontal="center" vertical="center"/>
    </xf>
    <xf numFmtId="176" fontId="72" fillId="0" borderId="0" xfId="59" applyNumberFormat="1" applyFont="1" applyFill="1" applyAlignment="1">
      <alignment horizontal="center" vertical="center"/>
    </xf>
    <xf numFmtId="181" fontId="49" fillId="0" borderId="0" xfId="59" applyNumberFormat="1" applyFont="1" applyFill="1" applyAlignment="1">
      <alignment horizontal="right"/>
    </xf>
    <xf numFmtId="0" fontId="81" fillId="0" borderId="0" xfId="129" applyFont="1"/>
    <xf numFmtId="0" fontId="82" fillId="0" borderId="0" xfId="129" applyFont="1"/>
    <xf numFmtId="0" fontId="81" fillId="0" borderId="0" xfId="129" applyFont="1" applyAlignment="1">
      <alignment horizontal="left" vertical="center"/>
    </xf>
    <xf numFmtId="0" fontId="17" fillId="0" borderId="0" xfId="129" applyAlignment="1">
      <alignment vertical="center"/>
    </xf>
    <xf numFmtId="3" fontId="49" fillId="20" borderId="0" xfId="82" applyNumberFormat="1" applyFont="1" applyFill="1"/>
    <xf numFmtId="173" fontId="49" fillId="20" borderId="11" xfId="63" applyNumberFormat="1" applyFont="1" applyFill="1" applyBorder="1" applyAlignment="1"/>
    <xf numFmtId="172" fontId="84" fillId="0" borderId="0" xfId="0" applyFont="1" applyAlignment="1">
      <alignment vertical="center"/>
    </xf>
    <xf numFmtId="172" fontId="85" fillId="0" borderId="0" xfId="0" applyFont="1" applyAlignment="1">
      <alignment horizontal="center" vertical="center"/>
    </xf>
    <xf numFmtId="1" fontId="71" fillId="0" borderId="0" xfId="0" applyNumberFormat="1" applyFont="1" applyAlignment="1">
      <alignment horizontal="right" vertical="center"/>
    </xf>
    <xf numFmtId="172" fontId="86" fillId="0" borderId="0" xfId="0" applyFont="1" applyAlignment="1">
      <alignment horizontal="center" vertical="center"/>
    </xf>
    <xf numFmtId="0" fontId="44" fillId="0" borderId="0" xfId="129" applyFont="1"/>
    <xf numFmtId="0" fontId="81" fillId="0" borderId="0" xfId="129" applyFont="1" applyAlignment="1">
      <alignment horizontal="center"/>
    </xf>
    <xf numFmtId="0" fontId="81" fillId="0" borderId="0" xfId="129" applyFont="1" applyAlignment="1">
      <alignment horizontal="center" wrapText="1"/>
    </xf>
    <xf numFmtId="0" fontId="82" fillId="0" borderId="6" xfId="129" applyFont="1" applyBorder="1"/>
    <xf numFmtId="10" fontId="81" fillId="20" borderId="0" xfId="129" applyNumberFormat="1" applyFont="1" applyFill="1"/>
    <xf numFmtId="0" fontId="81" fillId="0" borderId="0" xfId="129" applyFont="1" applyAlignment="1">
      <alignment horizontal="right" wrapText="1"/>
    </xf>
    <xf numFmtId="164" fontId="81" fillId="0" borderId="27" xfId="129" applyNumberFormat="1" applyFont="1" applyBorder="1"/>
    <xf numFmtId="172" fontId="71" fillId="0" borderId="0" xfId="0" applyFont="1" applyAlignment="1">
      <alignment horizontal="center" vertical="top"/>
    </xf>
    <xf numFmtId="176" fontId="72" fillId="20" borderId="0" xfId="59" applyNumberFormat="1" applyFont="1" applyFill="1" applyAlignment="1">
      <alignment horizontal="left" vertical="center"/>
    </xf>
    <xf numFmtId="0" fontId="16" fillId="0" borderId="0" xfId="129" applyFont="1" applyAlignment="1">
      <alignment vertical="center"/>
    </xf>
    <xf numFmtId="0" fontId="20" fillId="0" borderId="0" xfId="132"/>
    <xf numFmtId="0" fontId="88" fillId="0" borderId="0" xfId="132" applyFont="1"/>
    <xf numFmtId="0" fontId="27" fillId="0" borderId="0" xfId="132" applyFont="1"/>
    <xf numFmtId="0" fontId="27" fillId="0" borderId="0" xfId="132" applyFont="1" applyAlignment="1">
      <alignment horizontal="center"/>
    </xf>
    <xf numFmtId="3" fontId="27" fillId="0" borderId="0" xfId="132" applyNumberFormat="1" applyFont="1"/>
    <xf numFmtId="176" fontId="27" fillId="0" borderId="0" xfId="133" applyNumberFormat="1" applyFont="1" applyFill="1"/>
    <xf numFmtId="0" fontId="91" fillId="22" borderId="0" xfId="132" applyFont="1" applyFill="1"/>
    <xf numFmtId="0" fontId="27" fillId="22" borderId="0" xfId="132" applyFont="1" applyFill="1"/>
    <xf numFmtId="0" fontId="91" fillId="0" borderId="0" xfId="132" applyFont="1"/>
    <xf numFmtId="0" fontId="22" fillId="0" borderId="0" xfId="132" applyFont="1" applyAlignment="1">
      <alignment horizontal="center"/>
    </xf>
    <xf numFmtId="0" fontId="27" fillId="0" borderId="0" xfId="132" applyFont="1" applyAlignment="1">
      <alignment wrapText="1"/>
    </xf>
    <xf numFmtId="0" fontId="27" fillId="0" borderId="0" xfId="132" applyFont="1" applyAlignment="1">
      <alignment horizontal="left"/>
    </xf>
    <xf numFmtId="3" fontId="27" fillId="0" borderId="0" xfId="132" applyNumberFormat="1" applyFont="1" applyAlignment="1">
      <alignment horizontal="left"/>
    </xf>
    <xf numFmtId="3" fontId="22" fillId="0" borderId="0" xfId="132" applyNumberFormat="1" applyFont="1" applyAlignment="1">
      <alignment horizontal="left"/>
    </xf>
    <xf numFmtId="0" fontId="22" fillId="0" borderId="0" xfId="132" applyFont="1" applyAlignment="1">
      <alignment horizontal="left"/>
    </xf>
    <xf numFmtId="3" fontId="27" fillId="0" borderId="11" xfId="132" applyNumberFormat="1" applyFont="1" applyBorder="1"/>
    <xf numFmtId="3" fontId="27" fillId="0" borderId="11" xfId="132" applyNumberFormat="1" applyFont="1" applyBorder="1" applyAlignment="1">
      <alignment horizontal="left"/>
    </xf>
    <xf numFmtId="0" fontId="27" fillId="0" borderId="2" xfId="132" applyFont="1" applyBorder="1"/>
    <xf numFmtId="0" fontId="22" fillId="0" borderId="2" xfId="132" applyFont="1" applyBorder="1"/>
    <xf numFmtId="3" fontId="27" fillId="0" borderId="2" xfId="132" applyNumberFormat="1" applyFont="1" applyBorder="1"/>
    <xf numFmtId="3" fontId="27" fillId="0" borderId="0" xfId="132" applyNumberFormat="1" applyFont="1" applyAlignment="1">
      <alignment horizontal="center"/>
    </xf>
    <xf numFmtId="180" fontId="27" fillId="0" borderId="0" xfId="134" applyNumberFormat="1" applyFont="1" applyFill="1" applyBorder="1" applyAlignment="1"/>
    <xf numFmtId="169" fontId="27" fillId="0" borderId="0" xfId="132" applyNumberFormat="1" applyFont="1"/>
    <xf numFmtId="3" fontId="27" fillId="0" borderId="0" xfId="132" quotePrefix="1" applyNumberFormat="1" applyFont="1" applyAlignment="1">
      <alignment horizontal="right"/>
    </xf>
    <xf numFmtId="0" fontId="27" fillId="0" borderId="0" xfId="132" applyFont="1" applyAlignment="1">
      <alignment horizontal="right"/>
    </xf>
    <xf numFmtId="0" fontId="27" fillId="0" borderId="11" xfId="132" applyFont="1" applyBorder="1" applyAlignment="1">
      <alignment horizontal="left"/>
    </xf>
    <xf numFmtId="0" fontId="27" fillId="0" borderId="11" xfId="132" applyFont="1" applyBorder="1"/>
    <xf numFmtId="3" fontId="27" fillId="0" borderId="11" xfId="132" applyNumberFormat="1" applyFont="1" applyBorder="1" applyAlignment="1">
      <alignment horizontal="right"/>
    </xf>
    <xf numFmtId="169" fontId="27" fillId="0" borderId="11" xfId="132" applyNumberFormat="1" applyFont="1" applyBorder="1"/>
    <xf numFmtId="0" fontId="22" fillId="0" borderId="0" xfId="132" applyFont="1"/>
    <xf numFmtId="3" fontId="22" fillId="0" borderId="0" xfId="132" quotePrefix="1" applyNumberFormat="1" applyFont="1" applyAlignment="1">
      <alignment horizontal="right"/>
    </xf>
    <xf numFmtId="169" fontId="22" fillId="0" borderId="0" xfId="132" applyNumberFormat="1" applyFont="1"/>
    <xf numFmtId="0" fontId="22" fillId="0" borderId="27" xfId="132" applyFont="1" applyBorder="1"/>
    <xf numFmtId="0" fontId="27" fillId="0" borderId="27" xfId="132" applyFont="1" applyBorder="1"/>
    <xf numFmtId="3" fontId="22" fillId="0" borderId="27" xfId="132" applyNumberFormat="1" applyFont="1" applyBorder="1" applyAlignment="1">
      <alignment horizontal="left"/>
    </xf>
    <xf numFmtId="166" fontId="22" fillId="0" borderId="27" xfId="132" applyNumberFormat="1" applyFont="1" applyBorder="1" applyAlignment="1">
      <alignment horizontal="center"/>
    </xf>
    <xf numFmtId="3" fontId="22" fillId="0" borderId="27" xfId="132" applyNumberFormat="1" applyFont="1" applyBorder="1"/>
    <xf numFmtId="0" fontId="92" fillId="22" borderId="0" xfId="132" applyFont="1" applyFill="1" applyAlignment="1">
      <alignment horizontal="left"/>
    </xf>
    <xf numFmtId="0" fontId="92" fillId="22" borderId="0" xfId="132" applyFont="1" applyFill="1"/>
    <xf numFmtId="0" fontId="93" fillId="22" borderId="0" xfId="132" applyFont="1" applyFill="1" applyAlignment="1">
      <alignment horizontal="left"/>
    </xf>
    <xf numFmtId="0" fontId="93" fillId="22" borderId="0" xfId="132" applyFont="1" applyFill="1" applyAlignment="1">
      <alignment horizontal="center"/>
    </xf>
    <xf numFmtId="0" fontId="27" fillId="22" borderId="0" xfId="132" applyFont="1" applyFill="1" applyAlignment="1">
      <alignment horizontal="center" wrapText="1"/>
    </xf>
    <xf numFmtId="180" fontId="22" fillId="0" borderId="0" xfId="134" applyNumberFormat="1" applyFont="1" applyAlignment="1"/>
    <xf numFmtId="164" fontId="22" fillId="0" borderId="0" xfId="132" applyNumberFormat="1" applyFont="1" applyAlignment="1">
      <alignment horizontal="left"/>
    </xf>
    <xf numFmtId="166" fontId="27" fillId="0" borderId="0" xfId="132" applyNumberFormat="1" applyFont="1" applyAlignment="1">
      <alignment horizontal="center"/>
    </xf>
    <xf numFmtId="0" fontId="60" fillId="0" borderId="0" xfId="132" applyFont="1"/>
    <xf numFmtId="10" fontId="60" fillId="0" borderId="0" xfId="132" applyNumberFormat="1" applyFont="1"/>
    <xf numFmtId="172" fontId="27" fillId="0" borderId="0" xfId="132" applyNumberFormat="1" applyFont="1"/>
    <xf numFmtId="43" fontId="60" fillId="0" borderId="0" xfId="132" applyNumberFormat="1" applyFont="1"/>
    <xf numFmtId="164" fontId="27" fillId="0" borderId="0" xfId="132" applyNumberFormat="1" applyFont="1" applyAlignment="1">
      <alignment horizontal="left"/>
    </xf>
    <xf numFmtId="10" fontId="27" fillId="0" borderId="0" xfId="132" applyNumberFormat="1" applyFont="1"/>
    <xf numFmtId="164" fontId="27" fillId="0" borderId="0" xfId="132" applyNumberFormat="1" applyFont="1" applyAlignment="1">
      <alignment horizontal="center"/>
    </xf>
    <xf numFmtId="10" fontId="27" fillId="0" borderId="0" xfId="132" applyNumberFormat="1" applyFont="1" applyAlignment="1">
      <alignment horizontal="right"/>
    </xf>
    <xf numFmtId="10" fontId="90" fillId="0" borderId="0" xfId="132" applyNumberFormat="1" applyFont="1" applyAlignment="1">
      <alignment horizontal="right"/>
    </xf>
    <xf numFmtId="3" fontId="94" fillId="0" borderId="0" xfId="132" applyNumberFormat="1" applyFont="1" applyAlignment="1">
      <alignment horizontal="right"/>
    </xf>
    <xf numFmtId="3" fontId="95" fillId="0" borderId="0" xfId="132" applyNumberFormat="1" applyFont="1" applyAlignment="1">
      <alignment horizontal="right"/>
    </xf>
    <xf numFmtId="3" fontId="27" fillId="0" borderId="0" xfId="132" applyNumberFormat="1" applyFont="1" applyAlignment="1">
      <alignment horizontal="right"/>
    </xf>
    <xf numFmtId="166" fontId="27" fillId="0" borderId="0" xfId="132" applyNumberFormat="1" applyFont="1"/>
    <xf numFmtId="182" fontId="27" fillId="0" borderId="0" xfId="134" applyNumberFormat="1" applyFont="1" applyFill="1" applyAlignment="1">
      <alignment horizontal="right"/>
    </xf>
    <xf numFmtId="0" fontId="89" fillId="0" borderId="0" xfId="132" applyFont="1"/>
    <xf numFmtId="43" fontId="27" fillId="0" borderId="0" xfId="59" applyFont="1" applyFill="1" applyAlignment="1">
      <alignment horizontal="right"/>
    </xf>
    <xf numFmtId="43" fontId="27" fillId="0" borderId="28" xfId="59" applyFont="1" applyFill="1" applyBorder="1" applyAlignment="1">
      <alignment horizontal="right"/>
    </xf>
    <xf numFmtId="10" fontId="60" fillId="0" borderId="0" xfId="85" applyNumberFormat="1" applyFont="1" applyFill="1"/>
    <xf numFmtId="164" fontId="22" fillId="0" borderId="18" xfId="132" applyNumberFormat="1" applyFont="1" applyBorder="1" applyAlignment="1">
      <alignment horizontal="left"/>
    </xf>
    <xf numFmtId="0" fontId="22" fillId="0" borderId="18" xfId="132" applyFont="1" applyBorder="1"/>
    <xf numFmtId="0" fontId="22" fillId="0" borderId="18" xfId="132" applyFont="1" applyBorder="1" applyAlignment="1">
      <alignment horizontal="center"/>
    </xf>
    <xf numFmtId="3" fontId="22" fillId="0" borderId="18" xfId="132" applyNumberFormat="1" applyFont="1" applyBorder="1"/>
    <xf numFmtId="166" fontId="22" fillId="0" borderId="18" xfId="132" applyNumberFormat="1" applyFont="1" applyBorder="1"/>
    <xf numFmtId="3" fontId="22" fillId="0" borderId="18" xfId="133" applyNumberFormat="1" applyFont="1" applyFill="1" applyBorder="1" applyAlignment="1">
      <alignment horizontal="right"/>
    </xf>
    <xf numFmtId="0" fontId="74" fillId="0" borderId="0" xfId="0" applyNumberFormat="1" applyFont="1" applyAlignment="1">
      <alignment horizontal="center" vertical="center"/>
    </xf>
    <xf numFmtId="0" fontId="20" fillId="0" borderId="0" xfId="80" applyFont="1"/>
    <xf numFmtId="0" fontId="96" fillId="0" borderId="0" xfId="80" applyFont="1" applyAlignment="1">
      <alignment horizontal="left"/>
    </xf>
    <xf numFmtId="0" fontId="20" fillId="0" borderId="0" xfId="80" applyFont="1" applyAlignment="1">
      <alignment horizontal="center"/>
    </xf>
    <xf numFmtId="3" fontId="27" fillId="0" borderId="0" xfId="80" applyNumberFormat="1" applyFont="1"/>
    <xf numFmtId="172" fontId="20" fillId="0" borderId="0" xfId="0" applyFont="1"/>
    <xf numFmtId="172" fontId="48" fillId="0" borderId="0" xfId="0" applyFont="1"/>
    <xf numFmtId="170" fontId="20" fillId="0" borderId="0" xfId="0" applyNumberFormat="1" applyFont="1"/>
    <xf numFmtId="43" fontId="20" fillId="0" borderId="0" xfId="59" applyFont="1" applyFill="1" applyBorder="1" applyAlignment="1"/>
    <xf numFmtId="176" fontId="20" fillId="0" borderId="0" xfId="59" applyNumberFormat="1" applyFont="1" applyFill="1" applyBorder="1" applyAlignment="1"/>
    <xf numFmtId="183" fontId="20" fillId="0" borderId="0" xfId="0" applyNumberFormat="1" applyFont="1" applyAlignment="1">
      <alignment horizontal="right"/>
    </xf>
    <xf numFmtId="43" fontId="97" fillId="0" borderId="0" xfId="59" applyFont="1" applyFill="1" applyBorder="1" applyAlignment="1">
      <alignment horizontal="right"/>
    </xf>
    <xf numFmtId="184" fontId="27" fillId="0" borderId="0" xfId="59" applyNumberFormat="1" applyFont="1" applyFill="1" applyAlignment="1">
      <alignment horizontal="right"/>
    </xf>
    <xf numFmtId="0" fontId="92" fillId="0" borderId="0" xfId="132" applyFont="1" applyAlignment="1">
      <alignment horizontal="left"/>
    </xf>
    <xf numFmtId="0" fontId="92" fillId="0" borderId="0" xfId="132" applyFont="1"/>
    <xf numFmtId="0" fontId="93" fillId="0" borderId="0" xfId="132" applyFont="1" applyAlignment="1">
      <alignment horizontal="left"/>
    </xf>
    <xf numFmtId="0" fontId="93" fillId="0" borderId="0" xfId="132" applyFont="1" applyAlignment="1">
      <alignment horizontal="center"/>
    </xf>
    <xf numFmtId="0" fontId="27" fillId="0" borderId="0" xfId="132" applyFont="1" applyAlignment="1">
      <alignment horizontal="center" wrapText="1"/>
    </xf>
    <xf numFmtId="43" fontId="27" fillId="0" borderId="0" xfId="132" applyNumberFormat="1" applyFont="1" applyAlignment="1">
      <alignment horizontal="right"/>
    </xf>
    <xf numFmtId="164" fontId="27" fillId="0" borderId="0" xfId="0" applyNumberFormat="1" applyFont="1" applyAlignment="1">
      <alignment horizontal="left"/>
    </xf>
    <xf numFmtId="0" fontId="27" fillId="0" borderId="0" xfId="0" applyNumberFormat="1" applyFont="1"/>
    <xf numFmtId="0" fontId="98" fillId="0" borderId="0" xfId="132" applyFont="1"/>
    <xf numFmtId="0" fontId="20" fillId="0" borderId="0" xfId="132" applyAlignment="1">
      <alignment horizontal="centerContinuous"/>
    </xf>
    <xf numFmtId="0" fontId="44" fillId="0" borderId="0" xfId="132" applyFont="1"/>
    <xf numFmtId="0" fontId="44" fillId="0" borderId="0" xfId="132" applyFont="1" applyAlignment="1">
      <alignment horizontal="center"/>
    </xf>
    <xf numFmtId="176" fontId="20" fillId="0" borderId="0" xfId="59" applyNumberFormat="1" applyFont="1" applyBorder="1"/>
    <xf numFmtId="176" fontId="20" fillId="0" borderId="0" xfId="59" applyNumberFormat="1" applyFont="1"/>
    <xf numFmtId="176" fontId="20" fillId="0" borderId="0" xfId="132" applyNumberFormat="1"/>
    <xf numFmtId="176" fontId="20" fillId="0" borderId="11" xfId="59" applyNumberFormat="1" applyFont="1" applyBorder="1"/>
    <xf numFmtId="176" fontId="20" fillId="0" borderId="0" xfId="59" applyNumberFormat="1" applyFont="1" applyFill="1" applyBorder="1"/>
    <xf numFmtId="0" fontId="20" fillId="0" borderId="0" xfId="132" applyAlignment="1">
      <alignment horizontal="center"/>
    </xf>
    <xf numFmtId="0" fontId="70" fillId="0" borderId="0" xfId="132" applyFont="1"/>
    <xf numFmtId="176" fontId="99" fillId="0" borderId="0" xfId="59" applyNumberFormat="1" applyFont="1" applyBorder="1"/>
    <xf numFmtId="176" fontId="20" fillId="0" borderId="0" xfId="59" applyNumberFormat="1" applyFont="1" applyFill="1"/>
    <xf numFmtId="0" fontId="100" fillId="0" borderId="0" xfId="132" applyFont="1"/>
    <xf numFmtId="176" fontId="99" fillId="0" borderId="0" xfId="59" applyNumberFormat="1" applyFont="1" applyFill="1" applyBorder="1"/>
    <xf numFmtId="176" fontId="20" fillId="0" borderId="0" xfId="59" applyNumberFormat="1" applyFont="1" applyFill="1" applyAlignment="1">
      <alignment horizontal="center"/>
    </xf>
    <xf numFmtId="176" fontId="20" fillId="0" borderId="0" xfId="59" applyNumberFormat="1" applyFont="1" applyFill="1" applyBorder="1" applyAlignment="1">
      <alignment horizontal="center"/>
    </xf>
    <xf numFmtId="176" fontId="101" fillId="0" borderId="0" xfId="59" applyNumberFormat="1" applyFont="1" applyFill="1" applyBorder="1"/>
    <xf numFmtId="176" fontId="102" fillId="0" borderId="0" xfId="59" applyNumberFormat="1" applyFont="1" applyFill="1" applyBorder="1"/>
    <xf numFmtId="176" fontId="102" fillId="0" borderId="0" xfId="59" applyNumberFormat="1" applyFont="1" applyFill="1" applyBorder="1" applyAlignment="1">
      <alignment horizontal="left"/>
    </xf>
    <xf numFmtId="176" fontId="20" fillId="0" borderId="0" xfId="59" applyNumberFormat="1" applyFont="1" applyAlignment="1">
      <alignment wrapText="1"/>
    </xf>
    <xf numFmtId="176" fontId="44" fillId="0" borderId="0" xfId="59" applyNumberFormat="1" applyFont="1"/>
    <xf numFmtId="176" fontId="44" fillId="0" borderId="0" xfId="59" applyNumberFormat="1" applyFont="1" applyFill="1" applyAlignment="1">
      <alignment horizontal="center"/>
    </xf>
    <xf numFmtId="176" fontId="70" fillId="0" borderId="0" xfId="59" applyNumberFormat="1" applyFont="1"/>
    <xf numFmtId="43" fontId="20" fillId="0" borderId="0" xfId="132" applyNumberFormat="1"/>
    <xf numFmtId="0" fontId="97" fillId="0" borderId="0" xfId="132" applyFont="1"/>
    <xf numFmtId="176" fontId="101" fillId="0" borderId="0" xfId="59" applyNumberFormat="1" applyFont="1" applyFill="1" applyBorder="1" applyAlignment="1">
      <alignment horizontal="left"/>
    </xf>
    <xf numFmtId="0" fontId="44" fillId="0" borderId="0" xfId="132" applyFont="1" applyAlignment="1">
      <alignment horizontal="left"/>
    </xf>
    <xf numFmtId="176" fontId="44" fillId="0" borderId="0" xfId="59" applyNumberFormat="1" applyFont="1" applyFill="1" applyBorder="1"/>
    <xf numFmtId="37" fontId="20" fillId="0" borderId="0" xfId="132" applyNumberFormat="1"/>
    <xf numFmtId="43" fontId="27" fillId="0" borderId="0" xfId="132" applyNumberFormat="1" applyFont="1"/>
    <xf numFmtId="172" fontId="71" fillId="0" borderId="0" xfId="0" applyFont="1" applyAlignment="1">
      <alignment horizontal="left" vertical="center"/>
    </xf>
    <xf numFmtId="3" fontId="49" fillId="0" borderId="0" xfId="0" applyNumberFormat="1" applyFont="1" applyProtection="1">
      <protection locked="0"/>
    </xf>
    <xf numFmtId="0" fontId="49" fillId="0" borderId="0" xfId="0" applyNumberFormat="1" applyFont="1" applyProtection="1">
      <protection locked="0"/>
    </xf>
    <xf numFmtId="17" fontId="50" fillId="0" borderId="14" xfId="0" applyNumberFormat="1" applyFont="1" applyBorder="1" applyAlignment="1">
      <alignment horizontal="center" wrapText="1"/>
    </xf>
    <xf numFmtId="17" fontId="50" fillId="21" borderId="14" xfId="0" applyNumberFormat="1" applyFont="1" applyFill="1" applyBorder="1" applyAlignment="1">
      <alignment horizontal="center" wrapText="1"/>
    </xf>
    <xf numFmtId="172" fontId="0" fillId="21" borderId="14" xfId="0" applyFill="1" applyBorder="1"/>
    <xf numFmtId="17" fontId="50" fillId="0" borderId="0" xfId="0" applyNumberFormat="1" applyFont="1" applyAlignment="1">
      <alignment horizontal="center" wrapText="1"/>
    </xf>
    <xf numFmtId="0" fontId="50"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80" fontId="20" fillId="0" borderId="0" xfId="85" applyNumberFormat="1" applyFont="1" applyFill="1"/>
    <xf numFmtId="10" fontId="20" fillId="0" borderId="0" xfId="85" applyNumberFormat="1" applyFont="1"/>
    <xf numFmtId="43" fontId="106" fillId="0" borderId="0" xfId="132" applyNumberFormat="1" applyFont="1"/>
    <xf numFmtId="176" fontId="106" fillId="0" borderId="0" xfId="132" applyNumberFormat="1" applyFont="1"/>
    <xf numFmtId="0" fontId="20" fillId="0" borderId="0" xfId="132" applyAlignment="1">
      <alignment horizontal="center" vertical="center"/>
    </xf>
    <xf numFmtId="172" fontId="85" fillId="0" borderId="0" xfId="0" applyFont="1" applyAlignment="1">
      <alignment horizontal="center" vertical="center" wrapText="1"/>
    </xf>
    <xf numFmtId="0" fontId="19" fillId="0" borderId="0" xfId="137" applyFont="1"/>
    <xf numFmtId="0" fontId="22" fillId="0" borderId="0" xfId="137" applyFont="1"/>
    <xf numFmtId="0" fontId="22" fillId="0" borderId="0" xfId="137" applyFont="1" applyAlignment="1">
      <alignment horizontal="left"/>
    </xf>
    <xf numFmtId="0" fontId="22" fillId="0" borderId="32" xfId="137" applyFont="1" applyBorder="1" applyAlignment="1">
      <alignment horizontal="left"/>
    </xf>
    <xf numFmtId="0" fontId="22" fillId="0" borderId="0" xfId="137" applyFont="1" applyAlignment="1">
      <alignment horizontal="center"/>
    </xf>
    <xf numFmtId="0" fontId="108" fillId="0" borderId="0" xfId="137" applyFont="1"/>
    <xf numFmtId="0" fontId="20" fillId="0" borderId="0" xfId="137" applyFont="1"/>
    <xf numFmtId="44" fontId="22" fillId="0" borderId="0" xfId="137" applyNumberFormat="1" applyFont="1"/>
    <xf numFmtId="0" fontId="108" fillId="0" borderId="32" xfId="137" applyFont="1" applyBorder="1"/>
    <xf numFmtId="0" fontId="15" fillId="0" borderId="0" xfId="148"/>
    <xf numFmtId="0" fontId="109" fillId="0" borderId="0" xfId="148" applyFont="1" applyAlignment="1">
      <alignment horizontal="center"/>
    </xf>
    <xf numFmtId="0" fontId="15" fillId="0" borderId="35" xfId="148" applyBorder="1"/>
    <xf numFmtId="0" fontId="15" fillId="0" borderId="36" xfId="148" applyBorder="1"/>
    <xf numFmtId="0" fontId="15" fillId="0" borderId="37" xfId="148" applyBorder="1"/>
    <xf numFmtId="37" fontId="15" fillId="0" borderId="0" xfId="148" applyNumberFormat="1"/>
    <xf numFmtId="37" fontId="109" fillId="0" borderId="0" xfId="148" applyNumberFormat="1" applyFont="1"/>
    <xf numFmtId="37" fontId="109" fillId="0" borderId="34" xfId="148" applyNumberFormat="1" applyFont="1" applyBorder="1"/>
    <xf numFmtId="37" fontId="15" fillId="0" borderId="33" xfId="148" applyNumberFormat="1" applyBorder="1"/>
    <xf numFmtId="37" fontId="15" fillId="0" borderId="34" xfId="148" applyNumberFormat="1" applyBorder="1"/>
    <xf numFmtId="172" fontId="49" fillId="0" borderId="16" xfId="0" quotePrefix="1" applyFont="1" applyBorder="1" applyAlignment="1">
      <alignment horizontal="center"/>
    </xf>
    <xf numFmtId="176" fontId="49" fillId="0" borderId="0" xfId="59" applyNumberFormat="1" applyFont="1" applyAlignment="1">
      <alignment horizontal="center" vertical="center"/>
    </xf>
    <xf numFmtId="176" fontId="22" fillId="0" borderId="0" xfId="59" applyNumberFormat="1" applyFont="1" applyAlignment="1">
      <alignment horizontal="center"/>
    </xf>
    <xf numFmtId="170" fontId="20" fillId="0" borderId="0" xfId="0" applyNumberFormat="1" applyFont="1" applyAlignment="1">
      <alignment horizontal="right"/>
    </xf>
    <xf numFmtId="176" fontId="20" fillId="20" borderId="0" xfId="59" applyNumberFormat="1" applyFont="1" applyFill="1" applyAlignment="1">
      <alignment horizontal="right"/>
    </xf>
    <xf numFmtId="0" fontId="27" fillId="0" borderId="0" xfId="0" applyNumberFormat="1" applyFont="1" applyAlignment="1">
      <alignment horizontal="right"/>
    </xf>
    <xf numFmtId="172" fontId="22" fillId="0" borderId="0" xfId="0" applyFont="1"/>
    <xf numFmtId="0" fontId="27" fillId="0" borderId="0" xfId="0" applyNumberFormat="1" applyFont="1" applyAlignment="1" applyProtection="1">
      <alignment horizontal="center"/>
      <protection locked="0"/>
    </xf>
    <xf numFmtId="49" fontId="27" fillId="0" borderId="0" xfId="0" applyNumberFormat="1" applyFont="1"/>
    <xf numFmtId="172" fontId="27" fillId="0" borderId="16" xfId="0" applyFont="1" applyBorder="1"/>
    <xf numFmtId="0" fontId="27" fillId="0" borderId="0" xfId="0" applyNumberFormat="1" applyFont="1" applyAlignment="1">
      <alignment horizontal="center"/>
    </xf>
    <xf numFmtId="49" fontId="27" fillId="0" borderId="0" xfId="0" applyNumberFormat="1" applyFont="1" applyAlignment="1">
      <alignment horizontal="center"/>
    </xf>
    <xf numFmtId="3" fontId="22" fillId="0" borderId="0" xfId="0" applyNumberFormat="1" applyFont="1" applyAlignment="1">
      <alignment horizontal="center"/>
    </xf>
    <xf numFmtId="3" fontId="27" fillId="0" borderId="0" xfId="0" applyNumberFormat="1" applyFont="1"/>
    <xf numFmtId="172" fontId="22" fillId="0" borderId="0" xfId="0" applyFont="1" applyAlignment="1">
      <alignment horizontal="center"/>
    </xf>
    <xf numFmtId="0" fontId="22" fillId="0" borderId="0" xfId="0" applyNumberFormat="1" applyFont="1" applyAlignment="1" applyProtection="1">
      <alignment horizontal="center"/>
      <protection locked="0"/>
    </xf>
    <xf numFmtId="0" fontId="22" fillId="0" borderId="0" xfId="0" applyNumberFormat="1" applyFont="1"/>
    <xf numFmtId="0" fontId="108" fillId="0" borderId="0" xfId="0" applyNumberFormat="1" applyFont="1" applyAlignment="1" applyProtection="1">
      <alignment horizontal="center"/>
      <protection locked="0"/>
    </xf>
    <xf numFmtId="3" fontId="27" fillId="0" borderId="0" xfId="0" applyNumberFormat="1" applyFont="1" applyAlignment="1">
      <alignment horizontal="center"/>
    </xf>
    <xf numFmtId="173" fontId="27" fillId="0" borderId="0" xfId="63" applyNumberFormat="1" applyFont="1" applyFill="1" applyBorder="1" applyAlignment="1"/>
    <xf numFmtId="177" fontId="27" fillId="0" borderId="0" xfId="0" applyNumberFormat="1" applyFont="1"/>
    <xf numFmtId="177" fontId="27" fillId="0" borderId="0" xfId="85" applyNumberFormat="1" applyFont="1" applyFill="1" applyBorder="1" applyAlignment="1"/>
    <xf numFmtId="172" fontId="27" fillId="0" borderId="0" xfId="0" applyFont="1" applyAlignment="1">
      <alignment horizontal="center"/>
    </xf>
    <xf numFmtId="49" fontId="22" fillId="0" borderId="0" xfId="0" applyNumberFormat="1" applyFont="1" applyAlignment="1">
      <alignment horizontal="center"/>
    </xf>
    <xf numFmtId="3" fontId="22" fillId="0" borderId="0" xfId="0" applyNumberFormat="1" applyFont="1"/>
    <xf numFmtId="177" fontId="22" fillId="0" borderId="0" xfId="85" applyNumberFormat="1" applyFont="1" applyFill="1" applyBorder="1" applyAlignment="1"/>
    <xf numFmtId="164" fontId="27" fillId="0" borderId="0" xfId="0" applyNumberFormat="1" applyFont="1" applyAlignment="1">
      <alignment horizontal="center"/>
    </xf>
    <xf numFmtId="172" fontId="27" fillId="0" borderId="11" xfId="0" applyFont="1" applyBorder="1"/>
    <xf numFmtId="172" fontId="27" fillId="0" borderId="0" xfId="0" applyFont="1" applyAlignment="1">
      <alignment horizontal="right"/>
    </xf>
    <xf numFmtId="174" fontId="22" fillId="0" borderId="0" xfId="0" applyNumberFormat="1" applyFont="1" applyAlignment="1">
      <alignment horizontal="center"/>
    </xf>
    <xf numFmtId="172" fontId="22" fillId="0" borderId="13" xfId="0" applyFont="1" applyBorder="1" applyAlignment="1">
      <alignment horizontal="center" wrapText="1"/>
    </xf>
    <xf numFmtId="172" fontId="22" fillId="0" borderId="14" xfId="0" applyFont="1" applyBorder="1"/>
    <xf numFmtId="172" fontId="22" fillId="0" borderId="14" xfId="0" applyFont="1" applyBorder="1" applyAlignment="1">
      <alignment horizontal="center"/>
    </xf>
    <xf numFmtId="172" fontId="22" fillId="0" borderId="14" xfId="0" applyFont="1" applyBorder="1" applyAlignment="1">
      <alignment horizontal="center" wrapText="1"/>
    </xf>
    <xf numFmtId="0" fontId="22" fillId="0" borderId="14" xfId="0" applyNumberFormat="1" applyFont="1" applyBorder="1" applyAlignment="1">
      <alignment horizontal="center" wrapText="1"/>
    </xf>
    <xf numFmtId="172" fontId="22" fillId="0" borderId="12" xfId="0" applyFont="1" applyBorder="1" applyAlignment="1">
      <alignment horizontal="center" wrapText="1"/>
    </xf>
    <xf numFmtId="3" fontId="22" fillId="0" borderId="12" xfId="0" applyNumberFormat="1" applyFont="1" applyBorder="1" applyAlignment="1">
      <alignment horizontal="center" wrapText="1"/>
    </xf>
    <xf numFmtId="0" fontId="27" fillId="0" borderId="13" xfId="0" applyNumberFormat="1" applyFont="1" applyBorder="1"/>
    <xf numFmtId="0" fontId="27" fillId="0" borderId="14" xfId="0" applyNumberFormat="1" applyFont="1" applyBorder="1"/>
    <xf numFmtId="0" fontId="27" fillId="0" borderId="14" xfId="0" applyNumberFormat="1" applyFont="1" applyBorder="1" applyAlignment="1">
      <alignment horizontal="center"/>
    </xf>
    <xf numFmtId="0" fontId="27" fillId="0" borderId="12" xfId="0" applyNumberFormat="1" applyFont="1" applyBorder="1" applyAlignment="1">
      <alignment horizontal="center"/>
    </xf>
    <xf numFmtId="0" fontId="27" fillId="0" borderId="12" xfId="0" applyNumberFormat="1" applyFont="1" applyBorder="1" applyAlignment="1">
      <alignment horizontal="center" wrapText="1"/>
    </xf>
    <xf numFmtId="0" fontId="27" fillId="0" borderId="16" xfId="0" applyNumberFormat="1" applyFont="1" applyBorder="1" applyAlignment="1">
      <alignment horizontal="center" wrapText="1"/>
    </xf>
    <xf numFmtId="0" fontId="27" fillId="0" borderId="10" xfId="0" applyNumberFormat="1" applyFont="1" applyBorder="1"/>
    <xf numFmtId="1" fontId="27" fillId="0" borderId="0" xfId="0" applyNumberFormat="1" applyFont="1" applyAlignment="1">
      <alignment horizontal="center"/>
    </xf>
    <xf numFmtId="170" fontId="27" fillId="0" borderId="10" xfId="0" applyNumberFormat="1" applyFont="1" applyBorder="1"/>
    <xf numFmtId="173" fontId="27" fillId="20" borderId="0" xfId="63" applyNumberFormat="1" applyFont="1" applyFill="1" applyBorder="1" applyAlignment="1"/>
    <xf numFmtId="170" fontId="27" fillId="0" borderId="10" xfId="59" applyNumberFormat="1" applyFont="1" applyFill="1" applyBorder="1" applyAlignment="1"/>
    <xf numFmtId="43" fontId="27" fillId="20" borderId="10" xfId="59" applyFont="1" applyFill="1" applyBorder="1" applyAlignment="1"/>
    <xf numFmtId="172" fontId="20" fillId="0" borderId="10" xfId="0" applyFont="1" applyBorder="1"/>
    <xf numFmtId="172" fontId="27" fillId="0" borderId="17" xfId="0" applyFont="1" applyBorder="1"/>
    <xf numFmtId="172" fontId="20" fillId="0" borderId="11" xfId="0" applyFont="1" applyBorder="1"/>
    <xf numFmtId="172" fontId="20" fillId="0" borderId="19" xfId="0" applyFont="1" applyBorder="1"/>
    <xf numFmtId="43" fontId="27" fillId="0" borderId="0" xfId="59" applyFont="1" applyFill="1" applyBorder="1" applyAlignment="1"/>
    <xf numFmtId="172" fontId="27" fillId="0" borderId="0" xfId="0" quotePrefix="1" applyFont="1" applyAlignment="1">
      <alignment horizontal="center"/>
    </xf>
    <xf numFmtId="172" fontId="105" fillId="0" borderId="0" xfId="0" applyFont="1"/>
    <xf numFmtId="172" fontId="27" fillId="0" borderId="0" xfId="0" applyFont="1" applyAlignment="1">
      <alignment horizontal="center" vertical="top"/>
    </xf>
    <xf numFmtId="172" fontId="20" fillId="0" borderId="0" xfId="0" applyFont="1" applyAlignment="1">
      <alignment horizontal="center"/>
    </xf>
    <xf numFmtId="10" fontId="27" fillId="0" borderId="0" xfId="0" applyNumberFormat="1" applyFont="1"/>
    <xf numFmtId="172" fontId="22" fillId="0" borderId="14" xfId="0" applyFont="1" applyBorder="1" applyAlignment="1">
      <alignment wrapText="1"/>
    </xf>
    <xf numFmtId="3" fontId="22" fillId="0" borderId="23" xfId="0" applyNumberFormat="1" applyFont="1" applyBorder="1" applyAlignment="1">
      <alignment horizontal="center" wrapText="1"/>
    </xf>
    <xf numFmtId="172" fontId="27" fillId="0" borderId="0" xfId="0" applyFont="1" applyAlignment="1">
      <alignment wrapText="1"/>
    </xf>
    <xf numFmtId="0" fontId="27" fillId="0" borderId="14" xfId="0" applyNumberFormat="1" applyFont="1" applyBorder="1" applyAlignment="1">
      <alignment horizontal="center" wrapText="1"/>
    </xf>
    <xf numFmtId="0" fontId="27" fillId="0" borderId="23" xfId="0" applyNumberFormat="1" applyFont="1" applyBorder="1" applyAlignment="1">
      <alignment horizontal="center"/>
    </xf>
    <xf numFmtId="0" fontId="27" fillId="0" borderId="16" xfId="0" applyNumberFormat="1" applyFont="1" applyBorder="1" applyAlignment="1">
      <alignment horizontal="center"/>
    </xf>
    <xf numFmtId="0" fontId="27" fillId="0" borderId="2" xfId="0" applyNumberFormat="1" applyFont="1" applyBorder="1"/>
    <xf numFmtId="0" fontId="27" fillId="0" borderId="32" xfId="0" applyNumberFormat="1" applyFont="1" applyBorder="1"/>
    <xf numFmtId="0" fontId="27" fillId="0" borderId="20" xfId="0" applyNumberFormat="1" applyFont="1" applyBorder="1"/>
    <xf numFmtId="0" fontId="27" fillId="0" borderId="16" xfId="0" applyNumberFormat="1" applyFont="1" applyBorder="1"/>
    <xf numFmtId="0" fontId="27" fillId="0" borderId="21" xfId="0" applyNumberFormat="1" applyFont="1" applyBorder="1"/>
    <xf numFmtId="43" fontId="27" fillId="20" borderId="0" xfId="59" applyFont="1" applyFill="1" applyBorder="1" applyAlignment="1"/>
    <xf numFmtId="43" fontId="27" fillId="0" borderId="0" xfId="85" applyNumberFormat="1" applyFont="1" applyFill="1" applyBorder="1" applyAlignment="1"/>
    <xf numFmtId="43" fontId="27" fillId="0" borderId="21" xfId="59" applyFont="1" applyFill="1" applyBorder="1" applyAlignment="1"/>
    <xf numFmtId="43" fontId="20" fillId="0" borderId="21" xfId="59" applyFont="1" applyFill="1" applyBorder="1" applyAlignment="1"/>
    <xf numFmtId="43" fontId="20" fillId="0" borderId="11" xfId="59" applyFont="1" applyFill="1" applyBorder="1" applyAlignment="1"/>
    <xf numFmtId="43" fontId="20" fillId="0" borderId="22" xfId="59" applyFont="1" applyFill="1" applyBorder="1" applyAlignment="1"/>
    <xf numFmtId="172" fontId="110" fillId="0" borderId="0" xfId="0" applyFont="1"/>
    <xf numFmtId="43" fontId="27" fillId="0" borderId="0" xfId="59" applyFont="1" applyFill="1" applyBorder="1" applyAlignment="1">
      <alignment horizontal="center"/>
    </xf>
    <xf numFmtId="49" fontId="27" fillId="0" borderId="0" xfId="0" applyNumberFormat="1" applyFont="1" applyAlignment="1">
      <alignment horizontal="left"/>
    </xf>
    <xf numFmtId="176" fontId="70" fillId="20" borderId="0" xfId="136" applyNumberFormat="1" applyFont="1" applyFill="1"/>
    <xf numFmtId="176" fontId="20" fillId="20" borderId="0" xfId="136" applyNumberFormat="1" applyFont="1" applyFill="1"/>
    <xf numFmtId="176" fontId="20" fillId="20" borderId="0" xfId="59" applyNumberFormat="1" applyFont="1" applyFill="1"/>
    <xf numFmtId="176" fontId="20" fillId="20" borderId="0" xfId="59" applyNumberFormat="1" applyFont="1" applyFill="1" applyAlignment="1">
      <alignment wrapText="1"/>
    </xf>
    <xf numFmtId="176" fontId="70" fillId="20" borderId="0" xfId="136" applyNumberFormat="1" applyFont="1" applyFill="1" applyBorder="1"/>
    <xf numFmtId="176" fontId="20" fillId="20" borderId="11" xfId="59" applyNumberFormat="1" applyFont="1" applyFill="1" applyBorder="1"/>
    <xf numFmtId="176" fontId="20" fillId="20" borderId="11" xfId="59" applyNumberFormat="1" applyFont="1" applyFill="1" applyBorder="1" applyAlignment="1">
      <alignment wrapText="1"/>
    </xf>
    <xf numFmtId="0" fontId="44" fillId="0" borderId="0" xfId="132" applyFont="1" applyAlignment="1">
      <alignment horizontal="center" wrapText="1"/>
    </xf>
    <xf numFmtId="176" fontId="97" fillId="20" borderId="0" xfId="59" applyNumberFormat="1" applyFont="1" applyFill="1"/>
    <xf numFmtId="176" fontId="103" fillId="20" borderId="0" xfId="59" applyNumberFormat="1" applyFont="1" applyFill="1"/>
    <xf numFmtId="0" fontId="20" fillId="20" borderId="0" xfId="132" applyFill="1"/>
    <xf numFmtId="176" fontId="104" fillId="20" borderId="0" xfId="59" applyNumberFormat="1" applyFont="1" applyFill="1"/>
    <xf numFmtId="0" fontId="20" fillId="20" borderId="0" xfId="132" applyFill="1" applyAlignment="1">
      <alignment wrapText="1"/>
    </xf>
    <xf numFmtId="176" fontId="20" fillId="20" borderId="0" xfId="136" applyNumberFormat="1" applyFont="1" applyFill="1" applyBorder="1"/>
    <xf numFmtId="176" fontId="70" fillId="20" borderId="0" xfId="59" applyNumberFormat="1" applyFont="1" applyFill="1"/>
    <xf numFmtId="176" fontId="97" fillId="20" borderId="0" xfId="59" applyNumberFormat="1" applyFont="1" applyFill="1" applyBorder="1"/>
    <xf numFmtId="176" fontId="103" fillId="20" borderId="0" xfId="59" applyNumberFormat="1" applyFont="1" applyFill="1" applyBorder="1"/>
    <xf numFmtId="176" fontId="97" fillId="0" borderId="0" xfId="59" applyNumberFormat="1" applyFont="1" applyFill="1"/>
    <xf numFmtId="176" fontId="103" fillId="0" borderId="0" xfId="59" applyNumberFormat="1" applyFont="1" applyFill="1"/>
    <xf numFmtId="176" fontId="20" fillId="20" borderId="11" xfId="136" applyNumberFormat="1" applyFont="1" applyFill="1" applyBorder="1"/>
    <xf numFmtId="176" fontId="72" fillId="0" borderId="0" xfId="59" applyNumberFormat="1" applyFont="1" applyFill="1" applyAlignment="1">
      <alignment horizontal="left" vertical="center"/>
    </xf>
    <xf numFmtId="10" fontId="81" fillId="0" borderId="0" xfId="85" applyNumberFormat="1" applyFont="1"/>
    <xf numFmtId="0" fontId="20" fillId="0" borderId="0" xfId="0" applyNumberFormat="1" applyFont="1" applyAlignment="1">
      <alignment horizontal="left"/>
    </xf>
    <xf numFmtId="3" fontId="71" fillId="0" borderId="0" xfId="0" applyNumberFormat="1" applyFont="1" applyAlignment="1">
      <alignment horizontal="center" vertical="center"/>
    </xf>
    <xf numFmtId="3" fontId="71" fillId="0" borderId="0" xfId="0" applyNumberFormat="1" applyFont="1" applyAlignment="1">
      <alignment vertical="center"/>
    </xf>
    <xf numFmtId="3" fontId="70" fillId="0" borderId="0" xfId="132" applyNumberFormat="1" applyFont="1"/>
    <xf numFmtId="176" fontId="72" fillId="20" borderId="0" xfId="151" applyNumberFormat="1" applyFont="1" applyFill="1" applyBorder="1" applyAlignment="1">
      <alignment horizontal="center" vertical="center"/>
    </xf>
    <xf numFmtId="37" fontId="15" fillId="0" borderId="6" xfId="148" applyNumberFormat="1" applyBorder="1"/>
    <xf numFmtId="172" fontId="73" fillId="0" borderId="21" xfId="0" applyFont="1" applyBorder="1" applyAlignment="1">
      <alignment horizontal="center" vertical="center"/>
    </xf>
    <xf numFmtId="176" fontId="72" fillId="0" borderId="22" xfId="59" applyNumberFormat="1" applyFont="1" applyBorder="1" applyAlignment="1">
      <alignment horizontal="center" vertical="center"/>
    </xf>
    <xf numFmtId="172" fontId="71" fillId="21" borderId="0" xfId="0" applyFont="1" applyFill="1" applyAlignment="1">
      <alignment vertical="center"/>
    </xf>
    <xf numFmtId="176" fontId="15" fillId="0" borderId="0" xfId="148" applyNumberFormat="1"/>
    <xf numFmtId="172" fontId="84" fillId="0" borderId="0" xfId="0" applyFont="1" applyAlignment="1">
      <alignment horizontal="center" vertical="center"/>
    </xf>
    <xf numFmtId="0" fontId="81" fillId="0" borderId="0" xfId="129" applyFont="1" applyAlignment="1">
      <alignment horizontal="left"/>
    </xf>
    <xf numFmtId="9" fontId="81" fillId="0" borderId="0" xfId="85" applyFont="1"/>
    <xf numFmtId="172" fontId="71" fillId="21" borderId="21" xfId="0" applyFont="1" applyFill="1" applyBorder="1" applyAlignment="1">
      <alignment vertical="center"/>
    </xf>
    <xf numFmtId="172" fontId="71" fillId="20" borderId="0" xfId="0" applyFont="1" applyFill="1" applyAlignment="1">
      <alignment vertical="center"/>
    </xf>
    <xf numFmtId="172" fontId="71" fillId="20" borderId="21" xfId="0" applyFont="1" applyFill="1" applyBorder="1" applyAlignment="1">
      <alignment vertical="center"/>
    </xf>
    <xf numFmtId="176" fontId="20" fillId="0" borderId="0" xfId="132" applyNumberFormat="1" applyAlignment="1">
      <alignment horizontal="center"/>
    </xf>
    <xf numFmtId="43" fontId="20" fillId="0" borderId="0" xfId="132" applyNumberFormat="1" applyAlignment="1">
      <alignment horizontal="center"/>
    </xf>
    <xf numFmtId="0" fontId="20" fillId="0" borderId="0" xfId="132" applyAlignment="1">
      <alignment horizontal="center" wrapText="1"/>
    </xf>
    <xf numFmtId="176" fontId="106" fillId="0" borderId="0" xfId="132" applyNumberFormat="1" applyFont="1" applyAlignment="1">
      <alignment horizontal="center"/>
    </xf>
    <xf numFmtId="43" fontId="106" fillId="0" borderId="0" xfId="132" applyNumberFormat="1" applyFont="1" applyAlignment="1">
      <alignment horizontal="center"/>
    </xf>
    <xf numFmtId="172" fontId="79" fillId="20" borderId="24" xfId="0" applyFont="1" applyFill="1" applyBorder="1" applyAlignment="1" applyProtection="1">
      <alignment horizontal="center" vertical="center" wrapText="1"/>
      <protection locked="0"/>
    </xf>
    <xf numFmtId="172" fontId="27"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7" fillId="20" borderId="0" xfId="0" applyFont="1" applyFill="1" applyAlignment="1">
      <alignment horizontal="left" wrapText="1"/>
    </xf>
    <xf numFmtId="176" fontId="74" fillId="0" borderId="0" xfId="59" applyNumberFormat="1" applyFont="1" applyFill="1" applyAlignment="1">
      <alignment horizontal="center" vertical="center"/>
    </xf>
    <xf numFmtId="176" fontId="72" fillId="0" borderId="0" xfId="59" applyNumberFormat="1" applyFont="1" applyFill="1" applyAlignment="1">
      <alignment vertical="center"/>
    </xf>
    <xf numFmtId="172" fontId="27" fillId="20" borderId="0" xfId="0" applyFont="1" applyFill="1" applyAlignment="1">
      <alignment horizontal="left"/>
    </xf>
    <xf numFmtId="170" fontId="79" fillId="20" borderId="26" xfId="0" applyNumberFormat="1" applyFont="1" applyFill="1" applyBorder="1" applyAlignment="1" applyProtection="1">
      <alignment horizontal="center"/>
      <protection locked="0"/>
    </xf>
    <xf numFmtId="0" fontId="83" fillId="0" borderId="0" xfId="129" applyFont="1"/>
    <xf numFmtId="37" fontId="109" fillId="0" borderId="39" xfId="148" applyNumberFormat="1" applyFont="1" applyBorder="1"/>
    <xf numFmtId="37" fontId="15" fillId="0" borderId="40" xfId="148" applyNumberFormat="1" applyBorder="1"/>
    <xf numFmtId="0" fontId="81" fillId="0" borderId="0" xfId="129" applyFont="1" applyAlignment="1">
      <alignment vertical="top"/>
    </xf>
    <xf numFmtId="0" fontId="81" fillId="0" borderId="0" xfId="129" applyFont="1" applyAlignment="1">
      <alignment horizontal="left" vertical="top"/>
    </xf>
    <xf numFmtId="0" fontId="27" fillId="0" borderId="0" xfId="137" applyFont="1"/>
    <xf numFmtId="0" fontId="27" fillId="0" borderId="15" xfId="137" applyFont="1" applyBorder="1"/>
    <xf numFmtId="0" fontId="22" fillId="0" borderId="20" xfId="137" applyFont="1" applyBorder="1" applyAlignment="1">
      <alignment horizontal="left"/>
    </xf>
    <xf numFmtId="0" fontId="27" fillId="0" borderId="16" xfId="137" applyFont="1" applyBorder="1"/>
    <xf numFmtId="0" fontId="90" fillId="0" borderId="0" xfId="137" applyFont="1" applyAlignment="1">
      <alignment horizontal="left"/>
    </xf>
    <xf numFmtId="0" fontId="22" fillId="0" borderId="21" xfId="137" applyFont="1" applyBorder="1" applyAlignment="1">
      <alignment horizontal="left"/>
    </xf>
    <xf numFmtId="0" fontId="22" fillId="0" borderId="29" xfId="137" applyFont="1" applyBorder="1"/>
    <xf numFmtId="14" fontId="22" fillId="0" borderId="31" xfId="137" applyNumberFormat="1" applyFont="1" applyBorder="1"/>
    <xf numFmtId="0" fontId="27" fillId="0" borderId="0" xfId="137" applyFont="1" applyAlignment="1">
      <alignment horizontal="left"/>
    </xf>
    <xf numFmtId="0" fontId="22" fillId="0" borderId="16" xfId="137" applyFont="1" applyBorder="1" applyAlignment="1">
      <alignment horizontal="center"/>
    </xf>
    <xf numFmtId="0" fontId="22" fillId="0" borderId="0" xfId="137" quotePrefix="1" applyFont="1" applyAlignment="1">
      <alignment horizontal="center"/>
    </xf>
    <xf numFmtId="0" fontId="22" fillId="0" borderId="21" xfId="137" applyFont="1" applyBorder="1" applyAlignment="1">
      <alignment horizontal="center"/>
    </xf>
    <xf numFmtId="0" fontId="27" fillId="0" borderId="0" xfId="137" applyFont="1" applyAlignment="1">
      <alignment horizontal="center"/>
    </xf>
    <xf numFmtId="0" fontId="110" fillId="0" borderId="0" xfId="137" applyFont="1"/>
    <xf numFmtId="0" fontId="27" fillId="0" borderId="21" xfId="137" applyFont="1" applyBorder="1"/>
    <xf numFmtId="173" fontId="27" fillId="0" borderId="0" xfId="137" applyNumberFormat="1" applyFont="1"/>
    <xf numFmtId="10" fontId="108" fillId="0" borderId="0" xfId="137" applyNumberFormat="1" applyFont="1" applyAlignment="1">
      <alignment horizontal="left"/>
    </xf>
    <xf numFmtId="10" fontId="26" fillId="0" borderId="0" xfId="137" applyNumberFormat="1" applyFont="1" applyAlignment="1">
      <alignment horizontal="left"/>
    </xf>
    <xf numFmtId="0" fontId="105" fillId="0" borderId="0" xfId="137" applyFont="1" applyAlignment="1">
      <alignment horizontal="center"/>
    </xf>
    <xf numFmtId="17" fontId="27" fillId="0" borderId="0" xfId="137" applyNumberFormat="1" applyFont="1" applyAlignment="1">
      <alignment horizontal="left"/>
    </xf>
    <xf numFmtId="41" fontId="27" fillId="0" borderId="0" xfId="137" applyNumberFormat="1" applyFont="1"/>
    <xf numFmtId="14" fontId="22" fillId="0" borderId="0" xfId="137" applyNumberFormat="1" applyFont="1" applyAlignment="1">
      <alignment horizontal="left"/>
    </xf>
    <xf numFmtId="0" fontId="105" fillId="0" borderId="0" xfId="137" applyFont="1"/>
    <xf numFmtId="6" fontId="27" fillId="0" borderId="0" xfId="137" applyNumberFormat="1" applyFont="1" applyAlignment="1">
      <alignment horizontal="center"/>
    </xf>
    <xf numFmtId="0" fontId="27" fillId="0" borderId="16" xfId="137" quotePrefix="1" applyFont="1" applyBorder="1"/>
    <xf numFmtId="173" fontId="27" fillId="0" borderId="0" xfId="138" applyNumberFormat="1" applyFont="1" applyBorder="1" applyAlignment="1">
      <alignment horizontal="center"/>
    </xf>
    <xf numFmtId="173" fontId="27" fillId="20" borderId="0" xfId="138" applyNumberFormat="1" applyFont="1" applyFill="1" applyBorder="1" applyAlignment="1">
      <alignment horizontal="center"/>
    </xf>
    <xf numFmtId="44" fontId="27" fillId="0" borderId="0" xfId="138" applyFont="1" applyFill="1" applyBorder="1" applyAlignment="1">
      <alignment horizontal="center"/>
    </xf>
    <xf numFmtId="10" fontId="27" fillId="0" borderId="0" xfId="137" applyNumberFormat="1" applyFont="1"/>
    <xf numFmtId="44" fontId="27" fillId="0" borderId="0" xfId="137" applyNumberFormat="1" applyFont="1"/>
    <xf numFmtId="0" fontId="113" fillId="0" borderId="0" xfId="137" applyFont="1"/>
    <xf numFmtId="176" fontId="113" fillId="0" borderId="0" xfId="139" applyNumberFormat="1" applyFont="1" applyFill="1" applyBorder="1"/>
    <xf numFmtId="176" fontId="113" fillId="0" borderId="0" xfId="137" applyNumberFormat="1" applyFont="1"/>
    <xf numFmtId="164" fontId="105" fillId="0" borderId="0" xfId="137" applyNumberFormat="1" applyFont="1"/>
    <xf numFmtId="176" fontId="27" fillId="0" borderId="0" xfId="139" applyNumberFormat="1" applyFont="1" applyFill="1" applyBorder="1"/>
    <xf numFmtId="173" fontId="27" fillId="0" borderId="0" xfId="138" applyNumberFormat="1" applyFont="1" applyFill="1" applyBorder="1"/>
    <xf numFmtId="176" fontId="27" fillId="0" borderId="0" xfId="137" applyNumberFormat="1" applyFont="1"/>
    <xf numFmtId="173" fontId="27" fillId="0" borderId="0" xfId="138" applyNumberFormat="1" applyFont="1" applyBorder="1"/>
    <xf numFmtId="164" fontId="27" fillId="0" borderId="0" xfId="137" applyNumberFormat="1" applyFont="1"/>
    <xf numFmtId="44" fontId="110" fillId="0" borderId="0" xfId="137" applyNumberFormat="1" applyFont="1"/>
    <xf numFmtId="44" fontId="27" fillId="0" borderId="21" xfId="137" applyNumberFormat="1" applyFont="1" applyBorder="1"/>
    <xf numFmtId="0" fontId="27" fillId="0" borderId="17" xfId="137" applyFont="1" applyBorder="1"/>
    <xf numFmtId="44" fontId="27" fillId="0" borderId="11" xfId="137" applyNumberFormat="1" applyFont="1" applyBorder="1"/>
    <xf numFmtId="44" fontId="27" fillId="0" borderId="22" xfId="137" applyNumberFormat="1" applyFont="1" applyBorder="1"/>
    <xf numFmtId="0" fontId="27" fillId="0" borderId="11" xfId="137" applyFont="1" applyBorder="1"/>
    <xf numFmtId="44" fontId="27" fillId="0" borderId="32" xfId="137" applyNumberFormat="1" applyFont="1" applyBorder="1"/>
    <xf numFmtId="44" fontId="27" fillId="0" borderId="20" xfId="137" applyNumberFormat="1" applyFont="1" applyBorder="1"/>
    <xf numFmtId="0" fontId="27" fillId="0" borderId="20" xfId="137" applyFont="1" applyBorder="1"/>
    <xf numFmtId="42" fontId="22" fillId="0" borderId="0" xfId="137" applyNumberFormat="1" applyFont="1" applyAlignment="1">
      <alignment horizontal="center"/>
    </xf>
    <xf numFmtId="0" fontId="27" fillId="0" borderId="21" xfId="137" applyFont="1" applyBorder="1" applyAlignment="1">
      <alignment horizontal="center"/>
    </xf>
    <xf numFmtId="0" fontId="105" fillId="0" borderId="21" xfId="137" applyFont="1" applyBorder="1" applyAlignment="1">
      <alignment horizontal="center"/>
    </xf>
    <xf numFmtId="0" fontId="27" fillId="0" borderId="16" xfId="137" quotePrefix="1" applyFont="1" applyBorder="1" applyAlignment="1">
      <alignment horizontal="center"/>
    </xf>
    <xf numFmtId="42" fontId="27" fillId="0" borderId="0" xfId="137" applyNumberFormat="1" applyFont="1"/>
    <xf numFmtId="42" fontId="27" fillId="0" borderId="21" xfId="139" applyNumberFormat="1" applyFont="1" applyBorder="1"/>
    <xf numFmtId="169" fontId="27" fillId="0" borderId="0" xfId="137" applyNumberFormat="1" applyFont="1"/>
    <xf numFmtId="10" fontId="27" fillId="0" borderId="21" xfId="139" applyNumberFormat="1" applyFont="1" applyBorder="1" applyAlignment="1">
      <alignment horizontal="center"/>
    </xf>
    <xf numFmtId="185" fontId="27" fillId="0" borderId="0" xfId="137" applyNumberFormat="1" applyFont="1"/>
    <xf numFmtId="166" fontId="27" fillId="0" borderId="0" xfId="137" applyNumberFormat="1" applyFont="1"/>
    <xf numFmtId="176" fontId="27" fillId="0" borderId="0" xfId="139" applyNumberFormat="1" applyFont="1" applyBorder="1"/>
    <xf numFmtId="173" fontId="27" fillId="20" borderId="11" xfId="138" applyNumberFormat="1" applyFont="1" applyFill="1" applyBorder="1" applyAlignment="1">
      <alignment horizontal="center"/>
    </xf>
    <xf numFmtId="164" fontId="27" fillId="0" borderId="0" xfId="137" applyNumberFormat="1" applyFont="1" applyAlignment="1">
      <alignment horizontal="right"/>
    </xf>
    <xf numFmtId="0" fontId="27" fillId="0" borderId="0" xfId="137" quotePrefix="1" applyFont="1" applyAlignment="1">
      <alignment horizontal="center"/>
    </xf>
    <xf numFmtId="14" fontId="27" fillId="0" borderId="0" xfId="137" quotePrefix="1" applyNumberFormat="1" applyFont="1" applyAlignment="1">
      <alignment horizontal="center"/>
    </xf>
    <xf numFmtId="42" fontId="27" fillId="0" borderId="0" xfId="139" applyNumberFormat="1" applyFont="1" applyBorder="1"/>
    <xf numFmtId="42" fontId="27" fillId="0" borderId="21" xfId="137" applyNumberFormat="1" applyFont="1" applyBorder="1"/>
    <xf numFmtId="169" fontId="27" fillId="0" borderId="21" xfId="137" applyNumberFormat="1" applyFont="1" applyBorder="1"/>
    <xf numFmtId="43" fontId="27" fillId="0" borderId="11" xfId="139" applyFont="1" applyBorder="1"/>
    <xf numFmtId="0" fontId="27" fillId="0" borderId="22" xfId="137" applyFont="1" applyBorder="1"/>
    <xf numFmtId="185" fontId="27" fillId="0" borderId="22" xfId="137" applyNumberFormat="1" applyFont="1" applyBorder="1"/>
    <xf numFmtId="43" fontId="27" fillId="0" borderId="0" xfId="139" applyFont="1"/>
    <xf numFmtId="0" fontId="114" fillId="0" borderId="0" xfId="137" applyFont="1"/>
    <xf numFmtId="43" fontId="27" fillId="0" borderId="0" xfId="137" applyNumberFormat="1" applyFont="1"/>
    <xf numFmtId="10" fontId="27" fillId="0" borderId="0" xfId="141" applyNumberFormat="1" applyFont="1" applyBorder="1"/>
    <xf numFmtId="173" fontId="27" fillId="0" borderId="0" xfId="142" applyNumberFormat="1" applyFont="1" applyBorder="1"/>
    <xf numFmtId="0" fontId="27" fillId="0" borderId="0" xfId="137" applyFont="1" applyAlignment="1">
      <alignment horizontal="right"/>
    </xf>
    <xf numFmtId="0" fontId="108" fillId="0" borderId="0" xfId="137" applyFont="1" applyAlignment="1">
      <alignment horizontal="left"/>
    </xf>
    <xf numFmtId="164" fontId="27" fillId="0" borderId="0" xfId="137" applyNumberFormat="1" applyFont="1" applyAlignment="1">
      <alignment horizontal="center"/>
    </xf>
    <xf numFmtId="43" fontId="27" fillId="0" borderId="0" xfId="139" applyFont="1" applyBorder="1"/>
    <xf numFmtId="164" fontId="27" fillId="0" borderId="0" xfId="141" applyNumberFormat="1" applyFont="1" applyBorder="1"/>
    <xf numFmtId="164" fontId="20" fillId="0" borderId="0" xfId="137" applyNumberFormat="1" applyFont="1"/>
    <xf numFmtId="164" fontId="20" fillId="0" borderId="11" xfId="137" applyNumberFormat="1" applyFont="1" applyBorder="1"/>
    <xf numFmtId="172" fontId="48" fillId="0" borderId="0" xfId="0" applyFont="1" applyAlignment="1">
      <alignment horizontal="left"/>
    </xf>
    <xf numFmtId="172" fontId="48" fillId="20" borderId="0" xfId="0" applyFont="1" applyFill="1" applyAlignment="1">
      <alignment horizontal="left"/>
    </xf>
    <xf numFmtId="17" fontId="50" fillId="20" borderId="14" xfId="0" applyNumberFormat="1" applyFont="1" applyFill="1" applyBorder="1" applyAlignment="1">
      <alignment horizontal="center" wrapText="1"/>
    </xf>
    <xf numFmtId="170" fontId="0" fillId="0" borderId="21" xfId="0" applyNumberFormat="1" applyBorder="1"/>
    <xf numFmtId="0" fontId="81" fillId="0" borderId="0" xfId="129" applyFont="1" applyAlignment="1">
      <alignment horizontal="left" wrapText="1"/>
    </xf>
    <xf numFmtId="37" fontId="109" fillId="0" borderId="6" xfId="148" applyNumberFormat="1" applyFont="1" applyBorder="1"/>
    <xf numFmtId="172" fontId="72" fillId="0" borderId="21" xfId="0" applyFont="1" applyBorder="1" applyAlignment="1">
      <alignment horizontal="center" vertical="center"/>
    </xf>
    <xf numFmtId="172" fontId="49" fillId="0" borderId="0" xfId="0" applyFont="1" applyAlignment="1">
      <alignment horizontal="center" vertical="top"/>
    </xf>
    <xf numFmtId="0" fontId="27" fillId="0" borderId="0" xfId="152" applyFont="1"/>
    <xf numFmtId="14" fontId="27" fillId="20" borderId="0" xfId="152" applyNumberFormat="1" applyFont="1" applyFill="1" applyAlignment="1">
      <alignment horizontal="center"/>
    </xf>
    <xf numFmtId="169" fontId="27" fillId="20" borderId="0" xfId="152" applyNumberFormat="1" applyFont="1" applyFill="1"/>
    <xf numFmtId="0" fontId="110" fillId="0" borderId="0" xfId="152" applyFont="1"/>
    <xf numFmtId="6" fontId="27" fillId="0" borderId="0" xfId="152" applyNumberFormat="1" applyFont="1" applyAlignment="1">
      <alignment horizontal="center"/>
    </xf>
    <xf numFmtId="0" fontId="113" fillId="0" borderId="0" xfId="152" applyFont="1"/>
    <xf numFmtId="176" fontId="27" fillId="0" borderId="0" xfId="152" applyNumberFormat="1" applyFont="1"/>
    <xf numFmtId="10" fontId="0" fillId="0" borderId="0" xfId="85" applyNumberFormat="1" applyFont="1" applyBorder="1" applyAlignment="1"/>
    <xf numFmtId="173" fontId="27" fillId="20" borderId="0" xfId="138" applyNumberFormat="1" applyFont="1" applyFill="1" applyBorder="1"/>
    <xf numFmtId="170" fontId="71" fillId="0" borderId="0" xfId="0" applyNumberFormat="1" applyFont="1" applyAlignment="1">
      <alignment vertical="center"/>
    </xf>
    <xf numFmtId="172" fontId="116" fillId="0" borderId="0" xfId="0" applyFont="1"/>
    <xf numFmtId="0" fontId="116" fillId="0" borderId="0" xfId="0" applyNumberFormat="1" applyFont="1"/>
    <xf numFmtId="0" fontId="116" fillId="0" borderId="0" xfId="0" applyNumberFormat="1" applyFont="1" applyAlignment="1">
      <alignment horizontal="left"/>
    </xf>
    <xf numFmtId="0" fontId="116" fillId="0" borderId="0" xfId="0" applyNumberFormat="1" applyFont="1" applyAlignment="1">
      <alignment horizontal="right"/>
    </xf>
    <xf numFmtId="0" fontId="116" fillId="20" borderId="0" xfId="0" applyNumberFormat="1" applyFont="1" applyFill="1"/>
    <xf numFmtId="172" fontId="116" fillId="20" borderId="0" xfId="0" applyFont="1" applyFill="1"/>
    <xf numFmtId="3" fontId="116" fillId="0" borderId="0" xfId="0" applyNumberFormat="1" applyFont="1"/>
    <xf numFmtId="0" fontId="116" fillId="0" borderId="0" xfId="0" applyNumberFormat="1" applyFont="1" applyAlignment="1">
      <alignment horizontal="center"/>
    </xf>
    <xf numFmtId="49" fontId="116" fillId="0" borderId="0" xfId="0" applyNumberFormat="1" applyFont="1"/>
    <xf numFmtId="49" fontId="116" fillId="0" borderId="0" xfId="0" applyNumberFormat="1" applyFont="1" applyAlignment="1">
      <alignment horizontal="left"/>
    </xf>
    <xf numFmtId="49" fontId="116" fillId="0" borderId="0" xfId="0" applyNumberFormat="1" applyFont="1" applyAlignment="1">
      <alignment horizontal="center"/>
    </xf>
    <xf numFmtId="0" fontId="116" fillId="0" borderId="6" xfId="0" applyNumberFormat="1" applyFont="1" applyBorder="1" applyAlignment="1">
      <alignment horizontal="center"/>
    </xf>
    <xf numFmtId="42" fontId="116" fillId="0" borderId="0" xfId="0" applyNumberFormat="1" applyFont="1"/>
    <xf numFmtId="176" fontId="116" fillId="0" borderId="0" xfId="59" applyNumberFormat="1" applyFont="1"/>
    <xf numFmtId="177" fontId="116" fillId="0" borderId="0" xfId="85" applyNumberFormat="1" applyFont="1" applyAlignment="1"/>
    <xf numFmtId="186" fontId="116" fillId="0" borderId="0" xfId="0" applyNumberFormat="1" applyFont="1"/>
    <xf numFmtId="0" fontId="116" fillId="0" borderId="6" xfId="0" applyNumberFormat="1" applyFont="1" applyBorder="1" applyAlignment="1">
      <alignment horizontal="centerContinuous"/>
    </xf>
    <xf numFmtId="176" fontId="116" fillId="0" borderId="0" xfId="0" applyNumberFormat="1" applyFont="1" applyAlignment="1">
      <alignment horizontal="center"/>
    </xf>
    <xf numFmtId="166" fontId="116" fillId="0" borderId="0" xfId="0" applyNumberFormat="1" applyFont="1"/>
    <xf numFmtId="176" fontId="116" fillId="0" borderId="0" xfId="59" applyNumberFormat="1" applyFont="1" applyFill="1"/>
    <xf numFmtId="176" fontId="116" fillId="0" borderId="0" xfId="59" applyNumberFormat="1" applyFont="1" applyFill="1" applyAlignment="1"/>
    <xf numFmtId="176" fontId="116" fillId="20" borderId="0" xfId="59" applyNumberFormat="1" applyFont="1" applyFill="1" applyAlignment="1"/>
    <xf numFmtId="176" fontId="116" fillId="0" borderId="0" xfId="63" applyNumberFormat="1" applyFont="1" applyFill="1" applyAlignment="1">
      <alignment horizontal="right"/>
    </xf>
    <xf numFmtId="176" fontId="116" fillId="0" borderId="0" xfId="63" applyNumberFormat="1" applyFont="1" applyFill="1" applyBorder="1"/>
    <xf numFmtId="173" fontId="116" fillId="0" borderId="0" xfId="63" applyNumberFormat="1" applyFont="1" applyFill="1" applyAlignment="1">
      <alignment horizontal="right"/>
    </xf>
    <xf numFmtId="176" fontId="116" fillId="0" borderId="0" xfId="59" applyNumberFormat="1" applyFont="1" applyFill="1" applyBorder="1"/>
    <xf numFmtId="3" fontId="116" fillId="0" borderId="0" xfId="0" applyNumberFormat="1" applyFont="1" applyAlignment="1">
      <alignment horizontal="fill"/>
    </xf>
    <xf numFmtId="42" fontId="116" fillId="0" borderId="0" xfId="0" applyNumberFormat="1" applyFont="1" applyAlignment="1">
      <alignment horizontal="right"/>
    </xf>
    <xf numFmtId="3" fontId="116" fillId="0" borderId="6" xfId="0" applyNumberFormat="1" applyFont="1" applyBorder="1" applyAlignment="1">
      <alignment horizontal="center"/>
    </xf>
    <xf numFmtId="43" fontId="116" fillId="0" borderId="0" xfId="59" applyFont="1" applyAlignment="1"/>
    <xf numFmtId="168" fontId="116" fillId="0" borderId="0" xfId="0" applyNumberFormat="1" applyFont="1"/>
    <xf numFmtId="168" fontId="116" fillId="0" borderId="0" xfId="0" applyNumberFormat="1" applyFont="1" applyAlignment="1">
      <alignment horizontal="center"/>
    </xf>
    <xf numFmtId="43" fontId="116" fillId="0" borderId="0" xfId="59" applyFont="1" applyFill="1" applyBorder="1"/>
    <xf numFmtId="43" fontId="116" fillId="0" borderId="0" xfId="59" applyFont="1" applyBorder="1"/>
    <xf numFmtId="43" fontId="116" fillId="0" borderId="0" xfId="59" applyFont="1"/>
    <xf numFmtId="43" fontId="116" fillId="0" borderId="0" xfId="59" applyFont="1" applyFill="1"/>
    <xf numFmtId="43" fontId="116" fillId="0" borderId="0" xfId="59" applyFont="1" applyFill="1" applyAlignment="1"/>
    <xf numFmtId="43" fontId="116" fillId="0" borderId="0" xfId="59" applyFont="1" applyFill="1" applyBorder="1" applyAlignment="1"/>
    <xf numFmtId="43" fontId="116" fillId="0" borderId="0" xfId="59" applyFont="1" applyBorder="1" applyAlignment="1"/>
    <xf numFmtId="44" fontId="116" fillId="0" borderId="0" xfId="63" applyFont="1" applyFill="1" applyBorder="1" applyAlignment="1"/>
    <xf numFmtId="172" fontId="117" fillId="0" borderId="0" xfId="0" applyFont="1" applyAlignment="1">
      <alignment horizontal="center"/>
    </xf>
    <xf numFmtId="0" fontId="117" fillId="0" borderId="0" xfId="0" applyNumberFormat="1" applyFont="1" applyAlignment="1">
      <alignment horizontal="center"/>
    </xf>
    <xf numFmtId="0" fontId="117" fillId="0" borderId="0" xfId="0" applyNumberFormat="1" applyFont="1" applyAlignment="1">
      <alignment horizontal="right"/>
    </xf>
    <xf numFmtId="3" fontId="117" fillId="0" borderId="0" xfId="0" applyNumberFormat="1" applyFont="1"/>
    <xf numFmtId="3" fontId="116" fillId="0" borderId="0" xfId="0" applyNumberFormat="1" applyFont="1" applyAlignment="1">
      <alignment horizontal="right"/>
    </xf>
    <xf numFmtId="0" fontId="117" fillId="0" borderId="0" xfId="0" applyNumberFormat="1" applyFont="1"/>
    <xf numFmtId="165" fontId="116" fillId="0" borderId="0" xfId="0" applyNumberFormat="1" applyFont="1"/>
    <xf numFmtId="176" fontId="116" fillId="0" borderId="0" xfId="59" applyNumberFormat="1" applyFont="1" applyAlignment="1"/>
    <xf numFmtId="176" fontId="116" fillId="0" borderId="6" xfId="59" applyNumberFormat="1" applyFont="1" applyFill="1" applyBorder="1" applyAlignment="1"/>
    <xf numFmtId="176" fontId="116" fillId="0" borderId="6" xfId="59" applyNumberFormat="1" applyFont="1" applyBorder="1" applyAlignment="1"/>
    <xf numFmtId="164" fontId="116" fillId="0" borderId="0" xfId="0" applyNumberFormat="1" applyFont="1" applyAlignment="1">
      <alignment horizontal="center"/>
    </xf>
    <xf numFmtId="43" fontId="116" fillId="0" borderId="0" xfId="59" applyFont="1" applyFill="1" applyBorder="1" applyAlignment="1">
      <alignment horizontal="center"/>
    </xf>
    <xf numFmtId="180" fontId="116" fillId="0" borderId="0" xfId="85" applyNumberFormat="1" applyFont="1" applyAlignment="1"/>
    <xf numFmtId="0" fontId="116" fillId="0" borderId="0" xfId="0" applyNumberFormat="1" applyFont="1" applyAlignment="1">
      <alignment horizontal="fill"/>
    </xf>
    <xf numFmtId="43" fontId="116" fillId="0" borderId="0" xfId="59" applyFont="1" applyAlignment="1">
      <alignment horizontal="center"/>
    </xf>
    <xf numFmtId="165" fontId="118" fillId="0" borderId="0" xfId="0" applyNumberFormat="1" applyFont="1" applyAlignment="1">
      <alignment horizontal="right"/>
    </xf>
    <xf numFmtId="164" fontId="116" fillId="0" borderId="0" xfId="0" applyNumberFormat="1" applyFont="1" applyAlignment="1">
      <alignment horizontal="left"/>
    </xf>
    <xf numFmtId="176" fontId="116" fillId="0" borderId="0" xfId="59" applyNumberFormat="1" applyFont="1" applyFill="1" applyBorder="1" applyAlignment="1"/>
    <xf numFmtId="176" fontId="116" fillId="0" borderId="0" xfId="59" applyNumberFormat="1" applyFont="1" applyBorder="1" applyAlignment="1"/>
    <xf numFmtId="37" fontId="116" fillId="0" borderId="0" xfId="0" applyNumberFormat="1" applyFont="1"/>
    <xf numFmtId="3" fontId="116" fillId="0" borderId="0" xfId="0" applyNumberFormat="1" applyFont="1" applyAlignment="1">
      <alignment horizontal="center"/>
    </xf>
    <xf numFmtId="176" fontId="116" fillId="0" borderId="18" xfId="59" applyNumberFormat="1" applyFont="1" applyBorder="1" applyAlignment="1"/>
    <xf numFmtId="0" fontId="116" fillId="0" borderId="0" xfId="0" applyNumberFormat="1" applyFont="1" applyProtection="1">
      <protection locked="0"/>
    </xf>
    <xf numFmtId="176" fontId="116" fillId="0" borderId="0" xfId="0" applyNumberFormat="1" applyFont="1"/>
    <xf numFmtId="171" fontId="116" fillId="0" borderId="0" xfId="0" applyNumberFormat="1" applyFont="1" applyAlignment="1">
      <alignment horizontal="left"/>
    </xf>
    <xf numFmtId="3" fontId="116" fillId="0" borderId="0" xfId="0" applyNumberFormat="1" applyFont="1" applyAlignment="1">
      <alignment horizontal="left"/>
    </xf>
    <xf numFmtId="166" fontId="118" fillId="0" borderId="0" xfId="0" applyNumberFormat="1" applyFont="1" applyAlignment="1">
      <alignment horizontal="right"/>
    </xf>
    <xf numFmtId="166" fontId="116" fillId="0" borderId="0" xfId="0" applyNumberFormat="1" applyFont="1" applyAlignment="1">
      <alignment horizontal="center"/>
    </xf>
    <xf numFmtId="10" fontId="116" fillId="0" borderId="0" xfId="85" applyNumberFormat="1" applyFont="1" applyAlignment="1"/>
    <xf numFmtId="175" fontId="116" fillId="0" borderId="0" xfId="0" applyNumberFormat="1" applyFont="1"/>
    <xf numFmtId="174" fontId="116" fillId="0" borderId="0" xfId="0" applyNumberFormat="1" applyFont="1"/>
    <xf numFmtId="179" fontId="116" fillId="0" borderId="0" xfId="0" applyNumberFormat="1" applyFont="1"/>
    <xf numFmtId="0" fontId="116" fillId="0" borderId="6" xfId="0" applyNumberFormat="1" applyFont="1" applyBorder="1"/>
    <xf numFmtId="176" fontId="116" fillId="20" borderId="6" xfId="59" applyNumberFormat="1" applyFont="1" applyFill="1" applyBorder="1" applyAlignment="1"/>
    <xf numFmtId="165" fontId="116" fillId="0" borderId="0" xfId="0" applyNumberFormat="1" applyFont="1" applyAlignment="1">
      <alignment horizontal="right"/>
    </xf>
    <xf numFmtId="3" fontId="116" fillId="0" borderId="6" xfId="0" applyNumberFormat="1" applyFont="1" applyBorder="1"/>
    <xf numFmtId="4" fontId="116" fillId="0" borderId="0" xfId="0" applyNumberFormat="1" applyFont="1"/>
    <xf numFmtId="3" fontId="116" fillId="0" borderId="0" xfId="0" quotePrefix="1" applyNumberFormat="1" applyFont="1"/>
    <xf numFmtId="3" fontId="117" fillId="0" borderId="0" xfId="0" applyNumberFormat="1" applyFont="1" applyAlignment="1">
      <alignment horizontal="center"/>
    </xf>
    <xf numFmtId="43" fontId="116" fillId="20" borderId="0" xfId="59" applyFont="1" applyFill="1" applyAlignment="1"/>
    <xf numFmtId="3" fontId="120" fillId="0" borderId="0" xfId="0" applyNumberFormat="1" applyFont="1"/>
    <xf numFmtId="172" fontId="120" fillId="0" borderId="0" xfId="0" applyFont="1"/>
    <xf numFmtId="172" fontId="119" fillId="0" borderId="0" xfId="0" applyFont="1"/>
    <xf numFmtId="43" fontId="116" fillId="20" borderId="6" xfId="59" applyFont="1" applyFill="1" applyBorder="1" applyAlignment="1"/>
    <xf numFmtId="3" fontId="119" fillId="0" borderId="0" xfId="0" applyNumberFormat="1" applyFont="1"/>
    <xf numFmtId="172" fontId="121" fillId="0" borderId="0" xfId="0" applyFont="1"/>
    <xf numFmtId="3" fontId="121" fillId="0" borderId="0" xfId="0" applyNumberFormat="1" applyFont="1"/>
    <xf numFmtId="0" fontId="121" fillId="0" borderId="0" xfId="0" applyNumberFormat="1" applyFont="1"/>
    <xf numFmtId="172" fontId="122" fillId="0" borderId="0" xfId="0" applyFont="1"/>
    <xf numFmtId="169" fontId="116" fillId="0" borderId="0" xfId="0" applyNumberFormat="1" applyFont="1"/>
    <xf numFmtId="169" fontId="116" fillId="0" borderId="6" xfId="0" applyNumberFormat="1" applyFont="1" applyBorder="1"/>
    <xf numFmtId="3" fontId="118" fillId="0" borderId="0" xfId="0" applyNumberFormat="1" applyFont="1"/>
    <xf numFmtId="172" fontId="116" fillId="0" borderId="0" xfId="0" applyFont="1" applyProtection="1"/>
    <xf numFmtId="176" fontId="116" fillId="20" borderId="0" xfId="59" applyNumberFormat="1" applyFont="1" applyFill="1" applyBorder="1" applyProtection="1">
      <protection locked="0"/>
    </xf>
    <xf numFmtId="38" fontId="116" fillId="0" borderId="0" xfId="0" applyNumberFormat="1" applyFont="1" applyProtection="1"/>
    <xf numFmtId="176" fontId="116" fillId="20" borderId="6" xfId="59" applyNumberFormat="1" applyFont="1" applyFill="1" applyBorder="1" applyProtection="1">
      <protection locked="0"/>
    </xf>
    <xf numFmtId="38" fontId="116" fillId="0" borderId="0" xfId="0" applyNumberFormat="1" applyFont="1"/>
    <xf numFmtId="176" fontId="116" fillId="0" borderId="0" xfId="59" applyNumberFormat="1" applyFont="1" applyFill="1" applyBorder="1" applyProtection="1"/>
    <xf numFmtId="1" fontId="116" fillId="0" borderId="0" xfId="0" applyNumberFormat="1" applyFont="1" applyAlignment="1" applyProtection="1">
      <alignment horizontal="right"/>
    </xf>
    <xf numFmtId="176" fontId="116" fillId="20" borderId="0" xfId="59" applyNumberFormat="1" applyFont="1" applyFill="1" applyBorder="1" applyProtection="1"/>
    <xf numFmtId="176" fontId="116" fillId="20" borderId="0" xfId="59" applyNumberFormat="1" applyFont="1" applyFill="1" applyBorder="1" applyAlignment="1" applyProtection="1">
      <protection locked="0"/>
    </xf>
    <xf numFmtId="3" fontId="116" fillId="0" borderId="0" xfId="0" applyNumberFormat="1" applyFont="1" applyProtection="1"/>
    <xf numFmtId="170" fontId="116" fillId="0" borderId="0" xfId="0" applyNumberFormat="1" applyFont="1" applyProtection="1"/>
    <xf numFmtId="170" fontId="116" fillId="0" borderId="0" xfId="0" applyNumberFormat="1" applyFont="1"/>
    <xf numFmtId="0" fontId="116" fillId="0" borderId="0" xfId="0" applyNumberFormat="1" applyFont="1" applyAlignment="1">
      <alignment horizontal="left" indent="8"/>
    </xf>
    <xf numFmtId="0" fontId="116" fillId="0" borderId="0" xfId="0" applyNumberFormat="1" applyFont="1" applyAlignment="1">
      <alignment horizontal="center" vertical="top" wrapText="1"/>
    </xf>
    <xf numFmtId="0" fontId="116" fillId="0" borderId="0" xfId="0" applyNumberFormat="1" applyFont="1" applyAlignment="1">
      <alignment horizontal="left" vertical="top" wrapText="1" indent="8"/>
    </xf>
    <xf numFmtId="0" fontId="116" fillId="0" borderId="0" xfId="0" applyNumberFormat="1" applyFont="1" applyAlignment="1">
      <alignment vertical="top" wrapText="1"/>
    </xf>
    <xf numFmtId="10" fontId="116" fillId="0" borderId="0" xfId="59" applyNumberFormat="1" applyFont="1" applyFill="1" applyAlignment="1">
      <alignment vertical="top" wrapText="1"/>
    </xf>
    <xf numFmtId="43" fontId="116" fillId="20" borderId="0" xfId="59" applyFont="1" applyFill="1" applyAlignment="1">
      <alignment vertical="top" wrapText="1"/>
    </xf>
    <xf numFmtId="172" fontId="116" fillId="0" borderId="0" xfId="0" applyFont="1" applyAlignment="1">
      <alignment wrapText="1"/>
    </xf>
    <xf numFmtId="172" fontId="116" fillId="0" borderId="0" xfId="0" applyFont="1" applyAlignment="1">
      <alignment horizontal="center"/>
    </xf>
    <xf numFmtId="172" fontId="117" fillId="0" borderId="0" xfId="0" applyFont="1"/>
    <xf numFmtId="0" fontId="116" fillId="0" borderId="0" xfId="0" applyNumberFormat="1" applyFont="1" applyAlignment="1">
      <alignment horizontal="left" indent="1"/>
    </xf>
    <xf numFmtId="172" fontId="96" fillId="0" borderId="0" xfId="0" applyFont="1"/>
    <xf numFmtId="1" fontId="96" fillId="0" borderId="0" xfId="80" applyNumberFormat="1" applyFont="1" applyAlignment="1">
      <alignment horizontal="center"/>
    </xf>
    <xf numFmtId="10" fontId="27" fillId="0" borderId="18" xfId="137" applyNumberFormat="1" applyFont="1" applyBorder="1"/>
    <xf numFmtId="0" fontId="13" fillId="0" borderId="0" xfId="148" applyFont="1" applyAlignment="1">
      <alignment horizontal="center"/>
    </xf>
    <xf numFmtId="3" fontId="126" fillId="0" borderId="0" xfId="79" applyNumberFormat="1" applyFont="1" applyAlignment="1">
      <alignment horizontal="center" wrapText="1"/>
    </xf>
    <xf numFmtId="0" fontId="109" fillId="0" borderId="29" xfId="148" applyFont="1" applyBorder="1" applyAlignment="1">
      <alignment horizontal="center"/>
    </xf>
    <xf numFmtId="37" fontId="15" fillId="0" borderId="30" xfId="148" applyNumberFormat="1" applyBorder="1"/>
    <xf numFmtId="0" fontId="109" fillId="0" borderId="34" xfId="148" applyFont="1" applyBorder="1" applyAlignment="1">
      <alignment wrapText="1"/>
    </xf>
    <xf numFmtId="0" fontId="109" fillId="0" borderId="0" xfId="148" applyFont="1" applyAlignment="1">
      <alignment horizontal="left" indent="2"/>
    </xf>
    <xf numFmtId="0" fontId="13" fillId="0" borderId="0" xfId="148" applyFont="1" applyAlignment="1">
      <alignment horizontal="center" wrapText="1"/>
    </xf>
    <xf numFmtId="0" fontId="109" fillId="0" borderId="0" xfId="148" applyFont="1" applyAlignment="1">
      <alignment horizontal="center" wrapText="1"/>
    </xf>
    <xf numFmtId="0" fontId="109" fillId="0" borderId="33" xfId="148" applyFont="1" applyBorder="1" applyAlignment="1">
      <alignment horizontal="center" wrapText="1"/>
    </xf>
    <xf numFmtId="0" fontId="15" fillId="0" borderId="0" xfId="148" applyAlignment="1">
      <alignment horizontal="center"/>
    </xf>
    <xf numFmtId="37" fontId="15" fillId="20" borderId="34" xfId="148" applyNumberFormat="1" applyFill="1" applyBorder="1"/>
    <xf numFmtId="37" fontId="15" fillId="20" borderId="0" xfId="148" applyNumberFormat="1" applyFill="1"/>
    <xf numFmtId="37" fontId="109" fillId="0" borderId="34" xfId="148" applyNumberFormat="1" applyFont="1" applyBorder="1" applyAlignment="1">
      <alignment wrapText="1"/>
    </xf>
    <xf numFmtId="176" fontId="13" fillId="0" borderId="0" xfId="59" applyNumberFormat="1" applyFont="1" applyBorder="1"/>
    <xf numFmtId="0" fontId="15" fillId="0" borderId="21" xfId="148" applyBorder="1"/>
    <xf numFmtId="0" fontId="13" fillId="0" borderId="11" xfId="148" applyFont="1" applyBorder="1"/>
    <xf numFmtId="0" fontId="124" fillId="0" borderId="11" xfId="79" applyFont="1" applyBorder="1" applyAlignment="1">
      <alignment horizontal="center" wrapText="1"/>
    </xf>
    <xf numFmtId="0" fontId="20" fillId="0" borderId="11" xfId="79" applyFont="1" applyBorder="1" applyAlignment="1">
      <alignment horizontal="center" wrapText="1"/>
    </xf>
    <xf numFmtId="0" fontId="13" fillId="0" borderId="0" xfId="148" applyFont="1"/>
    <xf numFmtId="176" fontId="13" fillId="20" borderId="0" xfId="59" applyNumberFormat="1" applyFont="1" applyFill="1"/>
    <xf numFmtId="176" fontId="109" fillId="0" borderId="0" xfId="148" applyNumberFormat="1" applyFont="1"/>
    <xf numFmtId="176" fontId="13" fillId="0" borderId="0" xfId="59" applyNumberFormat="1" applyFont="1"/>
    <xf numFmtId="37" fontId="13" fillId="20" borderId="0" xfId="148" applyNumberFormat="1" applyFont="1" applyFill="1"/>
    <xf numFmtId="0" fontId="15" fillId="0" borderId="40" xfId="148" applyBorder="1"/>
    <xf numFmtId="176" fontId="13" fillId="0" borderId="0" xfId="59" applyNumberFormat="1" applyFont="1" applyFill="1"/>
    <xf numFmtId="43" fontId="13" fillId="0" borderId="0" xfId="59" applyFont="1"/>
    <xf numFmtId="176" fontId="49" fillId="0" borderId="0" xfId="59" applyNumberFormat="1" applyFont="1" applyFill="1" applyBorder="1" applyAlignment="1"/>
    <xf numFmtId="176" fontId="49" fillId="0" borderId="0" xfId="59" applyNumberFormat="1" applyFont="1" applyFill="1" applyAlignment="1"/>
    <xf numFmtId="176" fontId="49" fillId="0" borderId="6" xfId="59" applyNumberFormat="1" applyFont="1" applyFill="1" applyBorder="1" applyAlignment="1"/>
    <xf numFmtId="3" fontId="49" fillId="0" borderId="0" xfId="0" applyNumberFormat="1" applyFont="1"/>
    <xf numFmtId="0" fontId="12" fillId="0" borderId="0" xfId="148" applyFont="1" applyAlignment="1">
      <alignment horizontal="center"/>
    </xf>
    <xf numFmtId="0" fontId="12" fillId="0" borderId="0" xfId="148" applyFont="1" applyAlignment="1">
      <alignment horizontal="center" wrapText="1"/>
    </xf>
    <xf numFmtId="0" fontId="99" fillId="0" borderId="0" xfId="132" applyFont="1" applyAlignment="1">
      <alignment horizontal="left" wrapText="1"/>
    </xf>
    <xf numFmtId="0" fontId="49" fillId="0" borderId="0" xfId="0" applyNumberFormat="1" applyFont="1" applyAlignment="1">
      <alignment horizontal="center"/>
    </xf>
    <xf numFmtId="43" fontId="49" fillId="0" borderId="0" xfId="59" applyFont="1" applyFill="1" applyAlignment="1"/>
    <xf numFmtId="176" fontId="49" fillId="0" borderId="18" xfId="59" applyNumberFormat="1" applyFont="1" applyFill="1" applyBorder="1" applyAlignment="1"/>
    <xf numFmtId="0" fontId="49" fillId="0" borderId="0" xfId="0" applyNumberFormat="1" applyFont="1" applyAlignment="1">
      <alignment horizontal="left"/>
    </xf>
    <xf numFmtId="176" fontId="49" fillId="20" borderId="0" xfId="59" applyNumberFormat="1" applyFont="1" applyFill="1" applyAlignment="1"/>
    <xf numFmtId="176" fontId="49" fillId="20" borderId="0" xfId="59" applyNumberFormat="1" applyFont="1" applyFill="1" applyBorder="1" applyAlignment="1"/>
    <xf numFmtId="176" fontId="49" fillId="0" borderId="0" xfId="59" applyNumberFormat="1" applyFont="1" applyAlignment="1"/>
    <xf numFmtId="3" fontId="50" fillId="0" borderId="0" xfId="0" applyNumberFormat="1" applyFont="1"/>
    <xf numFmtId="10" fontId="49" fillId="0" borderId="0" xfId="0" applyNumberFormat="1" applyFont="1" applyAlignment="1">
      <alignment horizontal="right"/>
    </xf>
    <xf numFmtId="10" fontId="49" fillId="0" borderId="0" xfId="0" applyNumberFormat="1" applyFont="1" applyAlignment="1">
      <alignment horizontal="left"/>
    </xf>
    <xf numFmtId="176" fontId="49" fillId="0" borderId="0" xfId="59" applyNumberFormat="1" applyFont="1" applyBorder="1" applyAlignment="1"/>
    <xf numFmtId="176" fontId="49" fillId="0" borderId="11" xfId="59" applyNumberFormat="1" applyFont="1" applyFill="1" applyBorder="1" applyAlignment="1"/>
    <xf numFmtId="176" fontId="49" fillId="0" borderId="38" xfId="59" applyNumberFormat="1" applyFont="1" applyFill="1" applyBorder="1" applyAlignment="1"/>
    <xf numFmtId="164" fontId="49" fillId="0" borderId="0" xfId="0" applyNumberFormat="1" applyFont="1" applyAlignment="1">
      <alignment horizontal="left"/>
    </xf>
    <xf numFmtId="167" fontId="49" fillId="0" borderId="0" xfId="0" applyNumberFormat="1" applyFont="1"/>
    <xf numFmtId="164" fontId="118" fillId="0" borderId="0" xfId="0" applyNumberFormat="1" applyFont="1" applyAlignment="1">
      <alignment horizontal="left"/>
    </xf>
    <xf numFmtId="0" fontId="49" fillId="0" borderId="0" xfId="0" applyNumberFormat="1" applyFont="1" applyAlignment="1">
      <alignment wrapText="1"/>
    </xf>
    <xf numFmtId="172" fontId="71" fillId="0" borderId="0" xfId="0" applyFont="1" applyAlignment="1">
      <alignment horizontal="center" vertical="top" wrapText="1"/>
    </xf>
    <xf numFmtId="170" fontId="27" fillId="0" borderId="0" xfId="59" applyNumberFormat="1" applyFont="1" applyFill="1" applyBorder="1" applyAlignment="1"/>
    <xf numFmtId="0" fontId="27" fillId="20" borderId="16" xfId="152" quotePrefix="1" applyFont="1" applyFill="1" applyBorder="1"/>
    <xf numFmtId="176" fontId="13" fillId="0" borderId="0" xfId="59" applyNumberFormat="1" applyFont="1" applyFill="1" applyBorder="1"/>
    <xf numFmtId="164" fontId="20" fillId="0" borderId="0" xfId="85" applyNumberFormat="1" applyFont="1" applyFill="1" applyBorder="1" applyAlignment="1"/>
    <xf numFmtId="3" fontId="49" fillId="0" borderId="0" xfId="0" applyNumberFormat="1" applyFont="1" applyAlignment="1">
      <alignment vertical="top"/>
    </xf>
    <xf numFmtId="3" fontId="116" fillId="0" borderId="0" xfId="0" applyNumberFormat="1" applyFont="1" applyAlignment="1">
      <alignment vertical="top"/>
    </xf>
    <xf numFmtId="172" fontId="49" fillId="0" borderId="0" xfId="0" applyFont="1" applyAlignment="1" applyProtection="1">
      <alignment vertical="top" wrapText="1"/>
    </xf>
    <xf numFmtId="0" fontId="19" fillId="0" borderId="0" xfId="132" applyFont="1" applyAlignment="1">
      <alignment vertical="top"/>
    </xf>
    <xf numFmtId="0" fontId="27" fillId="0" borderId="18" xfId="137" applyFont="1" applyBorder="1"/>
    <xf numFmtId="172" fontId="125" fillId="0" borderId="0" xfId="0" applyFont="1" applyAlignment="1">
      <alignment vertical="top"/>
    </xf>
    <xf numFmtId="0" fontId="10" fillId="0" borderId="0" xfId="148" applyFont="1" applyAlignment="1">
      <alignment horizontal="center" wrapText="1"/>
    </xf>
    <xf numFmtId="172" fontId="27" fillId="20" borderId="0" xfId="152" quotePrefix="1" applyNumberFormat="1" applyFont="1" applyFill="1" applyAlignment="1">
      <alignment horizontal="center"/>
    </xf>
    <xf numFmtId="172" fontId="71" fillId="0" borderId="0" xfId="0" applyFont="1" applyAlignment="1">
      <alignment horizontal="center" vertical="center" wrapText="1"/>
    </xf>
    <xf numFmtId="172" fontId="71" fillId="0" borderId="0" xfId="0" applyFont="1" applyAlignment="1">
      <alignment horizontal="right" vertical="center"/>
    </xf>
    <xf numFmtId="176" fontId="49" fillId="0" borderId="16" xfId="59" quotePrefix="1" applyNumberFormat="1" applyFont="1" applyFill="1" applyBorder="1" applyAlignment="1">
      <alignment horizontal="center"/>
    </xf>
    <xf numFmtId="176" fontId="49" fillId="0" borderId="0" xfId="59" applyNumberFormat="1" applyFont="1" applyFill="1" applyBorder="1" applyAlignment="1">
      <alignment horizontal="center"/>
    </xf>
    <xf numFmtId="176" fontId="49" fillId="0" borderId="0" xfId="59" applyNumberFormat="1" applyFont="1" applyFill="1" applyBorder="1" applyAlignment="1">
      <alignment horizontal="left" wrapText="1"/>
    </xf>
    <xf numFmtId="176" fontId="49" fillId="0" borderId="0" xfId="59" applyNumberFormat="1" applyFont="1" applyFill="1" applyBorder="1" applyAlignment="1">
      <alignment horizontal="left"/>
    </xf>
    <xf numFmtId="176" fontId="49" fillId="0" borderId="0" xfId="59" applyNumberFormat="1" applyFont="1" applyFill="1" applyAlignment="1">
      <alignment horizontal="center"/>
    </xf>
    <xf numFmtId="176" fontId="116" fillId="0" borderId="0" xfId="59" applyNumberFormat="1" applyFont="1" applyFill="1" applyAlignment="1">
      <alignment horizontal="center"/>
    </xf>
    <xf numFmtId="176" fontId="70" fillId="0" borderId="0" xfId="59" applyNumberFormat="1" applyFont="1" applyFill="1" applyBorder="1" applyAlignment="1">
      <alignment horizontal="left"/>
    </xf>
    <xf numFmtId="0" fontId="27" fillId="0" borderId="13" xfId="0" applyNumberFormat="1" applyFont="1" applyBorder="1" applyAlignment="1">
      <alignment horizontal="center"/>
    </xf>
    <xf numFmtId="0" fontId="129" fillId="0" borderId="0" xfId="132" applyFont="1"/>
    <xf numFmtId="172" fontId="85" fillId="20" borderId="0" xfId="0" applyFont="1" applyFill="1" applyAlignment="1">
      <alignment horizontal="center" vertical="center"/>
    </xf>
    <xf numFmtId="176" fontId="49" fillId="0" borderId="0" xfId="157" applyNumberFormat="1" applyFont="1" applyAlignment="1">
      <alignment horizontal="center"/>
    </xf>
    <xf numFmtId="0" fontId="49" fillId="0" borderId="0" xfId="158" applyFont="1"/>
    <xf numFmtId="176" fontId="50" fillId="0" borderId="0" xfId="59" applyNumberFormat="1" applyFont="1" applyBorder="1" applyAlignment="1"/>
    <xf numFmtId="0" fontId="50" fillId="0" borderId="11" xfId="0" applyNumberFormat="1" applyFont="1" applyBorder="1" applyAlignment="1">
      <alignment horizontal="center"/>
    </xf>
    <xf numFmtId="172" fontId="50" fillId="0" borderId="11" xfId="0" applyFont="1" applyBorder="1" applyAlignment="1">
      <alignment horizontal="center"/>
    </xf>
    <xf numFmtId="172" fontId="49" fillId="0" borderId="0" xfId="0" quotePrefix="1" applyFont="1"/>
    <xf numFmtId="172" fontId="123" fillId="0" borderId="0" xfId="0" applyFont="1"/>
    <xf numFmtId="172" fontId="130" fillId="0" borderId="0" xfId="0" applyFont="1"/>
    <xf numFmtId="176" fontId="49" fillId="0" borderId="32" xfId="59" applyNumberFormat="1" applyFont="1" applyBorder="1" applyAlignment="1"/>
    <xf numFmtId="0" fontId="50" fillId="0" borderId="0" xfId="0" applyNumberFormat="1" applyFont="1" applyAlignment="1">
      <alignment horizontal="center"/>
    </xf>
    <xf numFmtId="0" fontId="132" fillId="0" borderId="0" xfId="159" applyFont="1"/>
    <xf numFmtId="0" fontId="0" fillId="0" borderId="0" xfId="0" applyNumberFormat="1"/>
    <xf numFmtId="0" fontId="50" fillId="0" borderId="0" xfId="160" applyNumberFormat="1" applyFont="1" applyFill="1" applyAlignment="1">
      <alignment vertical="top"/>
    </xf>
    <xf numFmtId="0" fontId="27" fillId="0" borderId="0" xfId="156" applyFont="1"/>
    <xf numFmtId="1" fontId="135" fillId="0" borderId="0" xfId="78" applyNumberFormat="1" applyFont="1" applyAlignment="1">
      <alignment vertical="center"/>
    </xf>
    <xf numFmtId="0" fontId="136" fillId="0" borderId="0" xfId="132" applyFont="1"/>
    <xf numFmtId="0" fontId="137" fillId="0" borderId="0" xfId="132" applyFont="1"/>
    <xf numFmtId="0" fontId="137" fillId="0" borderId="0" xfId="78" applyFont="1" applyAlignment="1">
      <alignment horizontal="right"/>
    </xf>
    <xf numFmtId="0" fontId="135" fillId="0" borderId="0" xfId="132" applyFont="1" applyAlignment="1">
      <alignment vertical="top"/>
    </xf>
    <xf numFmtId="0" fontId="109" fillId="0" borderId="0" xfId="132" applyFont="1"/>
    <xf numFmtId="0" fontId="135" fillId="0" borderId="0" xfId="154" applyFont="1" applyAlignment="1">
      <alignment horizontal="center" vertical="center"/>
    </xf>
    <xf numFmtId="0" fontId="137" fillId="0" borderId="0" xfId="154" applyFont="1" applyAlignment="1">
      <alignment horizontal="right"/>
    </xf>
    <xf numFmtId="0" fontId="135" fillId="0" borderId="0" xfId="78" applyFont="1" applyAlignment="1"/>
    <xf numFmtId="0" fontId="137" fillId="0" borderId="0" xfId="78" applyFont="1" applyAlignment="1"/>
    <xf numFmtId="0" fontId="136" fillId="0" borderId="0" xfId="132" applyFont="1" applyAlignment="1">
      <alignment horizontal="center" vertical="center"/>
    </xf>
    <xf numFmtId="0" fontId="138" fillId="0" borderId="0" xfId="156" applyFont="1" applyAlignment="1">
      <alignment horizontal="center"/>
    </xf>
    <xf numFmtId="0" fontId="135" fillId="0" borderId="12" xfId="132" applyFont="1" applyBorder="1" applyAlignment="1">
      <alignment horizontal="center" vertical="center" wrapText="1"/>
    </xf>
    <xf numFmtId="0" fontId="135" fillId="0" borderId="0" xfId="132" applyFont="1" applyAlignment="1">
      <alignment horizontal="center" vertical="center" wrapText="1"/>
    </xf>
    <xf numFmtId="0" fontId="135" fillId="0" borderId="0" xfId="132" applyFont="1" applyAlignment="1">
      <alignment vertical="center" wrapText="1"/>
    </xf>
    <xf numFmtId="0" fontId="135" fillId="0" borderId="0" xfId="132" applyFont="1" applyAlignment="1">
      <alignment horizontal="center" wrapText="1"/>
    </xf>
    <xf numFmtId="0" fontId="137" fillId="20" borderId="0" xfId="132" applyFont="1" applyFill="1" applyAlignment="1">
      <alignment horizontal="center"/>
    </xf>
    <xf numFmtId="0" fontId="137" fillId="20" borderId="0" xfId="132" applyFont="1" applyFill="1"/>
    <xf numFmtId="176" fontId="137" fillId="20" borderId="0" xfId="133" applyNumberFormat="1" applyFont="1" applyFill="1" applyAlignment="1">
      <alignment vertical="center"/>
    </xf>
    <xf numFmtId="176" fontId="137" fillId="0" borderId="0" xfId="132" applyNumberFormat="1" applyFont="1"/>
    <xf numFmtId="176" fontId="136" fillId="0" borderId="0" xfId="132" applyNumberFormat="1" applyFont="1"/>
    <xf numFmtId="0" fontId="137" fillId="0" borderId="0" xfId="132" applyFont="1" applyAlignment="1">
      <alignment horizontal="center"/>
    </xf>
    <xf numFmtId="176" fontId="137" fillId="0" borderId="0" xfId="133" applyNumberFormat="1" applyFont="1" applyFill="1" applyAlignment="1">
      <alignment vertical="center"/>
    </xf>
    <xf numFmtId="0" fontId="139" fillId="0" borderId="0" xfId="132" applyFont="1"/>
    <xf numFmtId="0" fontId="136" fillId="0" borderId="0" xfId="78" applyFont="1" applyAlignment="1"/>
    <xf numFmtId="176" fontId="136" fillId="0" borderId="0" xfId="78" applyNumberFormat="1" applyFont="1" applyAlignment="1"/>
    <xf numFmtId="0" fontId="135" fillId="20" borderId="0" xfId="132" applyFont="1" applyFill="1"/>
    <xf numFmtId="0" fontId="135" fillId="0" borderId="0" xfId="132" applyFont="1"/>
    <xf numFmtId="176" fontId="137" fillId="0" borderId="11" xfId="133" applyNumberFormat="1" applyFont="1" applyFill="1" applyBorder="1" applyAlignment="1">
      <alignment vertical="center"/>
    </xf>
    <xf numFmtId="176" fontId="137" fillId="0" borderId="11" xfId="132" applyNumberFormat="1" applyFont="1" applyBorder="1"/>
    <xf numFmtId="176" fontId="135" fillId="0" borderId="0" xfId="133" applyNumberFormat="1" applyFont="1" applyFill="1" applyBorder="1"/>
    <xf numFmtId="176" fontId="137" fillId="0" borderId="0" xfId="133" applyNumberFormat="1" applyFont="1"/>
    <xf numFmtId="176" fontId="137" fillId="0" borderId="0" xfId="133" applyNumberFormat="1" applyFont="1" applyAlignment="1">
      <alignment horizontal="center"/>
    </xf>
    <xf numFmtId="176" fontId="137" fillId="20" borderId="0" xfId="133" applyNumberFormat="1" applyFont="1" applyFill="1"/>
    <xf numFmtId="176" fontId="137" fillId="20" borderId="0" xfId="133" applyNumberFormat="1" applyFont="1" applyFill="1" applyBorder="1" applyAlignment="1">
      <alignment vertical="center"/>
    </xf>
    <xf numFmtId="176" fontId="137" fillId="20" borderId="11" xfId="133" applyNumberFormat="1" applyFont="1" applyFill="1" applyBorder="1" applyAlignment="1">
      <alignment vertical="center"/>
    </xf>
    <xf numFmtId="176" fontId="135" fillId="0" borderId="0" xfId="132" applyNumberFormat="1" applyFont="1"/>
    <xf numFmtId="176" fontId="135" fillId="0" borderId="0" xfId="133" applyNumberFormat="1" applyFont="1" applyFill="1" applyBorder="1" applyAlignment="1">
      <alignment vertical="center"/>
    </xf>
    <xf numFmtId="176" fontId="135" fillId="0" borderId="0" xfId="133" applyNumberFormat="1" applyFont="1" applyFill="1"/>
    <xf numFmtId="176" fontId="137" fillId="0" borderId="0" xfId="133" applyNumberFormat="1" applyFont="1" applyFill="1"/>
    <xf numFmtId="0" fontId="136" fillId="0" borderId="0" xfId="132" applyFont="1" applyAlignment="1">
      <alignment horizontal="center"/>
    </xf>
    <xf numFmtId="0" fontId="136" fillId="0" borderId="0" xfId="132" applyFont="1" applyAlignment="1">
      <alignment horizontal="left"/>
    </xf>
    <xf numFmtId="176" fontId="136" fillId="0" borderId="0" xfId="133" applyNumberFormat="1" applyFont="1"/>
    <xf numFmtId="176" fontId="140" fillId="0" borderId="0" xfId="133" applyNumberFormat="1" applyFont="1" applyFill="1" applyBorder="1"/>
    <xf numFmtId="0" fontId="136" fillId="0" borderId="0" xfId="132" applyFont="1" applyAlignment="1">
      <alignment horizontal="center" vertical="top"/>
    </xf>
    <xf numFmtId="0" fontId="136" fillId="0" borderId="0" xfId="132" applyFont="1" applyAlignment="1">
      <alignment vertical="center"/>
    </xf>
    <xf numFmtId="0" fontId="136" fillId="0" borderId="0" xfId="132" applyFont="1" applyAlignment="1">
      <alignment vertical="top"/>
    </xf>
    <xf numFmtId="176" fontId="136" fillId="0" borderId="0" xfId="133" applyNumberFormat="1" applyFont="1" applyFill="1" applyAlignment="1">
      <alignment vertical="top"/>
    </xf>
    <xf numFmtId="176" fontId="136" fillId="0" borderId="0" xfId="133" applyNumberFormat="1" applyFont="1" applyAlignment="1">
      <alignment vertical="top"/>
    </xf>
    <xf numFmtId="176" fontId="140" fillId="0" borderId="0" xfId="133" applyNumberFormat="1" applyFont="1" applyFill="1" applyBorder="1" applyAlignment="1">
      <alignment vertical="top"/>
    </xf>
    <xf numFmtId="0" fontId="136" fillId="0" borderId="0" xfId="132" applyFont="1" applyAlignment="1">
      <alignment horizontal="right"/>
    </xf>
    <xf numFmtId="172" fontId="27" fillId="0" borderId="0" xfId="0" applyFont="1" applyAlignment="1">
      <alignment horizontal="left"/>
    </xf>
    <xf numFmtId="172" fontId="27" fillId="0" borderId="0" xfId="0" applyFont="1" applyAlignment="1">
      <alignment horizontal="left" wrapText="1"/>
    </xf>
    <xf numFmtId="0" fontId="49" fillId="0" borderId="0" xfId="158" applyFont="1" applyAlignment="1">
      <alignment horizontal="center"/>
    </xf>
    <xf numFmtId="0" fontId="50" fillId="0" borderId="11" xfId="157" applyNumberFormat="1" applyFont="1" applyBorder="1" applyAlignment="1">
      <alignment horizontal="center" wrapText="1"/>
    </xf>
    <xf numFmtId="0" fontId="50" fillId="0" borderId="11" xfId="158" applyFont="1" applyBorder="1" applyAlignment="1">
      <alignment horizontal="center" wrapText="1"/>
    </xf>
    <xf numFmtId="0" fontId="141" fillId="0" borderId="0" xfId="157" applyNumberFormat="1" applyFont="1" applyAlignment="1">
      <alignment horizontal="center" wrapText="1"/>
    </xf>
    <xf numFmtId="0" fontId="50" fillId="0" borderId="11" xfId="161" applyNumberFormat="1" applyFont="1" applyBorder="1"/>
    <xf numFmtId="49" fontId="50" fillId="0" borderId="11" xfId="157" applyNumberFormat="1" applyFont="1" applyBorder="1" applyAlignment="1">
      <alignment horizontal="left" wrapText="1"/>
    </xf>
    <xf numFmtId="0" fontId="50" fillId="0" borderId="11" xfId="161" applyNumberFormat="1" applyFont="1" applyBorder="1" applyAlignment="1">
      <alignment horizontal="center" wrapText="1"/>
    </xf>
    <xf numFmtId="49" fontId="50" fillId="0" borderId="11" xfId="157" applyNumberFormat="1" applyFont="1" applyBorder="1" applyAlignment="1">
      <alignment horizontal="center" wrapText="1"/>
    </xf>
    <xf numFmtId="0" fontId="50" fillId="0" borderId="0" xfId="156" applyFont="1" applyAlignment="1">
      <alignment horizontal="center"/>
    </xf>
    <xf numFmtId="0" fontId="49" fillId="0" borderId="0" xfId="158" applyFont="1" applyAlignment="1">
      <alignment horizontal="center" wrapText="1"/>
    </xf>
    <xf numFmtId="0" fontId="50" fillId="0" borderId="0" xfId="156" applyFont="1"/>
    <xf numFmtId="0" fontId="50" fillId="0" borderId="0" xfId="161" applyNumberFormat="1" applyFont="1"/>
    <xf numFmtId="176" fontId="50" fillId="0" borderId="0" xfId="157" applyNumberFormat="1" applyFont="1" applyAlignment="1">
      <alignment horizontal="center" wrapText="1"/>
    </xf>
    <xf numFmtId="176" fontId="49" fillId="20" borderId="0" xfId="157" applyNumberFormat="1" applyFont="1" applyFill="1" applyAlignment="1">
      <alignment horizontal="left"/>
    </xf>
    <xf numFmtId="176" fontId="49" fillId="0" borderId="0" xfId="157" applyNumberFormat="1" applyFont="1"/>
    <xf numFmtId="176" fontId="49" fillId="0" borderId="0" xfId="157" applyNumberFormat="1" applyFont="1" applyBorder="1"/>
    <xf numFmtId="176" fontId="49" fillId="0" borderId="32" xfId="157" applyNumberFormat="1" applyFont="1" applyBorder="1"/>
    <xf numFmtId="0" fontId="127" fillId="0" borderId="0" xfId="158" applyFont="1" applyAlignment="1">
      <alignment horizontal="left"/>
    </xf>
    <xf numFmtId="176" fontId="50" fillId="0" borderId="0" xfId="157" applyNumberFormat="1" applyFont="1" applyFill="1" applyAlignment="1">
      <alignment vertical="top"/>
    </xf>
    <xf numFmtId="0" fontId="49" fillId="0" borderId="0" xfId="158" applyFont="1" applyAlignment="1">
      <alignment wrapText="1"/>
    </xf>
    <xf numFmtId="0" fontId="123" fillId="0" borderId="0" xfId="158" applyFont="1"/>
    <xf numFmtId="0" fontId="118" fillId="0" borderId="0" xfId="0" applyNumberFormat="1" applyFont="1"/>
    <xf numFmtId="172" fontId="118" fillId="0" borderId="0" xfId="0" applyFont="1"/>
    <xf numFmtId="0" fontId="121" fillId="0" borderId="0" xfId="0" applyNumberFormat="1" applyFont="1" applyAlignment="1">
      <alignment horizontal="center"/>
    </xf>
    <xf numFmtId="170" fontId="0" fillId="0" borderId="0" xfId="0" applyNumberFormat="1"/>
    <xf numFmtId="49" fontId="133" fillId="20" borderId="0" xfId="0" applyNumberFormat="1" applyFont="1" applyFill="1"/>
    <xf numFmtId="176" fontId="49" fillId="20" borderId="16" xfId="59" quotePrefix="1" applyNumberFormat="1" applyFont="1" applyFill="1" applyBorder="1" applyAlignment="1">
      <alignment horizontal="center"/>
    </xf>
    <xf numFmtId="176" fontId="49" fillId="20" borderId="0" xfId="59" applyNumberFormat="1" applyFont="1" applyFill="1" applyBorder="1" applyAlignment="1">
      <alignment horizontal="left" wrapText="1"/>
    </xf>
    <xf numFmtId="176" fontId="49" fillId="20" borderId="0" xfId="59" applyNumberFormat="1" applyFont="1" applyFill="1" applyBorder="1" applyAlignment="1">
      <alignment horizontal="left"/>
    </xf>
    <xf numFmtId="3" fontId="134" fillId="0" borderId="0" xfId="0" applyNumberFormat="1" applyFont="1"/>
    <xf numFmtId="172" fontId="134" fillId="0" borderId="0" xfId="0" applyFont="1"/>
    <xf numFmtId="49" fontId="134" fillId="0" borderId="0" xfId="0" applyNumberFormat="1" applyFont="1" applyAlignment="1">
      <alignment horizontal="center"/>
    </xf>
    <xf numFmtId="172" fontId="143" fillId="0" borderId="0" xfId="0" applyFont="1" applyAlignment="1">
      <alignment horizontal="center"/>
    </xf>
    <xf numFmtId="3" fontId="134" fillId="0" borderId="0" xfId="0" applyNumberFormat="1" applyFont="1" applyAlignment="1">
      <alignment horizontal="center"/>
    </xf>
    <xf numFmtId="173" fontId="134" fillId="0" borderId="0" xfId="63" applyNumberFormat="1" applyFont="1" applyFill="1" applyBorder="1" applyAlignment="1"/>
    <xf numFmtId="177" fontId="134" fillId="0" borderId="0" xfId="0" applyNumberFormat="1" applyFont="1"/>
    <xf numFmtId="0" fontId="134" fillId="0" borderId="0" xfId="0" applyNumberFormat="1" applyFont="1"/>
    <xf numFmtId="164" fontId="134" fillId="0" borderId="0" xfId="0" applyNumberFormat="1" applyFont="1" applyAlignment="1">
      <alignment horizontal="center"/>
    </xf>
    <xf numFmtId="177" fontId="134" fillId="0" borderId="0" xfId="85" applyNumberFormat="1" applyFont="1" applyFill="1" applyBorder="1" applyAlignment="1"/>
    <xf numFmtId="0" fontId="143" fillId="0" borderId="0" xfId="0" applyNumberFormat="1" applyFont="1"/>
    <xf numFmtId="3" fontId="143" fillId="0" borderId="0" xfId="0" applyNumberFormat="1" applyFont="1" applyAlignment="1">
      <alignment horizontal="center"/>
    </xf>
    <xf numFmtId="3" fontId="143" fillId="0" borderId="0" xfId="0" applyNumberFormat="1" applyFont="1"/>
    <xf numFmtId="172" fontId="134" fillId="0" borderId="0" xfId="0" applyFont="1" applyAlignment="1">
      <alignment horizontal="center"/>
    </xf>
    <xf numFmtId="49" fontId="143" fillId="0" borderId="0" xfId="0" applyNumberFormat="1" applyFont="1" applyAlignment="1">
      <alignment horizontal="center"/>
    </xf>
    <xf numFmtId="177" fontId="143" fillId="0" borderId="0" xfId="85" applyNumberFormat="1" applyFont="1" applyFill="1" applyBorder="1" applyAlignment="1"/>
    <xf numFmtId="172" fontId="143" fillId="0" borderId="0" xfId="0" applyFont="1"/>
    <xf numFmtId="182" fontId="143" fillId="0" borderId="0" xfId="85" applyNumberFormat="1" applyFont="1" applyFill="1" applyBorder="1" applyAlignment="1"/>
    <xf numFmtId="0" fontId="20" fillId="0" borderId="10" xfId="0" applyNumberFormat="1" applyFont="1" applyBorder="1"/>
    <xf numFmtId="0" fontId="27" fillId="0" borderId="10" xfId="59" applyNumberFormat="1" applyFont="1" applyFill="1" applyBorder="1" applyAlignment="1"/>
    <xf numFmtId="0" fontId="27" fillId="20" borderId="10" xfId="59" applyNumberFormat="1" applyFont="1" applyFill="1" applyBorder="1" applyAlignment="1"/>
    <xf numFmtId="0" fontId="50" fillId="20" borderId="11" xfId="157" applyNumberFormat="1" applyFont="1" applyFill="1" applyBorder="1" applyAlignment="1">
      <alignment horizontal="center" wrapText="1"/>
    </xf>
    <xf numFmtId="181" fontId="49" fillId="0" borderId="0" xfId="59" applyNumberFormat="1" applyFont="1" applyAlignment="1">
      <alignment horizontal="center"/>
    </xf>
    <xf numFmtId="0" fontId="127" fillId="0" borderId="0" xfId="158" applyFont="1" applyAlignment="1">
      <alignment horizontal="center" wrapText="1"/>
    </xf>
    <xf numFmtId="181" fontId="50" fillId="0" borderId="11" xfId="59" applyNumberFormat="1" applyFont="1" applyBorder="1" applyAlignment="1">
      <alignment horizontal="center" wrapText="1"/>
    </xf>
    <xf numFmtId="176" fontId="49" fillId="0" borderId="0" xfId="59" applyNumberFormat="1" applyFont="1"/>
    <xf numFmtId="0" fontId="49" fillId="20" borderId="0" xfId="162" applyFont="1" applyFill="1" applyAlignment="1">
      <alignment horizontal="left"/>
    </xf>
    <xf numFmtId="176" fontId="49" fillId="20" borderId="0" xfId="59" applyNumberFormat="1" applyFont="1" applyFill="1" applyAlignment="1">
      <alignment horizontal="left"/>
    </xf>
    <xf numFmtId="0" fontId="49" fillId="0" borderId="0" xfId="59" applyNumberFormat="1" applyFont="1" applyAlignment="1">
      <alignment horizontal="center"/>
    </xf>
    <xf numFmtId="43" fontId="49" fillId="20" borderId="0" xfId="59" applyFont="1" applyFill="1" applyAlignment="1">
      <alignment horizontal="center"/>
    </xf>
    <xf numFmtId="0" fontId="50" fillId="0" borderId="0" xfId="158" applyFont="1" applyAlignment="1">
      <alignment horizontal="center"/>
    </xf>
    <xf numFmtId="0" fontId="50" fillId="0" borderId="0" xfId="158" applyFont="1"/>
    <xf numFmtId="176" fontId="50" fillId="0" borderId="0" xfId="157" applyNumberFormat="1" applyFont="1"/>
    <xf numFmtId="176" fontId="50" fillId="0" borderId="0" xfId="158" applyNumberFormat="1" applyFont="1" applyAlignment="1">
      <alignment horizontal="center"/>
    </xf>
    <xf numFmtId="181" fontId="50" fillId="0" borderId="0" xfId="59" applyNumberFormat="1" applyFont="1" applyAlignment="1">
      <alignment horizontal="center"/>
    </xf>
    <xf numFmtId="172" fontId="125" fillId="0" borderId="0" xfId="0" applyFont="1"/>
    <xf numFmtId="172" fontId="144" fillId="0" borderId="0" xfId="0" applyFont="1"/>
    <xf numFmtId="172" fontId="133" fillId="0" borderId="0" xfId="0" applyFont="1" applyAlignment="1">
      <alignment horizontal="right" vertical="center"/>
    </xf>
    <xf numFmtId="0" fontId="133" fillId="0" borderId="0" xfId="0" applyNumberFormat="1" applyFont="1" applyAlignment="1">
      <alignment horizontal="right"/>
    </xf>
    <xf numFmtId="49" fontId="81" fillId="20" borderId="0" xfId="129" applyNumberFormat="1" applyFont="1" applyFill="1" applyAlignment="1">
      <alignment horizontal="center"/>
    </xf>
    <xf numFmtId="0" fontId="72" fillId="20" borderId="0" xfId="0" applyNumberFormat="1" applyFont="1" applyFill="1" applyAlignment="1">
      <alignment horizontal="center" vertical="center"/>
    </xf>
    <xf numFmtId="172" fontId="71" fillId="0" borderId="0" xfId="0" applyFont="1" applyAlignment="1">
      <alignment vertical="center" wrapText="1"/>
    </xf>
    <xf numFmtId="172" fontId="78" fillId="21" borderId="32" xfId="0" applyFont="1" applyFill="1" applyBorder="1" applyAlignment="1">
      <alignment vertical="center"/>
    </xf>
    <xf numFmtId="172" fontId="78" fillId="21" borderId="32" xfId="0" applyFont="1" applyFill="1" applyBorder="1" applyAlignment="1">
      <alignment horizontal="center" vertical="center"/>
    </xf>
    <xf numFmtId="172" fontId="78" fillId="0" borderId="0" xfId="0" applyFont="1" applyAlignment="1">
      <alignment horizontal="center" vertical="center"/>
    </xf>
    <xf numFmtId="172" fontId="78" fillId="0" borderId="0" xfId="0" applyFont="1" applyAlignment="1">
      <alignment vertical="center"/>
    </xf>
    <xf numFmtId="165" fontId="49" fillId="0" borderId="0" xfId="0" applyNumberFormat="1" applyFont="1"/>
    <xf numFmtId="176" fontId="49" fillId="0" borderId="0" xfId="157" applyNumberFormat="1" applyFont="1" applyBorder="1" applyAlignment="1">
      <alignment horizontal="center"/>
    </xf>
    <xf numFmtId="181" fontId="49" fillId="0" borderId="0" xfId="59" applyNumberFormat="1" applyFont="1" applyBorder="1" applyAlignment="1">
      <alignment horizontal="center"/>
    </xf>
    <xf numFmtId="181" fontId="50" fillId="0" borderId="0" xfId="59" applyNumberFormat="1" applyFont="1" applyBorder="1" applyAlignment="1">
      <alignment horizontal="center" wrapText="1"/>
    </xf>
    <xf numFmtId="49" fontId="50" fillId="0" borderId="0" xfId="157" applyNumberFormat="1" applyFont="1" applyBorder="1" applyAlignment="1">
      <alignment horizontal="center" wrapText="1"/>
    </xf>
    <xf numFmtId="0" fontId="49" fillId="0" borderId="0" xfId="59" applyNumberFormat="1" applyFont="1" applyBorder="1" applyAlignment="1">
      <alignment horizontal="center"/>
    </xf>
    <xf numFmtId="1" fontId="49" fillId="20" borderId="0" xfId="59" applyNumberFormat="1" applyFont="1" applyFill="1" applyAlignment="1">
      <alignment horizontal="center"/>
    </xf>
    <xf numFmtId="187" fontId="49" fillId="20" borderId="0" xfId="59" applyNumberFormat="1" applyFont="1" applyFill="1" applyAlignment="1">
      <alignment horizontal="center"/>
    </xf>
    <xf numFmtId="176" fontId="50" fillId="0" borderId="0" xfId="157" applyNumberFormat="1" applyFont="1" applyFill="1"/>
    <xf numFmtId="181" fontId="50" fillId="0" borderId="0" xfId="59" applyNumberFormat="1" applyFont="1" applyFill="1" applyAlignment="1">
      <alignment horizontal="center"/>
    </xf>
    <xf numFmtId="176" fontId="50" fillId="0" borderId="27" xfId="157" applyNumberFormat="1" applyFont="1" applyFill="1" applyBorder="1"/>
    <xf numFmtId="176" fontId="50" fillId="0" borderId="27" xfId="158" applyNumberFormat="1" applyFont="1" applyBorder="1" applyAlignment="1">
      <alignment horizontal="center"/>
    </xf>
    <xf numFmtId="172" fontId="0" fillId="0" borderId="0" xfId="0" applyAlignment="1">
      <alignment horizontal="center"/>
    </xf>
    <xf numFmtId="172" fontId="52" fillId="0" borderId="0" xfId="0" applyFont="1"/>
    <xf numFmtId="172" fontId="73" fillId="0" borderId="0" xfId="0" quotePrefix="1" applyFont="1" applyAlignment="1">
      <alignment horizontal="center" vertical="center"/>
    </xf>
    <xf numFmtId="172" fontId="27" fillId="0" borderId="0" xfId="0" applyFont="1" applyAlignment="1">
      <alignment horizontal="center" vertical="center"/>
    </xf>
    <xf numFmtId="172" fontId="0" fillId="0" borderId="0" xfId="0" quotePrefix="1"/>
    <xf numFmtId="0" fontId="50" fillId="0" borderId="11" xfId="157" applyNumberFormat="1" applyFont="1" applyFill="1" applyBorder="1" applyAlignment="1">
      <alignment horizontal="center" wrapText="1"/>
    </xf>
    <xf numFmtId="172" fontId="145" fillId="0" borderId="0" xfId="0" applyFont="1" applyAlignment="1">
      <alignment vertical="center" wrapText="1"/>
    </xf>
    <xf numFmtId="176" fontId="49" fillId="0" borderId="0" xfId="157" applyNumberFormat="1" applyFont="1" applyAlignment="1"/>
    <xf numFmtId="10" fontId="81" fillId="0" borderId="0" xfId="129" applyNumberFormat="1" applyFont="1"/>
    <xf numFmtId="176" fontId="72" fillId="0" borderId="0" xfId="59" applyNumberFormat="1" applyFont="1" applyFill="1" applyBorder="1" applyAlignment="1">
      <alignment horizontal="center" vertical="center"/>
    </xf>
    <xf numFmtId="43" fontId="71" fillId="0" borderId="0" xfId="59" applyFont="1" applyFill="1" applyAlignment="1">
      <alignment horizontal="center" vertical="center"/>
    </xf>
    <xf numFmtId="172" fontId="73" fillId="0" borderId="0" xfId="0" applyFont="1" applyAlignment="1">
      <alignment horizontal="center" vertical="center" wrapText="1"/>
    </xf>
    <xf numFmtId="172" fontId="72" fillId="0" borderId="0" xfId="0" applyFont="1" applyAlignment="1">
      <alignment vertical="center" wrapText="1"/>
    </xf>
    <xf numFmtId="172" fontId="73" fillId="0" borderId="0" xfId="0" applyFont="1" applyAlignment="1">
      <alignment vertical="center" wrapText="1"/>
    </xf>
    <xf numFmtId="0" fontId="72" fillId="20" borderId="0" xfId="0" applyNumberFormat="1" applyFont="1" applyFill="1" applyAlignment="1">
      <alignment vertical="center" wrapText="1"/>
    </xf>
    <xf numFmtId="0" fontId="74" fillId="0" borderId="0" xfId="0" applyNumberFormat="1" applyFont="1" applyAlignment="1">
      <alignment horizontal="right" vertical="center" wrapText="1"/>
    </xf>
    <xf numFmtId="172" fontId="74" fillId="0" borderId="0" xfId="0" applyFont="1" applyAlignment="1">
      <alignment horizontal="right" vertical="center" wrapText="1"/>
    </xf>
    <xf numFmtId="172" fontId="72" fillId="20" borderId="0" xfId="0" applyFont="1" applyFill="1" applyAlignment="1">
      <alignment vertical="center" wrapText="1"/>
    </xf>
    <xf numFmtId="172" fontId="49" fillId="0" borderId="6" xfId="0" applyFont="1" applyBorder="1"/>
    <xf numFmtId="183" fontId="20" fillId="0" borderId="0" xfId="0" quotePrefix="1" applyNumberFormat="1" applyFont="1" applyAlignment="1">
      <alignment horizontal="right"/>
    </xf>
    <xf numFmtId="172" fontId="116" fillId="0" borderId="0" xfId="0" applyFont="1" applyAlignment="1">
      <alignment vertical="center" wrapText="1"/>
    </xf>
    <xf numFmtId="172" fontId="116" fillId="0" borderId="0" xfId="0" applyFont="1" applyAlignment="1">
      <alignment vertical="center"/>
    </xf>
    <xf numFmtId="164" fontId="49" fillId="0" borderId="0" xfId="0" applyNumberFormat="1" applyFont="1" applyAlignment="1">
      <alignment horizontal="left" wrapText="1"/>
    </xf>
    <xf numFmtId="174" fontId="49" fillId="0" borderId="0" xfId="0" applyNumberFormat="1" applyFont="1"/>
    <xf numFmtId="0" fontId="49" fillId="0" borderId="0" xfId="0" applyNumberFormat="1" applyFont="1" applyAlignment="1">
      <alignment horizontal="left" indent="1"/>
    </xf>
    <xf numFmtId="176" fontId="50" fillId="0" borderId="41" xfId="59" applyNumberFormat="1" applyFont="1" applyFill="1" applyBorder="1" applyAlignment="1">
      <alignment horizontal="center"/>
    </xf>
    <xf numFmtId="176" fontId="50" fillId="0" borderId="16" xfId="59" applyNumberFormat="1" applyFont="1" applyFill="1" applyBorder="1" applyAlignment="1"/>
    <xf numFmtId="0" fontId="133" fillId="0" borderId="0" xfId="159" applyFont="1"/>
    <xf numFmtId="169" fontId="27"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0" fontId="27" fillId="0" borderId="12" xfId="0" applyNumberFormat="1" applyFont="1" applyBorder="1" applyAlignment="1">
      <alignment horizontal="center" vertical="center" wrapText="1"/>
    </xf>
    <xf numFmtId="164" fontId="116" fillId="0" borderId="0" xfId="0" applyNumberFormat="1" applyFont="1" applyAlignment="1">
      <alignment horizontal="right"/>
    </xf>
    <xf numFmtId="42" fontId="116" fillId="0" borderId="0" xfId="0" applyNumberFormat="1" applyFont="1" applyAlignment="1">
      <alignment horizontal="center"/>
    </xf>
    <xf numFmtId="176" fontId="116" fillId="0" borderId="32" xfId="63" applyNumberFormat="1" applyFont="1" applyFill="1" applyBorder="1" applyAlignment="1">
      <alignment horizontal="center"/>
    </xf>
    <xf numFmtId="176" fontId="116" fillId="0" borderId="32" xfId="63" applyNumberFormat="1" applyFont="1" applyFill="1" applyBorder="1"/>
    <xf numFmtId="176" fontId="49" fillId="0" borderId="0" xfId="59" applyNumberFormat="1" applyFont="1" applyFill="1"/>
    <xf numFmtId="172" fontId="146" fillId="0" borderId="0" xfId="0" applyFont="1"/>
    <xf numFmtId="176" fontId="146" fillId="0" borderId="0" xfId="157" applyNumberFormat="1" applyFont="1"/>
    <xf numFmtId="0" fontId="146" fillId="0" borderId="0" xfId="158" applyFont="1"/>
    <xf numFmtId="0" fontId="49" fillId="0" borderId="6" xfId="0" applyNumberFormat="1" applyFont="1" applyBorder="1" applyAlignment="1">
      <alignment horizontal="centerContinuous"/>
    </xf>
    <xf numFmtId="9" fontId="116" fillId="20" borderId="0" xfId="85" applyFont="1" applyFill="1" applyAlignment="1"/>
    <xf numFmtId="172" fontId="0" fillId="0" borderId="0" xfId="0" applyAlignment="1">
      <alignment horizontal="right"/>
    </xf>
    <xf numFmtId="10" fontId="20" fillId="0" borderId="0" xfId="85" applyNumberFormat="1" applyFont="1" applyFill="1" applyAlignment="1">
      <alignment vertical="top" wrapText="1"/>
    </xf>
    <xf numFmtId="0" fontId="87" fillId="0" borderId="0" xfId="129" applyFont="1" applyAlignment="1">
      <alignment vertical="top" wrapText="1"/>
    </xf>
    <xf numFmtId="10" fontId="81" fillId="0" borderId="0" xfId="85" applyNumberFormat="1" applyFont="1" applyFill="1" applyAlignment="1">
      <alignment horizontal="center"/>
    </xf>
    <xf numFmtId="10" fontId="81" fillId="0" borderId="0" xfId="85" applyNumberFormat="1" applyFont="1" applyFill="1" applyAlignment="1">
      <alignment horizontal="center" vertical="top"/>
    </xf>
    <xf numFmtId="10" fontId="112" fillId="0" borderId="0" xfId="85" applyNumberFormat="1" applyFont="1" applyAlignment="1">
      <alignment horizontal="center" wrapText="1"/>
    </xf>
    <xf numFmtId="10" fontId="81" fillId="0" borderId="0" xfId="85" applyNumberFormat="1" applyFont="1" applyAlignment="1">
      <alignment horizontal="center"/>
    </xf>
    <xf numFmtId="0" fontId="81" fillId="0" borderId="0" xfId="129" quotePrefix="1" applyFont="1" applyAlignment="1">
      <alignment horizontal="right"/>
    </xf>
    <xf numFmtId="0" fontId="4" fillId="0" borderId="11" xfId="148" applyFont="1" applyBorder="1" applyAlignment="1">
      <alignment horizontal="center" wrapText="1"/>
    </xf>
    <xf numFmtId="176" fontId="27" fillId="0" borderId="0" xfId="133" applyNumberFormat="1" applyFont="1" applyFill="1" applyAlignment="1"/>
    <xf numFmtId="49" fontId="96" fillId="0" borderId="0" xfId="80" applyNumberFormat="1" applyFont="1"/>
    <xf numFmtId="0" fontId="71" fillId="0" borderId="0" xfId="154" applyFont="1" applyAlignment="1">
      <alignment vertical="center"/>
    </xf>
    <xf numFmtId="172" fontId="147" fillId="0" borderId="0" xfId="0" applyFont="1" applyAlignment="1">
      <alignment vertical="center"/>
    </xf>
    <xf numFmtId="172" fontId="148" fillId="0" borderId="0" xfId="0" applyFont="1" applyAlignment="1">
      <alignment horizontal="center" vertical="center"/>
    </xf>
    <xf numFmtId="0" fontId="71" fillId="0" borderId="0" xfId="0" applyNumberFormat="1" applyFont="1" applyAlignment="1">
      <alignment horizontal="right"/>
    </xf>
    <xf numFmtId="0" fontId="71" fillId="0" borderId="0" xfId="158" applyFont="1" applyAlignment="1">
      <alignment horizontal="center"/>
    </xf>
    <xf numFmtId="0" fontId="71" fillId="0" borderId="0" xfId="158" applyFont="1"/>
    <xf numFmtId="176" fontId="71" fillId="0" borderId="0" xfId="157" applyNumberFormat="1" applyFont="1" applyAlignment="1">
      <alignment horizontal="center"/>
    </xf>
    <xf numFmtId="0" fontId="73" fillId="20" borderId="11" xfId="157" applyNumberFormat="1" applyFont="1" applyFill="1" applyBorder="1" applyAlignment="1">
      <alignment horizontal="center" wrapText="1"/>
    </xf>
    <xf numFmtId="0" fontId="73" fillId="0" borderId="11" xfId="157" applyNumberFormat="1" applyFont="1" applyBorder="1" applyAlignment="1">
      <alignment horizontal="center" wrapText="1"/>
    </xf>
    <xf numFmtId="0" fontId="73" fillId="0" borderId="11" xfId="158" applyFont="1" applyBorder="1" applyAlignment="1">
      <alignment horizontal="center" wrapText="1"/>
    </xf>
    <xf numFmtId="0" fontId="149" fillId="0" borderId="0" xfId="158" applyFont="1"/>
    <xf numFmtId="49" fontId="73" fillId="0" borderId="11" xfId="157" applyNumberFormat="1" applyFont="1" applyBorder="1" applyAlignment="1">
      <alignment horizontal="left" wrapText="1"/>
    </xf>
    <xf numFmtId="0" fontId="73" fillId="0" borderId="0" xfId="158" applyFont="1"/>
    <xf numFmtId="49" fontId="73" fillId="0" borderId="0" xfId="157" applyNumberFormat="1" applyFont="1" applyFill="1" applyBorder="1" applyAlignment="1">
      <alignment horizontal="left" wrapText="1"/>
    </xf>
    <xf numFmtId="49" fontId="73" fillId="0" borderId="11" xfId="157" applyNumberFormat="1" applyFont="1" applyBorder="1" applyAlignment="1">
      <alignment horizontal="center" wrapText="1"/>
    </xf>
    <xf numFmtId="0" fontId="73" fillId="0" borderId="0" xfId="156" applyFont="1" applyAlignment="1">
      <alignment horizontal="center"/>
    </xf>
    <xf numFmtId="49" fontId="73" fillId="0" borderId="11" xfId="157" applyNumberFormat="1" applyFont="1" applyFill="1" applyBorder="1" applyAlignment="1">
      <alignment horizontal="center" wrapText="1"/>
    </xf>
    <xf numFmtId="0" fontId="73" fillId="0" borderId="0" xfId="158" applyFont="1" applyAlignment="1">
      <alignment horizontal="center" wrapText="1"/>
    </xf>
    <xf numFmtId="49" fontId="73" fillId="0" borderId="0" xfId="157" applyNumberFormat="1" applyFont="1" applyBorder="1" applyAlignment="1">
      <alignment horizontal="left" wrapText="1"/>
    </xf>
    <xf numFmtId="49" fontId="73" fillId="0" borderId="0" xfId="157" applyNumberFormat="1" applyFont="1" applyBorder="1" applyAlignment="1">
      <alignment horizontal="center" wrapText="1"/>
    </xf>
    <xf numFmtId="49" fontId="73" fillId="0" borderId="0" xfId="157" applyNumberFormat="1" applyFont="1" applyFill="1" applyBorder="1" applyAlignment="1">
      <alignment horizontal="center" wrapText="1"/>
    </xf>
    <xf numFmtId="0" fontId="71" fillId="0" borderId="0" xfId="158" applyFont="1" applyAlignment="1">
      <alignment horizontal="center" wrapText="1"/>
    </xf>
    <xf numFmtId="0" fontId="73" fillId="0" borderId="0" xfId="161" applyNumberFormat="1" applyFont="1"/>
    <xf numFmtId="0" fontId="73" fillId="0" borderId="0" xfId="161" applyNumberFormat="1" applyFont="1" applyFill="1"/>
    <xf numFmtId="176" fontId="71" fillId="0" borderId="0" xfId="157" applyNumberFormat="1" applyFont="1"/>
    <xf numFmtId="176" fontId="71" fillId="0" borderId="0" xfId="157" applyNumberFormat="1" applyFont="1" applyFill="1" applyAlignment="1">
      <alignment horizontal="left"/>
    </xf>
    <xf numFmtId="0" fontId="71" fillId="20" borderId="0" xfId="158" applyFont="1" applyFill="1" applyAlignment="1">
      <alignment horizontal="center"/>
    </xf>
    <xf numFmtId="176" fontId="71" fillId="20" borderId="0" xfId="157" applyNumberFormat="1" applyFont="1" applyFill="1" applyAlignment="1">
      <alignment horizontal="left"/>
    </xf>
    <xf numFmtId="49" fontId="73" fillId="20" borderId="0" xfId="157" applyNumberFormat="1" applyFont="1" applyFill="1" applyBorder="1" applyAlignment="1">
      <alignment horizontal="center" wrapText="1"/>
    </xf>
    <xf numFmtId="176" fontId="71" fillId="0" borderId="32" xfId="157" applyNumberFormat="1" applyFont="1" applyBorder="1"/>
    <xf numFmtId="0" fontId="73" fillId="20" borderId="0" xfId="158" applyFont="1" applyFill="1"/>
    <xf numFmtId="176" fontId="71" fillId="0" borderId="0" xfId="157" applyNumberFormat="1" applyFont="1" applyAlignment="1">
      <alignment horizontal="left"/>
    </xf>
    <xf numFmtId="0" fontId="71" fillId="0" borderId="0" xfId="162" applyFont="1" applyAlignment="1">
      <alignment horizontal="left"/>
    </xf>
    <xf numFmtId="172" fontId="148" fillId="0" borderId="0" xfId="0" applyFont="1" applyAlignment="1">
      <alignment vertical="center"/>
    </xf>
    <xf numFmtId="176" fontId="73" fillId="0" borderId="0" xfId="157" applyNumberFormat="1" applyFont="1" applyAlignment="1">
      <alignment horizontal="center" wrapText="1"/>
    </xf>
    <xf numFmtId="43" fontId="71" fillId="20" borderId="0" xfId="59" applyFont="1" applyFill="1" applyAlignment="1">
      <alignment horizontal="center"/>
    </xf>
    <xf numFmtId="0" fontId="71" fillId="20" borderId="0" xfId="162" applyFont="1" applyFill="1" applyAlignment="1">
      <alignment horizontal="left"/>
    </xf>
    <xf numFmtId="176" fontId="71" fillId="0" borderId="0" xfId="157" applyNumberFormat="1" applyFont="1" applyFill="1"/>
    <xf numFmtId="176" fontId="71" fillId="0" borderId="0" xfId="157" applyNumberFormat="1" applyFont="1" applyAlignment="1">
      <alignment horizontal="right"/>
    </xf>
    <xf numFmtId="0" fontId="147" fillId="0" borderId="0" xfId="158" applyFont="1"/>
    <xf numFmtId="176" fontId="71" fillId="0" borderId="11" xfId="158" applyNumberFormat="1" applyFont="1" applyBorder="1"/>
    <xf numFmtId="0" fontId="73" fillId="0" borderId="0" xfId="157" applyNumberFormat="1" applyFont="1" applyFill="1" applyAlignment="1">
      <alignment vertical="top"/>
    </xf>
    <xf numFmtId="0" fontId="149" fillId="0" borderId="0" xfId="158" applyFont="1" applyAlignment="1">
      <alignment horizontal="left"/>
    </xf>
    <xf numFmtId="176" fontId="84" fillId="0" borderId="0" xfId="157" applyNumberFormat="1" applyFont="1" applyFill="1"/>
    <xf numFmtId="176" fontId="150" fillId="0" borderId="0" xfId="157" applyNumberFormat="1" applyFont="1"/>
    <xf numFmtId="0" fontId="150" fillId="0" borderId="0" xfId="158" applyFont="1"/>
    <xf numFmtId="176" fontId="73" fillId="0" borderId="0" xfId="157" applyNumberFormat="1" applyFont="1" applyFill="1" applyAlignment="1">
      <alignment vertical="top"/>
    </xf>
    <xf numFmtId="176" fontId="50" fillId="0" borderId="11" xfId="157" applyNumberFormat="1" applyFont="1" applyBorder="1" applyAlignment="1">
      <alignment horizontal="left" wrapText="1"/>
    </xf>
    <xf numFmtId="176" fontId="50" fillId="0" borderId="0" xfId="157" applyNumberFormat="1" applyFont="1" applyBorder="1" applyAlignment="1">
      <alignment horizontal="left" wrapText="1"/>
    </xf>
    <xf numFmtId="176" fontId="50" fillId="0" borderId="11" xfId="157" applyNumberFormat="1" applyFont="1" applyBorder="1" applyAlignment="1">
      <alignment horizontal="center" wrapText="1"/>
    </xf>
    <xf numFmtId="0" fontId="49" fillId="0" borderId="0" xfId="158" quotePrefix="1" applyFont="1" applyAlignment="1">
      <alignment horizontal="center" wrapText="1"/>
    </xf>
    <xf numFmtId="176" fontId="50" fillId="0" borderId="11" xfId="157" applyNumberFormat="1" applyFont="1" applyFill="1" applyBorder="1" applyAlignment="1">
      <alignment horizontal="center" wrapText="1"/>
    </xf>
    <xf numFmtId="0" fontId="50" fillId="0" borderId="0" xfId="158" quotePrefix="1" applyFont="1" applyAlignment="1">
      <alignment horizontal="center" wrapText="1"/>
    </xf>
    <xf numFmtId="176" fontId="50" fillId="0" borderId="0" xfId="157" applyNumberFormat="1" applyFont="1" applyFill="1" applyBorder="1" applyAlignment="1">
      <alignment horizontal="center" wrapText="1"/>
    </xf>
    <xf numFmtId="176" fontId="49" fillId="0" borderId="0" xfId="157" applyNumberFormat="1" applyFont="1" applyAlignment="1">
      <alignment wrapText="1"/>
    </xf>
    <xf numFmtId="181" fontId="49" fillId="0" borderId="0" xfId="59" applyNumberFormat="1" applyFont="1" applyAlignment="1">
      <alignment horizontal="center" wrapText="1"/>
    </xf>
    <xf numFmtId="0" fontId="49" fillId="0" borderId="0" xfId="158" applyFont="1" applyAlignment="1">
      <alignment horizontal="left" indent="1"/>
    </xf>
    <xf numFmtId="176" fontId="49" fillId="20" borderId="0" xfId="157" applyNumberFormat="1" applyFont="1" applyFill="1"/>
    <xf numFmtId="184" fontId="49" fillId="0" borderId="0" xfId="59" applyNumberFormat="1" applyFont="1" applyFill="1"/>
    <xf numFmtId="176" fontId="49" fillId="0" borderId="0" xfId="157" applyNumberFormat="1" applyFont="1" applyFill="1" applyBorder="1"/>
    <xf numFmtId="0" fontId="50" fillId="0" borderId="0" xfId="157" applyNumberFormat="1" applyFont="1" applyFill="1" applyBorder="1" applyAlignment="1">
      <alignment vertical="top"/>
    </xf>
    <xf numFmtId="176" fontId="49" fillId="0" borderId="11" xfId="59" applyNumberFormat="1" applyFont="1" applyFill="1" applyBorder="1"/>
    <xf numFmtId="0" fontId="49" fillId="0" borderId="0" xfId="158" applyFont="1" applyAlignment="1">
      <alignment horizontal="right"/>
    </xf>
    <xf numFmtId="176" fontId="49" fillId="0" borderId="0" xfId="158" applyNumberFormat="1" applyFont="1" applyAlignment="1">
      <alignment horizontal="center"/>
    </xf>
    <xf numFmtId="176" fontId="49" fillId="0" borderId="0" xfId="157" applyNumberFormat="1" applyFont="1" applyFill="1"/>
    <xf numFmtId="169" fontId="49" fillId="0" borderId="0" xfId="158" applyNumberFormat="1" applyFont="1" applyAlignment="1">
      <alignment horizontal="center"/>
    </xf>
    <xf numFmtId="176" fontId="50" fillId="0" borderId="11" xfId="157" applyNumberFormat="1" applyFont="1" applyFill="1" applyBorder="1" applyAlignment="1">
      <alignment horizontal="left" wrapText="1"/>
    </xf>
    <xf numFmtId="176" fontId="50" fillId="0" borderId="0" xfId="157" applyNumberFormat="1" applyFont="1" applyFill="1" applyBorder="1" applyAlignment="1">
      <alignment horizontal="left" wrapText="1"/>
    </xf>
    <xf numFmtId="181" fontId="49" fillId="0" borderId="0" xfId="59" applyNumberFormat="1" applyFont="1" applyFill="1"/>
    <xf numFmtId="43" fontId="49" fillId="0" borderId="0" xfId="59" applyFont="1"/>
    <xf numFmtId="0" fontId="49" fillId="0" borderId="0" xfId="158" applyFont="1" applyAlignment="1">
      <alignment horizontal="right" indent="1"/>
    </xf>
    <xf numFmtId="170" fontId="49" fillId="0" borderId="0" xfId="0" applyNumberFormat="1" applyFont="1"/>
    <xf numFmtId="172" fontId="49" fillId="0" borderId="0" xfId="0" applyFont="1" applyAlignment="1">
      <alignment vertical="top"/>
    </xf>
    <xf numFmtId="172" fontId="49" fillId="0" borderId="0" xfId="0" applyFont="1" applyAlignment="1">
      <alignment vertical="top" wrapText="1"/>
    </xf>
    <xf numFmtId="0" fontId="49" fillId="0" borderId="0" xfId="0" applyNumberFormat="1" applyFont="1" applyAlignment="1">
      <alignment horizontal="center" vertical="top"/>
    </xf>
    <xf numFmtId="0" fontId="49" fillId="0" borderId="0" xfId="0" applyNumberFormat="1" applyFont="1" applyAlignment="1">
      <alignment vertical="top"/>
    </xf>
    <xf numFmtId="170" fontId="116" fillId="20" borderId="0" xfId="0" applyNumberFormat="1" applyFont="1" applyFill="1" applyProtection="1">
      <protection locked="0"/>
    </xf>
    <xf numFmtId="172" fontId="50" fillId="0" borderId="0" xfId="0" applyFont="1" applyAlignment="1">
      <alignment horizontal="center" vertical="center"/>
    </xf>
    <xf numFmtId="0" fontId="49" fillId="0" borderId="11" xfId="0" applyNumberFormat="1" applyFont="1" applyBorder="1"/>
    <xf numFmtId="172" fontId="49" fillId="0" borderId="11" xfId="0" applyFont="1" applyBorder="1"/>
    <xf numFmtId="176" fontId="49" fillId="0" borderId="0" xfId="157" applyNumberFormat="1" applyFont="1" applyFill="1" applyAlignment="1">
      <alignment wrapText="1"/>
    </xf>
    <xf numFmtId="176" fontId="49" fillId="0" borderId="0" xfId="157" applyNumberFormat="1" applyFont="1" applyFill="1" applyBorder="1" applyAlignment="1">
      <alignment horizontal="center"/>
    </xf>
    <xf numFmtId="176" fontId="49" fillId="0" borderId="0" xfId="157" applyNumberFormat="1" applyFont="1" applyFill="1" applyBorder="1" applyAlignment="1">
      <alignment wrapText="1"/>
    </xf>
    <xf numFmtId="176" fontId="116" fillId="0" borderId="0" xfId="59" applyNumberFormat="1" applyFont="1" applyFill="1" applyBorder="1" applyAlignment="1" applyProtection="1">
      <protection locked="0"/>
    </xf>
    <xf numFmtId="176" fontId="49" fillId="0" borderId="36" xfId="59" applyNumberFormat="1" applyFont="1" applyBorder="1" applyAlignment="1"/>
    <xf numFmtId="176" fontId="116" fillId="0" borderId="36" xfId="59" applyNumberFormat="1" applyFont="1" applyBorder="1" applyAlignment="1"/>
    <xf numFmtId="1" fontId="27" fillId="20" borderId="0" xfId="152" applyNumberFormat="1" applyFont="1" applyFill="1" applyAlignment="1">
      <alignment horizontal="center"/>
    </xf>
    <xf numFmtId="1" fontId="116" fillId="0" borderId="0" xfId="59" applyNumberFormat="1" applyFont="1" applyFill="1" applyAlignment="1">
      <alignment horizontal="right"/>
    </xf>
    <xf numFmtId="181" fontId="49" fillId="0" borderId="0" xfId="160" applyNumberFormat="1" applyFont="1" applyFill="1"/>
    <xf numFmtId="181" fontId="79" fillId="0" borderId="0" xfId="0" applyNumberFormat="1" applyFont="1" applyProtection="1">
      <protection locked="0"/>
    </xf>
    <xf numFmtId="17" fontId="133" fillId="0" borderId="0" xfId="159" applyNumberFormat="1" applyFont="1" applyAlignment="1">
      <alignment horizontal="center"/>
    </xf>
    <xf numFmtId="181" fontId="49" fillId="0" borderId="0" xfId="160" applyNumberFormat="1" applyFont="1"/>
    <xf numFmtId="181" fontId="49" fillId="0" borderId="11" xfId="160" applyNumberFormat="1" applyFont="1" applyFill="1" applyBorder="1"/>
    <xf numFmtId="181" fontId="49" fillId="0" borderId="0" xfId="160" applyNumberFormat="1" applyFont="1" applyAlignment="1">
      <alignment horizontal="right"/>
    </xf>
    <xf numFmtId="181" fontId="49" fillId="0" borderId="0" xfId="160" applyNumberFormat="1" applyFont="1" applyFill="1" applyAlignment="1">
      <alignment horizontal="right"/>
    </xf>
    <xf numFmtId="189" fontId="123" fillId="0" borderId="0" xfId="159" applyNumberFormat="1" applyFont="1"/>
    <xf numFmtId="17" fontId="133" fillId="20" borderId="0" xfId="159" applyNumberFormat="1" applyFont="1" applyFill="1" applyAlignment="1">
      <alignment horizontal="center"/>
    </xf>
    <xf numFmtId="0" fontId="151" fillId="0" borderId="0" xfId="159" applyFont="1"/>
    <xf numFmtId="181" fontId="79" fillId="0" borderId="0" xfId="160" applyNumberFormat="1" applyFont="1" applyAlignment="1">
      <alignment horizontal="right"/>
    </xf>
    <xf numFmtId="176" fontId="80" fillId="0" borderId="0" xfId="59" applyNumberFormat="1" applyFont="1" applyAlignment="1">
      <alignment horizontal="center"/>
    </xf>
    <xf numFmtId="176" fontId="80" fillId="0" borderId="0" xfId="0" applyNumberFormat="1" applyFont="1" applyAlignment="1" applyProtection="1">
      <alignment horizontal="center"/>
      <protection locked="0"/>
    </xf>
    <xf numFmtId="172" fontId="50" fillId="0" borderId="0" xfId="0" applyFont="1" applyAlignment="1">
      <alignment vertical="center"/>
    </xf>
    <xf numFmtId="172" fontId="27" fillId="0" borderId="0" xfId="0" applyFont="1" applyAlignment="1" applyProtection="1">
      <alignment horizontal="center"/>
      <protection locked="0"/>
    </xf>
    <xf numFmtId="184" fontId="49" fillId="0" borderId="0" xfId="160" applyNumberFormat="1" applyFont="1" applyFill="1"/>
    <xf numFmtId="184" fontId="49" fillId="20" borderId="18" xfId="160" applyNumberFormat="1" applyFont="1" applyFill="1" applyBorder="1"/>
    <xf numFmtId="0" fontId="119" fillId="0" borderId="0" xfId="135" applyFont="1" applyAlignment="1">
      <alignment vertical="top" wrapText="1"/>
    </xf>
    <xf numFmtId="0" fontId="116" fillId="0" borderId="0" xfId="0" applyNumberFormat="1" applyFont="1" applyAlignment="1">
      <alignment wrapText="1"/>
    </xf>
    <xf numFmtId="3" fontId="49" fillId="0" borderId="0" xfId="0" applyNumberFormat="1" applyFont="1" applyAlignment="1">
      <alignment wrapText="1"/>
    </xf>
    <xf numFmtId="188" fontId="116" fillId="0" borderId="0" xfId="59" applyNumberFormat="1" applyFont="1" applyFill="1" applyAlignment="1">
      <alignment horizontal="right"/>
    </xf>
    <xf numFmtId="165" fontId="118" fillId="0" borderId="0" xfId="0" applyNumberFormat="1" applyFont="1"/>
    <xf numFmtId="10" fontId="118" fillId="0" borderId="0" xfId="59" applyNumberFormat="1" applyFont="1" applyFill="1" applyAlignment="1">
      <alignment horizontal="right"/>
    </xf>
    <xf numFmtId="176" fontId="49" fillId="0" borderId="36" xfId="59" applyNumberFormat="1" applyFont="1" applyFill="1" applyBorder="1" applyAlignment="1"/>
    <xf numFmtId="176" fontId="116" fillId="0" borderId="36" xfId="59" applyNumberFormat="1" applyFont="1" applyFill="1" applyBorder="1" applyAlignment="1"/>
    <xf numFmtId="0" fontId="49" fillId="0" borderId="6" xfId="0" applyNumberFormat="1" applyFont="1" applyBorder="1"/>
    <xf numFmtId="3" fontId="49" fillId="0" borderId="0" xfId="0" applyNumberFormat="1" applyFont="1" applyAlignment="1">
      <alignment horizontal="center"/>
    </xf>
    <xf numFmtId="181" fontId="116" fillId="20" borderId="0" xfId="59" applyNumberFormat="1" applyFont="1" applyFill="1" applyAlignment="1"/>
    <xf numFmtId="0" fontId="116" fillId="0" borderId="0" xfId="0" applyNumberFormat="1" applyFont="1" applyAlignment="1">
      <alignment horizontal="center" vertical="center" wrapText="1"/>
    </xf>
    <xf numFmtId="0" fontId="49" fillId="0" borderId="0" xfId="0" applyNumberFormat="1" applyFont="1" applyAlignment="1">
      <alignment horizontal="center" vertical="top" wrapText="1"/>
    </xf>
    <xf numFmtId="0" fontId="49" fillId="0" borderId="0" xfId="0" applyNumberFormat="1" applyFont="1" applyAlignment="1">
      <alignment horizontal="center" vertical="center" wrapText="1"/>
    </xf>
    <xf numFmtId="3" fontId="27" fillId="0" borderId="0" xfId="132" applyNumberFormat="1" applyFont="1" applyAlignment="1">
      <alignment horizontal="left" wrapText="1"/>
    </xf>
    <xf numFmtId="0" fontId="143" fillId="0" borderId="0" xfId="137" applyFont="1" applyAlignment="1">
      <alignment horizontal="center"/>
    </xf>
    <xf numFmtId="0" fontId="134" fillId="0" borderId="0" xfId="137" applyFont="1" applyAlignment="1">
      <alignment horizontal="center"/>
    </xf>
    <xf numFmtId="44" fontId="22" fillId="0" borderId="21" xfId="137" applyNumberFormat="1" applyFont="1" applyBorder="1" applyAlignment="1">
      <alignment horizontal="center"/>
    </xf>
    <xf numFmtId="44" fontId="22" fillId="0" borderId="0" xfId="137" applyNumberFormat="1" applyFont="1" applyAlignment="1">
      <alignment horizontal="center"/>
    </xf>
    <xf numFmtId="0" fontId="27" fillId="0" borderId="0" xfId="137" applyFont="1" applyAlignment="1">
      <alignment horizontal="center" wrapText="1"/>
    </xf>
    <xf numFmtId="176" fontId="49" fillId="0" borderId="0" xfId="59" applyNumberFormat="1" applyFont="1" applyFill="1" applyAlignment="1">
      <alignment horizontal="center" vertical="center"/>
    </xf>
    <xf numFmtId="170" fontId="27" fillId="0" borderId="0" xfId="0" applyNumberFormat="1" applyFont="1"/>
    <xf numFmtId="176" fontId="20" fillId="20" borderId="0" xfId="59" applyNumberFormat="1" applyFont="1" applyFill="1" applyBorder="1"/>
    <xf numFmtId="42" fontId="27" fillId="0" borderId="22" xfId="139" applyNumberFormat="1" applyFont="1" applyBorder="1"/>
    <xf numFmtId="0" fontId="49" fillId="0" borderId="0" xfId="82" applyFont="1" applyAlignment="1">
      <alignment horizontal="center" vertical="center"/>
    </xf>
    <xf numFmtId="3" fontId="116" fillId="20" borderId="0" xfId="0" applyNumberFormat="1" applyFont="1" applyFill="1"/>
    <xf numFmtId="0" fontId="49" fillId="0" borderId="6" xfId="0" applyNumberFormat="1" applyFont="1" applyBorder="1" applyAlignment="1">
      <alignment horizontal="center"/>
    </xf>
    <xf numFmtId="0" fontId="80" fillId="20" borderId="0" xfId="0" applyNumberFormat="1" applyFont="1" applyFill="1" applyAlignment="1" applyProtection="1">
      <alignment horizontal="left"/>
      <protection locked="0"/>
    </xf>
    <xf numFmtId="172" fontId="79" fillId="20" borderId="0" xfId="0" applyFont="1" applyFill="1" applyAlignment="1" applyProtection="1">
      <alignment horizontal="center"/>
      <protection locked="0"/>
    </xf>
    <xf numFmtId="172" fontId="27" fillId="20" borderId="0" xfId="0" applyFont="1" applyFill="1" applyProtection="1">
      <protection locked="0"/>
    </xf>
    <xf numFmtId="180" fontId="79" fillId="20" borderId="0" xfId="85" applyNumberFormat="1" applyFont="1" applyFill="1" applyProtection="1">
      <protection locked="0"/>
    </xf>
    <xf numFmtId="176" fontId="79" fillId="20" borderId="0" xfId="0" applyNumberFormat="1" applyFont="1" applyFill="1" applyProtection="1">
      <protection locked="0"/>
    </xf>
    <xf numFmtId="0" fontId="71" fillId="0" borderId="0" xfId="158" applyFont="1" applyAlignment="1">
      <alignment vertical="top"/>
    </xf>
    <xf numFmtId="0" fontId="133" fillId="0" borderId="0" xfId="0" applyNumberFormat="1" applyFont="1" applyAlignment="1">
      <alignment horizontal="center"/>
    </xf>
    <xf numFmtId="172" fontId="133" fillId="0" borderId="0" xfId="0" applyFont="1"/>
    <xf numFmtId="179" fontId="116" fillId="0" borderId="0" xfId="0" applyNumberFormat="1" applyFont="1" applyAlignment="1">
      <alignment horizontal="right"/>
    </xf>
    <xf numFmtId="0" fontId="49" fillId="0" borderId="0" xfId="0" quotePrefix="1" applyNumberFormat="1" applyFont="1"/>
    <xf numFmtId="0" fontId="3" fillId="0" borderId="0" xfId="148" applyFont="1" applyAlignment="1">
      <alignment horizontal="center" wrapText="1"/>
    </xf>
    <xf numFmtId="0" fontId="152" fillId="0" borderId="21" xfId="137" applyFont="1" applyBorder="1" applyAlignment="1">
      <alignment horizontal="center" wrapText="1"/>
    </xf>
    <xf numFmtId="176" fontId="71" fillId="0" borderId="0" xfId="157" applyNumberFormat="1" applyFont="1" applyBorder="1"/>
    <xf numFmtId="176" fontId="71" fillId="20" borderId="0" xfId="157" applyNumberFormat="1" applyFont="1" applyFill="1" applyBorder="1"/>
    <xf numFmtId="0" fontId="49" fillId="0" borderId="0" xfId="0" applyNumberFormat="1" applyFont="1" applyAlignment="1">
      <alignment vertical="top" wrapText="1"/>
    </xf>
    <xf numFmtId="0" fontId="2" fillId="0" borderId="0" xfId="148" applyFont="1" applyAlignment="1">
      <alignment horizontal="center" wrapText="1"/>
    </xf>
    <xf numFmtId="188" fontId="116" fillId="0" borderId="0" xfId="85" applyNumberFormat="1" applyFont="1" applyFill="1"/>
    <xf numFmtId="9" fontId="49" fillId="20" borderId="0" xfId="0" applyNumberFormat="1" applyFont="1" applyFill="1"/>
    <xf numFmtId="172" fontId="154" fillId="0" borderId="0" xfId="0" applyFont="1" applyAlignment="1">
      <alignment horizontal="left" vertical="center" indent="3"/>
    </xf>
    <xf numFmtId="0" fontId="81" fillId="0" borderId="0" xfId="129" applyFont="1" applyAlignment="1">
      <alignment horizontal="right" vertical="top"/>
    </xf>
    <xf numFmtId="173" fontId="27" fillId="0" borderId="11" xfId="138" applyNumberFormat="1" applyFont="1" applyFill="1" applyBorder="1"/>
    <xf numFmtId="44" fontId="27" fillId="0" borderId="11" xfId="138" applyFont="1" applyFill="1" applyBorder="1" applyAlignment="1">
      <alignment horizontal="center"/>
    </xf>
    <xf numFmtId="10" fontId="27" fillId="0" borderId="11" xfId="137" applyNumberFormat="1" applyFont="1" applyBorder="1"/>
    <xf numFmtId="173" fontId="27" fillId="0" borderId="11" xfId="137" applyNumberFormat="1" applyFont="1" applyBorder="1"/>
    <xf numFmtId="176" fontId="27" fillId="20" borderId="2" xfId="59" applyNumberFormat="1" applyFont="1" applyFill="1" applyBorder="1"/>
    <xf numFmtId="1" fontId="27" fillId="20" borderId="0" xfId="0" applyNumberFormat="1" applyFont="1" applyFill="1" applyAlignment="1">
      <alignment horizontal="center"/>
    </xf>
    <xf numFmtId="172" fontId="49" fillId="20" borderId="0" xfId="143" applyFont="1" applyFill="1" applyAlignment="1">
      <alignment wrapText="1"/>
    </xf>
    <xf numFmtId="164" fontId="116" fillId="0" borderId="0" xfId="85" applyNumberFormat="1" applyFont="1"/>
    <xf numFmtId="176" fontId="20" fillId="20" borderId="0" xfId="59" applyNumberFormat="1" applyFont="1" applyFill="1" applyBorder="1" applyAlignment="1">
      <alignment wrapText="1"/>
    </xf>
    <xf numFmtId="0" fontId="1" fillId="0" borderId="0" xfId="148" applyFont="1"/>
    <xf numFmtId="0" fontId="109" fillId="0" borderId="0" xfId="148" applyFont="1"/>
    <xf numFmtId="43" fontId="15" fillId="0" borderId="0" xfId="148" applyNumberFormat="1"/>
    <xf numFmtId="176" fontId="116" fillId="0" borderId="0" xfId="85" applyNumberFormat="1" applyFont="1" applyAlignment="1">
      <alignment horizontal="left"/>
    </xf>
    <xf numFmtId="176" fontId="116" fillId="0" borderId="0" xfId="85" applyNumberFormat="1" applyFont="1" applyAlignment="1"/>
    <xf numFmtId="0" fontId="50" fillId="0" borderId="0" xfId="0" applyNumberFormat="1" applyFont="1"/>
    <xf numFmtId="0" fontId="50" fillId="0" borderId="0" xfId="0" applyNumberFormat="1" applyFont="1" applyAlignment="1">
      <alignment horizontal="right"/>
    </xf>
    <xf numFmtId="176" fontId="50" fillId="0" borderId="0" xfId="59" applyNumberFormat="1" applyFont="1" applyFill="1"/>
    <xf numFmtId="173" fontId="50" fillId="0" borderId="0" xfId="63" applyNumberFormat="1" applyFont="1" applyFill="1" applyBorder="1"/>
    <xf numFmtId="180" fontId="137" fillId="0" borderId="0" xfId="85" applyNumberFormat="1" applyFont="1" applyFill="1"/>
    <xf numFmtId="176" fontId="20" fillId="0" borderId="0" xfId="59" applyNumberFormat="1"/>
    <xf numFmtId="172" fontId="75" fillId="0" borderId="0" xfId="0" applyFont="1" applyAlignment="1">
      <alignment horizontal="center" vertical="center"/>
    </xf>
    <xf numFmtId="172" fontId="22" fillId="0" borderId="0" xfId="0" applyFont="1" applyAlignment="1">
      <alignment wrapText="1"/>
    </xf>
    <xf numFmtId="0" fontId="49" fillId="0" borderId="0" xfId="0" applyNumberFormat="1" applyFont="1" applyAlignment="1">
      <alignment vertical="top" wrapText="1"/>
    </xf>
    <xf numFmtId="0" fontId="116" fillId="0" borderId="0" xfId="0" applyNumberFormat="1" applyFont="1" applyAlignment="1">
      <alignment vertical="top" wrapText="1"/>
    </xf>
    <xf numFmtId="172" fontId="116" fillId="0" borderId="0" xfId="0" applyFont="1" applyAlignment="1">
      <alignment horizontal="left" vertical="top" wrapText="1"/>
    </xf>
    <xf numFmtId="0" fontId="49" fillId="0" borderId="0" xfId="0" applyNumberFormat="1" applyFont="1" applyAlignment="1">
      <alignment horizontal="left" vertical="top" wrapText="1"/>
    </xf>
    <xf numFmtId="0" fontId="116" fillId="0" borderId="0" xfId="0" applyNumberFormat="1" applyFont="1" applyAlignment="1">
      <alignment horizontal="left" vertical="top" wrapText="1"/>
    </xf>
    <xf numFmtId="0" fontId="49" fillId="0" borderId="0" xfId="0" applyNumberFormat="1" applyFont="1" applyAlignment="1">
      <alignment horizontal="left" wrapText="1"/>
    </xf>
    <xf numFmtId="0" fontId="49" fillId="0" borderId="0" xfId="0" applyNumberFormat="1" applyFont="1" applyAlignment="1">
      <alignment horizontal="left" vertical="center" wrapText="1"/>
    </xf>
    <xf numFmtId="0" fontId="116" fillId="0" borderId="0" xfId="0" applyNumberFormat="1" applyFont="1" applyAlignment="1">
      <alignment horizontal="left" vertical="center" wrapText="1"/>
    </xf>
    <xf numFmtId="172" fontId="116" fillId="0" borderId="0" xfId="0" applyFont="1"/>
    <xf numFmtId="0" fontId="121" fillId="0" borderId="0" xfId="0" applyNumberFormat="1" applyFont="1" applyAlignment="1">
      <alignment horizontal="center"/>
    </xf>
    <xf numFmtId="0" fontId="116" fillId="0" borderId="0" xfId="0" applyNumberFormat="1" applyFont="1" applyAlignment="1">
      <alignment horizontal="left"/>
    </xf>
    <xf numFmtId="0" fontId="116" fillId="0" borderId="0" xfId="0" applyNumberFormat="1" applyFont="1" applyAlignment="1">
      <alignment horizontal="left" wrapText="1"/>
    </xf>
    <xf numFmtId="0" fontId="49" fillId="0" borderId="0" xfId="82" applyFont="1" applyAlignment="1">
      <alignment horizontal="left" wrapText="1"/>
    </xf>
    <xf numFmtId="0" fontId="49" fillId="0" borderId="0" xfId="82" applyFont="1" applyAlignment="1">
      <alignment horizontal="left"/>
    </xf>
    <xf numFmtId="0" fontId="50" fillId="0" borderId="0" xfId="82" applyFont="1" applyAlignment="1">
      <alignment horizontal="center"/>
    </xf>
    <xf numFmtId="49" fontId="19" fillId="0" borderId="0" xfId="132" applyNumberFormat="1" applyFont="1" applyAlignment="1">
      <alignment horizontal="center"/>
    </xf>
    <xf numFmtId="0" fontId="19" fillId="0" borderId="0" xfId="132" applyFont="1" applyAlignment="1">
      <alignment horizontal="center"/>
    </xf>
    <xf numFmtId="0" fontId="89" fillId="0" borderId="0" xfId="132" applyFont="1" applyAlignment="1">
      <alignment horizontal="center"/>
    </xf>
    <xf numFmtId="0" fontId="27" fillId="0" borderId="0" xfId="132" applyFont="1" applyAlignment="1">
      <alignment horizontal="left" vertical="center" wrapText="1"/>
    </xf>
    <xf numFmtId="0" fontId="49" fillId="0" borderId="0" xfId="0" applyNumberFormat="1" applyFont="1" applyAlignment="1">
      <alignment horizontal="right"/>
    </xf>
    <xf numFmtId="0" fontId="49" fillId="0" borderId="0" xfId="0" applyNumberFormat="1" applyFont="1" applyAlignment="1">
      <alignment horizontal="center"/>
    </xf>
    <xf numFmtId="0" fontId="27" fillId="0" borderId="0" xfId="132" applyFont="1" applyAlignment="1">
      <alignment horizontal="left" wrapText="1"/>
    </xf>
    <xf numFmtId="172" fontId="50" fillId="0" borderId="0" xfId="0" applyFont="1" applyAlignment="1">
      <alignment horizontal="center"/>
    </xf>
    <xf numFmtId="3" fontId="49" fillId="0" borderId="0" xfId="0" applyNumberFormat="1" applyFont="1" applyAlignment="1" applyProtection="1">
      <alignment horizontal="center"/>
      <protection locked="0"/>
    </xf>
    <xf numFmtId="172" fontId="49" fillId="0" borderId="0" xfId="0" applyFont="1" applyAlignment="1">
      <alignment horizontal="left"/>
    </xf>
    <xf numFmtId="172" fontId="0" fillId="0" borderId="0" xfId="0"/>
    <xf numFmtId="172" fontId="49" fillId="0" borderId="0" xfId="0" applyFont="1" applyAlignment="1">
      <alignment horizontal="left" wrapText="1"/>
    </xf>
    <xf numFmtId="172" fontId="71" fillId="0" borderId="0" xfId="0" applyFont="1" applyAlignment="1">
      <alignment horizontal="left" vertical="top" wrapText="1"/>
    </xf>
    <xf numFmtId="172" fontId="71" fillId="0" borderId="0" xfId="0" applyFont="1" applyAlignment="1">
      <alignment horizontal="center" vertical="center"/>
    </xf>
    <xf numFmtId="172" fontId="71" fillId="0" borderId="0" xfId="0" applyFont="1" applyAlignment="1">
      <alignment horizontal="left" vertical="center"/>
    </xf>
    <xf numFmtId="0" fontId="44" fillId="0" borderId="0" xfId="132" applyFont="1" applyAlignment="1">
      <alignment horizontal="center"/>
    </xf>
    <xf numFmtId="0" fontId="22" fillId="0" borderId="0" xfId="132" applyFont="1" applyAlignment="1">
      <alignment horizontal="center"/>
    </xf>
    <xf numFmtId="49" fontId="128" fillId="0" borderId="35" xfId="132" applyNumberFormat="1" applyFont="1" applyBorder="1" applyAlignment="1">
      <alignment horizontal="center" vertical="center"/>
    </xf>
    <xf numFmtId="0" fontId="128" fillId="0" borderId="36" xfId="132" applyFont="1" applyBorder="1" applyAlignment="1">
      <alignment horizontal="center" vertical="center"/>
    </xf>
    <xf numFmtId="0" fontId="128" fillId="0" borderId="37" xfId="132" applyFont="1" applyBorder="1" applyAlignment="1">
      <alignment horizontal="center" vertical="center"/>
    </xf>
    <xf numFmtId="0" fontId="44" fillId="0" borderId="39" xfId="132" applyFont="1" applyBorder="1" applyAlignment="1">
      <alignment horizontal="center"/>
    </xf>
    <xf numFmtId="0" fontId="44" fillId="0" borderId="6" xfId="132" applyFont="1" applyBorder="1" applyAlignment="1">
      <alignment horizontal="center"/>
    </xf>
    <xf numFmtId="0" fontId="44" fillId="0" borderId="40" xfId="132" applyFont="1" applyBorder="1" applyAlignment="1">
      <alignment horizontal="center"/>
    </xf>
    <xf numFmtId="0" fontId="70" fillId="0" borderId="0" xfId="132" applyFont="1" applyAlignment="1">
      <alignment horizontal="left" wrapText="1"/>
    </xf>
    <xf numFmtId="0" fontId="44" fillId="0" borderId="29" xfId="132" applyFont="1" applyBorder="1" applyAlignment="1">
      <alignment horizontal="center"/>
    </xf>
    <xf numFmtId="0" fontId="44" fillId="0" borderId="30" xfId="132" applyFont="1" applyBorder="1" applyAlignment="1">
      <alignment horizontal="center"/>
    </xf>
    <xf numFmtId="0" fontId="44" fillId="0" borderId="31" xfId="132" applyFont="1" applyBorder="1" applyAlignment="1">
      <alignment horizontal="center"/>
    </xf>
    <xf numFmtId="0" fontId="44" fillId="0" borderId="35" xfId="132" applyFont="1" applyBorder="1" applyAlignment="1">
      <alignment horizontal="center" vertical="center"/>
    </xf>
    <xf numFmtId="0" fontId="44" fillId="0" borderId="36" xfId="132" applyFont="1" applyBorder="1" applyAlignment="1">
      <alignment horizontal="center" vertical="center"/>
    </xf>
    <xf numFmtId="0" fontId="44" fillId="0" borderId="37" xfId="132" applyFont="1" applyBorder="1" applyAlignment="1">
      <alignment horizontal="center" vertical="center"/>
    </xf>
    <xf numFmtId="0" fontId="109" fillId="20" borderId="30" xfId="148" applyFont="1" applyFill="1" applyBorder="1" applyAlignment="1">
      <alignment horizontal="center"/>
    </xf>
    <xf numFmtId="0" fontId="109" fillId="20" borderId="31" xfId="148" applyFont="1" applyFill="1" applyBorder="1" applyAlignment="1">
      <alignment horizontal="center"/>
    </xf>
    <xf numFmtId="0" fontId="5" fillId="20" borderId="0" xfId="148" applyFont="1" applyFill="1" applyAlignment="1">
      <alignment horizontal="center" wrapText="1"/>
    </xf>
    <xf numFmtId="0" fontId="15" fillId="20" borderId="0" xfId="148" applyFill="1" applyAlignment="1">
      <alignment horizontal="center" wrapText="1"/>
    </xf>
    <xf numFmtId="0" fontId="13" fillId="0" borderId="0" xfId="148" applyFont="1" applyAlignment="1">
      <alignment horizontal="left" wrapText="1"/>
    </xf>
    <xf numFmtId="0" fontId="11" fillId="0" borderId="0" xfId="148" applyFont="1" applyAlignment="1">
      <alignment horizontal="left" wrapText="1"/>
    </xf>
    <xf numFmtId="0" fontId="7" fillId="20" borderId="0" xfId="148" applyFont="1" applyFill="1" applyAlignment="1">
      <alignment horizontal="center" wrapText="1"/>
    </xf>
    <xf numFmtId="172" fontId="71" fillId="0" borderId="0" xfId="0" applyFont="1" applyAlignment="1">
      <alignment horizontal="left" vertical="center" wrapText="1"/>
    </xf>
    <xf numFmtId="0" fontId="20" fillId="0" borderId="0" xfId="129" applyFont="1" applyAlignment="1">
      <alignment horizontal="center" vertical="top" wrapText="1"/>
    </xf>
    <xf numFmtId="0" fontId="81" fillId="0" borderId="0" xfId="129" applyFont="1" applyAlignment="1">
      <alignment horizontal="left" vertical="top" wrapText="1"/>
    </xf>
    <xf numFmtId="0" fontId="27" fillId="0" borderId="0" xfId="137" applyFont="1" applyAlignment="1">
      <alignment horizontal="center"/>
    </xf>
    <xf numFmtId="172" fontId="27" fillId="0" borderId="0" xfId="0" applyFont="1" applyAlignment="1">
      <alignment horizontal="left"/>
    </xf>
    <xf numFmtId="172" fontId="22" fillId="0" borderId="0" xfId="0" applyFont="1" applyAlignment="1">
      <alignment horizontal="center"/>
    </xf>
    <xf numFmtId="3" fontId="27" fillId="0" borderId="0" xfId="0" applyNumberFormat="1" applyFont="1" applyAlignment="1" applyProtection="1">
      <alignment horizontal="center"/>
      <protection locked="0"/>
    </xf>
    <xf numFmtId="49" fontId="22" fillId="0" borderId="0" xfId="0" applyNumberFormat="1" applyFont="1" applyAlignment="1">
      <alignment horizontal="center"/>
    </xf>
    <xf numFmtId="3" fontId="27" fillId="0" borderId="0" xfId="0" applyNumberFormat="1" applyFont="1" applyAlignment="1">
      <alignment horizontal="center"/>
    </xf>
    <xf numFmtId="172" fontId="27" fillId="0" borderId="0" xfId="0" applyFont="1" applyAlignment="1">
      <alignment horizontal="left" wrapText="1"/>
    </xf>
    <xf numFmtId="172" fontId="134" fillId="0" borderId="0" xfId="0" applyFont="1" applyAlignment="1">
      <alignment horizontal="center"/>
    </xf>
    <xf numFmtId="0" fontId="27" fillId="0" borderId="0" xfId="0" applyNumberFormat="1" applyFont="1" applyAlignment="1" applyProtection="1">
      <alignment horizontal="center"/>
      <protection locked="0"/>
    </xf>
    <xf numFmtId="172" fontId="50" fillId="0" borderId="0" xfId="0" applyFont="1" applyAlignment="1">
      <alignment horizontal="center" vertical="center"/>
    </xf>
    <xf numFmtId="172" fontId="49" fillId="0" borderId="0" xfId="0" applyFont="1" applyAlignment="1">
      <alignment horizontal="left" vertical="top" wrapText="1"/>
    </xf>
    <xf numFmtId="172" fontId="49" fillId="0" borderId="0" xfId="0" applyFont="1" applyAlignment="1">
      <alignment horizontal="left" vertical="center"/>
    </xf>
    <xf numFmtId="172" fontId="49" fillId="0" borderId="0" xfId="0" applyFont="1" applyAlignment="1">
      <alignment horizontal="left" vertical="center" wrapText="1"/>
    </xf>
    <xf numFmtId="0" fontId="49" fillId="0" borderId="0" xfId="159" applyFont="1" applyAlignment="1">
      <alignment horizontal="left" vertical="top" wrapText="1"/>
    </xf>
    <xf numFmtId="0" fontId="133" fillId="0" borderId="0" xfId="159" applyFont="1" applyAlignment="1">
      <alignment horizontal="left" vertical="top" wrapText="1"/>
    </xf>
    <xf numFmtId="0" fontId="71" fillId="0" borderId="0" xfId="158" applyFont="1" applyAlignment="1">
      <alignment horizontal="left"/>
    </xf>
    <xf numFmtId="0" fontId="71" fillId="0" borderId="0" xfId="158" applyFont="1" applyAlignment="1">
      <alignment horizontal="left" wrapText="1"/>
    </xf>
    <xf numFmtId="0" fontId="71" fillId="0" borderId="0" xfId="158" applyFont="1" applyAlignment="1">
      <alignment horizontal="left" vertical="top" wrapText="1"/>
    </xf>
    <xf numFmtId="0" fontId="135" fillId="0" borderId="0" xfId="78" applyFont="1" applyAlignment="1">
      <alignment horizontal="center"/>
    </xf>
    <xf numFmtId="0" fontId="136" fillId="0" borderId="0" xfId="132" applyFont="1" applyAlignment="1">
      <alignment horizontal="left" vertical="top" wrapText="1"/>
    </xf>
    <xf numFmtId="0" fontId="49" fillId="0" borderId="0" xfId="158" applyFont="1" applyAlignment="1">
      <alignment horizontal="right"/>
    </xf>
    <xf numFmtId="172" fontId="49" fillId="0" borderId="0" xfId="0" applyFont="1" applyAlignment="1">
      <alignment horizontal="right" vertical="center"/>
    </xf>
  </cellXfs>
  <cellStyles count="1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orking\Annual%20Update%20-%202013\2013%20Annual%20Update%202013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ing\Annual%20Update%20-%202013\Data\Capital%20projection%20201304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2010 6 - Est &amp; Reconcile WS"/>
      <sheetName val="2010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2010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sheetData sheetId="1">
        <row r="5">
          <cell r="H5">
            <v>2012</v>
          </cell>
          <cell r="P5" t="str">
            <v>Projection</v>
          </cell>
        </row>
        <row r="6">
          <cell r="P6" t="str">
            <v>True-up</v>
          </cell>
        </row>
        <row r="17">
          <cell r="H17">
            <v>7.3398818350960335E-2</v>
          </cell>
        </row>
        <row r="29">
          <cell r="H29">
            <v>0.20421179118054886</v>
          </cell>
        </row>
        <row r="32">
          <cell r="H32">
            <v>0.24176082444075614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5">
          <cell r="D15">
            <v>151699035</v>
          </cell>
          <cell r="E15">
            <v>160882952</v>
          </cell>
          <cell r="F15" t="str">
            <v>114.14c</v>
          </cell>
        </row>
        <row r="16">
          <cell r="D16">
            <v>-1874204</v>
          </cell>
          <cell r="E16">
            <v>-1851300</v>
          </cell>
          <cell r="F16" t="str">
            <v>114.19c</v>
          </cell>
        </row>
        <row r="17">
          <cell r="D17">
            <v>20136120</v>
          </cell>
          <cell r="E17">
            <v>22657380.059999999</v>
          </cell>
          <cell r="F17" t="str">
            <v>214.47d</v>
          </cell>
        </row>
        <row r="19">
          <cell r="D19" t="e">
            <v>#N/A</v>
          </cell>
          <cell r="E19" t="e">
            <v>#N/A</v>
          </cell>
          <cell r="F19" t="str">
            <v>206.58b</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206.75g</v>
          </cell>
        </row>
        <row r="23">
          <cell r="D23">
            <v>847651696</v>
          </cell>
          <cell r="E23">
            <v>853462120</v>
          </cell>
          <cell r="F23" t="str">
            <v>204.5b</v>
          </cell>
        </row>
        <row r="24">
          <cell r="D24">
            <v>853462120</v>
          </cell>
          <cell r="E24">
            <v>854419426</v>
          </cell>
          <cell r="F24" t="str">
            <v>204.5g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204.46g</v>
          </cell>
        </row>
        <row r="29">
          <cell r="D29" t="e">
            <v>#N/A</v>
          </cell>
          <cell r="E29">
            <v>0</v>
          </cell>
          <cell r="F29" t="str">
            <v>206.102g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t="e">
            <v>#N/A</v>
          </cell>
          <cell r="E36">
            <v>2505658617</v>
          </cell>
          <cell r="F36" t="str">
            <v>219.20c</v>
          </cell>
        </row>
        <row r="37">
          <cell r="D37" t="e">
            <v>#N/A</v>
          </cell>
          <cell r="E37">
            <v>0</v>
          </cell>
          <cell r="F37" t="str">
            <v>219.21c</v>
          </cell>
        </row>
        <row r="38">
          <cell r="D38" t="e">
            <v>#N/A</v>
          </cell>
          <cell r="E38">
            <v>264903753</v>
          </cell>
          <cell r="F38" t="str">
            <v>219.22c</v>
          </cell>
        </row>
        <row r="39">
          <cell r="D39" t="e">
            <v>#N/A</v>
          </cell>
          <cell r="E39">
            <v>0</v>
          </cell>
          <cell r="F39" t="str">
            <v>219.23c</v>
          </cell>
        </row>
        <row r="40">
          <cell r="D40" t="e">
            <v>#N/A</v>
          </cell>
          <cell r="E40">
            <v>579208388</v>
          </cell>
          <cell r="F40" t="str">
            <v>219.24c</v>
          </cell>
        </row>
        <row r="41">
          <cell r="D41" t="e">
            <v>#N/A</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e">
            <v>#N/A</v>
          </cell>
          <cell r="E46" t="e">
            <v>#N/A</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D67" t="e">
            <v>#N/A</v>
          </cell>
          <cell r="E67">
            <v>0</v>
          </cell>
          <cell r="F67" t="str">
            <v>350.30d</v>
          </cell>
        </row>
        <row r="68">
          <cell r="D68" t="e">
            <v>#N/A</v>
          </cell>
          <cell r="E68">
            <v>0</v>
          </cell>
          <cell r="F68" t="str">
            <v>350.31d</v>
          </cell>
        </row>
        <row r="69">
          <cell r="D69" t="e">
            <v>#N/A</v>
          </cell>
          <cell r="E69">
            <v>2043517</v>
          </cell>
          <cell r="F69" t="str">
            <v>350.32d</v>
          </cell>
        </row>
        <row r="70">
          <cell r="D70">
            <v>22707903</v>
          </cell>
          <cell r="E70">
            <v>23499915</v>
          </cell>
          <cell r="F70" t="str">
            <v>354.21b</v>
          </cell>
        </row>
        <row r="71">
          <cell r="D71">
            <v>41949915</v>
          </cell>
          <cell r="E71">
            <v>43097996</v>
          </cell>
          <cell r="F71" t="str">
            <v>354.27b</v>
          </cell>
        </row>
        <row r="72">
          <cell r="D72">
            <v>357213635</v>
          </cell>
          <cell r="E72">
            <v>363265480</v>
          </cell>
          <cell r="F72" t="str">
            <v>354.28b</v>
          </cell>
        </row>
      </sheetData>
      <sheetData sheetId="27"/>
      <sheetData sheetId="28"/>
      <sheetData sheetId="29">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204</v>
          </cell>
          <cell r="D13">
            <v>46</v>
          </cell>
          <cell r="E13" t="str">
            <v>g</v>
          </cell>
          <cell r="F13" t="str">
            <v>204.46g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206</v>
          </cell>
          <cell r="D17">
            <v>75</v>
          </cell>
          <cell r="E17" t="str">
            <v>g</v>
          </cell>
          <cell r="F17" t="str">
            <v>206.75g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206</v>
          </cell>
          <cell r="D24">
            <v>102</v>
          </cell>
          <cell r="E24" t="str">
            <v>g</v>
          </cell>
          <cell r="F24" t="str">
            <v>206.102g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t="e">
            <v>#N/A</v>
          </cell>
          <cell r="L27">
            <v>2505658617</v>
          </cell>
        </row>
        <row r="28">
          <cell r="C28">
            <v>219</v>
          </cell>
          <cell r="D28">
            <v>21</v>
          </cell>
          <cell r="E28" t="str">
            <v>c</v>
          </cell>
          <cell r="F28" t="str">
            <v>219.21c</v>
          </cell>
          <cell r="G28" t="str">
            <v>electric_plant</v>
          </cell>
          <cell r="K28" t="e">
            <v>#N/A</v>
          </cell>
          <cell r="L28">
            <v>0</v>
          </cell>
        </row>
        <row r="29">
          <cell r="C29">
            <v>219</v>
          </cell>
          <cell r="D29">
            <v>22</v>
          </cell>
          <cell r="E29" t="str">
            <v>c</v>
          </cell>
          <cell r="F29" t="str">
            <v>219.22c</v>
          </cell>
          <cell r="G29" t="str">
            <v>electric_plant</v>
          </cell>
          <cell r="K29" t="e">
            <v>#N/A</v>
          </cell>
          <cell r="L29">
            <v>264903753</v>
          </cell>
        </row>
        <row r="30">
          <cell r="C30">
            <v>219</v>
          </cell>
          <cell r="D30">
            <v>23</v>
          </cell>
          <cell r="E30" t="str">
            <v>c</v>
          </cell>
          <cell r="F30" t="str">
            <v>219.23c</v>
          </cell>
          <cell r="G30" t="str">
            <v>electric_plant</v>
          </cell>
          <cell r="K30" t="e">
            <v>#N/A</v>
          </cell>
          <cell r="L30">
            <v>0</v>
          </cell>
        </row>
        <row r="31">
          <cell r="C31">
            <v>219</v>
          </cell>
          <cell r="D31">
            <v>24</v>
          </cell>
          <cell r="E31" t="str">
            <v>c</v>
          </cell>
          <cell r="F31" t="str">
            <v>219.24c</v>
          </cell>
          <cell r="G31" t="str">
            <v>electric_plant</v>
          </cell>
          <cell r="K31" t="e">
            <v>#N/A</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cell r="K81" t="e">
            <v>#N/A</v>
          </cell>
          <cell r="L81">
            <v>0</v>
          </cell>
        </row>
        <row r="82">
          <cell r="B82">
            <v>139</v>
          </cell>
          <cell r="C82">
            <v>350</v>
          </cell>
          <cell r="D82">
            <v>31</v>
          </cell>
          <cell r="E82" t="str">
            <v>d</v>
          </cell>
          <cell r="F82" t="str">
            <v>350.31d</v>
          </cell>
          <cell r="G82" t="str">
            <v>tot_expn_to_date</v>
          </cell>
          <cell r="H82">
            <v>183061</v>
          </cell>
          <cell r="I82">
            <v>491725</v>
          </cell>
          <cell r="J82">
            <v>596587</v>
          </cell>
          <cell r="K82" t="e">
            <v>#N/A</v>
          </cell>
          <cell r="L82">
            <v>0</v>
          </cell>
        </row>
        <row r="83">
          <cell r="B83">
            <v>140</v>
          </cell>
          <cell r="C83">
            <v>350</v>
          </cell>
          <cell r="D83">
            <v>32</v>
          </cell>
          <cell r="E83" t="str">
            <v>d</v>
          </cell>
          <cell r="F83" t="str">
            <v>350.32d</v>
          </cell>
          <cell r="G83" t="str">
            <v>tot_expn_to_date</v>
          </cell>
          <cell r="H83">
            <v>0</v>
          </cell>
          <cell r="I83">
            <v>2368722</v>
          </cell>
          <cell r="J83">
            <v>762536</v>
          </cell>
          <cell r="K83" t="e">
            <v>#N/A</v>
          </cell>
          <cell r="L83">
            <v>2043517</v>
          </cell>
        </row>
        <row r="84">
          <cell r="B84">
            <v>141</v>
          </cell>
          <cell r="C84">
            <v>350</v>
          </cell>
          <cell r="D84">
            <v>46</v>
          </cell>
          <cell r="E84" t="str">
            <v>d</v>
          </cell>
          <cell r="F84" t="str">
            <v>350.46d</v>
          </cell>
          <cell r="G84" t="str">
            <v>tot_expn_to_date</v>
          </cell>
          <cell r="H84">
            <v>11630262</v>
          </cell>
          <cell r="I84">
            <v>16464747</v>
          </cell>
          <cell r="J84">
            <v>17926840</v>
          </cell>
          <cell r="K84">
            <v>21857100</v>
          </cell>
          <cell r="L84" t="e">
            <v>#N/A</v>
          </cell>
        </row>
        <row r="85">
          <cell r="B85">
            <v>148</v>
          </cell>
          <cell r="C85">
            <v>354</v>
          </cell>
          <cell r="D85">
            <v>21</v>
          </cell>
          <cell r="E85" t="str">
            <v>b</v>
          </cell>
          <cell r="F85" t="str">
            <v>354.21b</v>
          </cell>
          <cell r="G85" t="str">
            <v>drct_pyrl_dstrbt</v>
          </cell>
          <cell r="H85">
            <v>20976669</v>
          </cell>
          <cell r="I85">
            <v>21701683</v>
          </cell>
          <cell r="J85">
            <v>21424172</v>
          </cell>
          <cell r="K85">
            <v>22707903</v>
          </cell>
          <cell r="L85">
            <v>23499915</v>
          </cell>
        </row>
        <row r="86">
          <cell r="B86">
            <v>151</v>
          </cell>
          <cell r="C86">
            <v>354</v>
          </cell>
          <cell r="D86">
            <v>27</v>
          </cell>
          <cell r="E86" t="str">
            <v>b</v>
          </cell>
          <cell r="F86" t="str">
            <v>354.27b</v>
          </cell>
          <cell r="G86" t="str">
            <v>drct_pyrl_dstrbt</v>
          </cell>
          <cell r="H86">
            <v>39151807</v>
          </cell>
          <cell r="I86">
            <v>6194912</v>
          </cell>
          <cell r="J86">
            <v>39620131</v>
          </cell>
          <cell r="K86">
            <v>41949915</v>
          </cell>
          <cell r="L86">
            <v>43097996</v>
          </cell>
        </row>
        <row r="87">
          <cell r="B87">
            <v>152</v>
          </cell>
          <cell r="C87">
            <v>354</v>
          </cell>
          <cell r="D87">
            <v>28</v>
          </cell>
          <cell r="E87" t="str">
            <v>b</v>
          </cell>
          <cell r="F87" t="str">
            <v>354.28b</v>
          </cell>
          <cell r="G87" t="str">
            <v>drct_pyrl_dstrbt</v>
          </cell>
          <cell r="H87">
            <v>354492178</v>
          </cell>
          <cell r="I87">
            <v>361424755</v>
          </cell>
          <cell r="J87">
            <v>352150935</v>
          </cell>
          <cell r="K87">
            <v>357213635</v>
          </cell>
          <cell r="L87">
            <v>363265480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Final Summary Sheet"/>
      <sheetName val="2012 data (2013 projection)"/>
    </sheetNames>
    <sheetDataSet>
      <sheetData sheetId="0" refreshError="1"/>
      <sheetData sheetId="1">
        <row r="132">
          <cell r="AB132">
            <v>0</v>
          </cell>
          <cell r="AC132">
            <v>0</v>
          </cell>
          <cell r="AD132">
            <v>0</v>
          </cell>
          <cell r="AE132">
            <v>0</v>
          </cell>
          <cell r="AF132">
            <v>0</v>
          </cell>
          <cell r="AG132">
            <v>0</v>
          </cell>
          <cell r="AH132">
            <v>0</v>
          </cell>
          <cell r="AI132">
            <v>0</v>
          </cell>
          <cell r="AJ132">
            <v>0</v>
          </cell>
          <cell r="AK132">
            <v>0</v>
          </cell>
          <cell r="AL132">
            <v>0</v>
          </cell>
          <cell r="AM132">
            <v>0</v>
          </cell>
        </row>
        <row r="133">
          <cell r="AB133">
            <v>-20999.920000000002</v>
          </cell>
          <cell r="AC133">
            <v>66350.159999999989</v>
          </cell>
          <cell r="AD133">
            <v>827519.35000000009</v>
          </cell>
          <cell r="AE133">
            <v>10000</v>
          </cell>
          <cell r="AF133">
            <v>10000</v>
          </cell>
          <cell r="AG133">
            <v>10000</v>
          </cell>
          <cell r="AH133">
            <v>30000</v>
          </cell>
          <cell r="AI133">
            <v>10000</v>
          </cell>
          <cell r="AJ133">
            <v>10000</v>
          </cell>
          <cell r="AK133">
            <v>10000</v>
          </cell>
          <cell r="AL133">
            <v>10000</v>
          </cell>
          <cell r="AM133">
            <v>10000</v>
          </cell>
        </row>
        <row r="134">
          <cell r="AB134">
            <v>-390.07000000000016</v>
          </cell>
          <cell r="AC134">
            <v>0</v>
          </cell>
          <cell r="AD134">
            <v>0</v>
          </cell>
          <cell r="AE134">
            <v>0</v>
          </cell>
          <cell r="AF134">
            <v>345596138.16000003</v>
          </cell>
          <cell r="AG134">
            <v>11111733</v>
          </cell>
          <cell r="AH134">
            <v>2150747</v>
          </cell>
          <cell r="AI134">
            <v>1463558</v>
          </cell>
          <cell r="AJ134">
            <v>1149487</v>
          </cell>
          <cell r="AK134">
            <v>921751</v>
          </cell>
          <cell r="AL134">
            <v>473400</v>
          </cell>
          <cell r="AM134">
            <v>105336</v>
          </cell>
        </row>
        <row r="135">
          <cell r="AB135">
            <v>0</v>
          </cell>
          <cell r="AC135">
            <v>0</v>
          </cell>
          <cell r="AD135">
            <v>0</v>
          </cell>
          <cell r="AE135">
            <v>0</v>
          </cell>
          <cell r="AF135">
            <v>0</v>
          </cell>
          <cell r="AG135">
            <v>0</v>
          </cell>
          <cell r="AH135">
            <v>0</v>
          </cell>
          <cell r="AI135">
            <v>0</v>
          </cell>
          <cell r="AJ135">
            <v>0</v>
          </cell>
          <cell r="AK135">
            <v>0</v>
          </cell>
          <cell r="AL135">
            <v>0</v>
          </cell>
          <cell r="AM135">
            <v>0</v>
          </cell>
        </row>
        <row r="136">
          <cell r="AB136">
            <v>0</v>
          </cell>
          <cell r="AC136">
            <v>0</v>
          </cell>
          <cell r="AD136">
            <v>0</v>
          </cell>
          <cell r="AE136">
            <v>0</v>
          </cell>
          <cell r="AF136">
            <v>0</v>
          </cell>
          <cell r="AG136">
            <v>0</v>
          </cell>
          <cell r="AH136">
            <v>0</v>
          </cell>
          <cell r="AI136">
            <v>0</v>
          </cell>
          <cell r="AJ136">
            <v>0</v>
          </cell>
          <cell r="AK136">
            <v>0</v>
          </cell>
          <cell r="AL136">
            <v>0</v>
          </cell>
          <cell r="AM136">
            <v>0</v>
          </cell>
        </row>
        <row r="137">
          <cell r="AB137">
            <v>-37897.029999998893</v>
          </cell>
          <cell r="AC137">
            <v>119152.57000000028</v>
          </cell>
          <cell r="AD137">
            <v>1511930.7099999997</v>
          </cell>
          <cell r="AE137">
            <v>0</v>
          </cell>
          <cell r="AF137">
            <v>5349832.6900000004</v>
          </cell>
          <cell r="AG137">
            <v>145213</v>
          </cell>
          <cell r="AH137">
            <v>0</v>
          </cell>
          <cell r="AI137">
            <v>0</v>
          </cell>
          <cell r="AJ137">
            <v>0</v>
          </cell>
          <cell r="AK137">
            <v>0</v>
          </cell>
          <cell r="AL137">
            <v>0</v>
          </cell>
          <cell r="AM137">
            <v>0</v>
          </cell>
        </row>
        <row r="138">
          <cell r="AB138">
            <v>0</v>
          </cell>
          <cell r="AC138">
            <v>0</v>
          </cell>
          <cell r="AD138">
            <v>0</v>
          </cell>
          <cell r="AE138">
            <v>0</v>
          </cell>
          <cell r="AF138">
            <v>2000000</v>
          </cell>
          <cell r="AG138">
            <v>0</v>
          </cell>
          <cell r="AH138">
            <v>0</v>
          </cell>
          <cell r="AI138">
            <v>0</v>
          </cell>
          <cell r="AJ138">
            <v>0</v>
          </cell>
          <cell r="AK138">
            <v>0</v>
          </cell>
          <cell r="AL138">
            <v>0</v>
          </cell>
          <cell r="AM138">
            <v>0</v>
          </cell>
        </row>
        <row r="139">
          <cell r="AB139">
            <v>0</v>
          </cell>
          <cell r="AC139">
            <v>0</v>
          </cell>
          <cell r="AD139">
            <v>190296.69</v>
          </cell>
          <cell r="AE139">
            <v>-190296.69</v>
          </cell>
          <cell r="AF139">
            <v>0</v>
          </cell>
          <cell r="AG139">
            <v>0</v>
          </cell>
          <cell r="AH139">
            <v>0</v>
          </cell>
          <cell r="AI139">
            <v>0</v>
          </cell>
          <cell r="AJ139">
            <v>0</v>
          </cell>
          <cell r="AK139">
            <v>0</v>
          </cell>
          <cell r="AL139">
            <v>0</v>
          </cell>
          <cell r="AM139">
            <v>0</v>
          </cell>
        </row>
        <row r="140">
          <cell r="AB140">
            <v>3992288.5300000007</v>
          </cell>
          <cell r="AC140">
            <v>7625573.330000001</v>
          </cell>
          <cell r="AD140">
            <v>5693982.3799999999</v>
          </cell>
          <cell r="AE140">
            <v>10184079.280000003</v>
          </cell>
          <cell r="AF140">
            <v>16641004.163303988</v>
          </cell>
          <cell r="AG140">
            <v>37416529.201457046</v>
          </cell>
          <cell r="AH140">
            <v>7905111.2525474746</v>
          </cell>
          <cell r="AI140">
            <v>8893021.5248183459</v>
          </cell>
          <cell r="AJ140">
            <v>13926173.173849482</v>
          </cell>
          <cell r="AK140">
            <v>22098349.088597469</v>
          </cell>
          <cell r="AL140">
            <v>14469713.982168067</v>
          </cell>
          <cell r="AM140">
            <v>9599588.802168062</v>
          </cell>
        </row>
        <row r="141">
          <cell r="AB141">
            <v>3933001.5100000016</v>
          </cell>
          <cell r="AC141">
            <v>7811076.0600000015</v>
          </cell>
          <cell r="AD141">
            <v>8223729.129999999</v>
          </cell>
          <cell r="AE141">
            <v>10003782.590000004</v>
          </cell>
          <cell r="AF141">
            <v>369596975.013304</v>
          </cell>
          <cell r="AG141">
            <v>48683475.201457046</v>
          </cell>
          <cell r="AH141">
            <v>10085858.252547475</v>
          </cell>
          <cell r="AI141">
            <v>10366579.524818346</v>
          </cell>
          <cell r="AJ141">
            <v>15085660.173849482</v>
          </cell>
          <cell r="AK141">
            <v>23030100.088597469</v>
          </cell>
          <cell r="AL141">
            <v>14953113.982168067</v>
          </cell>
          <cell r="AM141">
            <v>9714924.802168062</v>
          </cell>
        </row>
      </sheetData>
      <sheetData sheetId="2">
        <row r="5">
          <cell r="C5">
            <v>3933001.5100000016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Sreenivasan, Preethi" id="{D9BD2225-511B-46E0-A843-4C462A5322CB}" userId="S::52887@fenetwork.com::28b35d3f-d722-42ed-b3e4-f0c50138b0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6" dT="2024-06-06T18:47:19.29" personId="{D9BD2225-511B-46E0-A843-4C462A5322CB}" id="{0278AB86-2CCF-4866-ABF3-BE979207B858}">
    <text>$54523 is added depr exp related to in-service adjustments - see file "SFC in-serv adjustments by month 2023"</text>
  </threadedComment>
  <threadedComment ref="D127" dT="2024-06-06T18:47:40.98" personId="{D9BD2225-511B-46E0-A843-4C462A5322CB}" id="{838EC3BE-C983-4742-A9D7-E4FF5F1C7599}">
    <text>$145991 is added depr exp related to in-service adjustments - see file "SFC in-serv adjustments by month 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O20" dT="2023-06-15T01:10:16.28" personId="{D9BD2225-511B-46E0-A843-4C462A5322CB}" id="{66B69456-464D-41A7-8ED6-25FB64E5A930}">
    <text>AGC expense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6.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U368"/>
  <sheetViews>
    <sheetView tabSelected="1" view="pageBreakPreview" zoomScale="70" zoomScaleNormal="70" zoomScaleSheetLayoutView="70" workbookViewId="0"/>
  </sheetViews>
  <sheetFormatPr defaultColWidth="8.88671875" defaultRowHeight="15.75"/>
  <cols>
    <col min="1" max="1" width="5.88671875" style="510" bestFit="1" customWidth="1"/>
    <col min="2" max="2" width="44.44140625" style="510" customWidth="1"/>
    <col min="3" max="3" width="57.33203125" style="510" customWidth="1"/>
    <col min="4" max="4" width="23.5546875" style="510" bestFit="1" customWidth="1"/>
    <col min="5" max="5" width="10.33203125" style="510" customWidth="1"/>
    <col min="6" max="6" width="21.21875" style="510" bestFit="1" customWidth="1"/>
    <col min="7" max="7" width="13" style="510" bestFit="1" customWidth="1"/>
    <col min="8" max="8" width="4.109375" style="510" customWidth="1"/>
    <col min="9" max="9" width="18.109375" style="510" customWidth="1"/>
    <col min="10" max="10" width="15.6640625" style="510" customWidth="1"/>
    <col min="11" max="11" width="16.109375" style="510" customWidth="1"/>
    <col min="12" max="12" width="15.5546875" style="620" customWidth="1"/>
    <col min="13" max="13" width="10.88671875" style="510" customWidth="1"/>
    <col min="14" max="14" width="10.44140625" style="510" customWidth="1"/>
    <col min="15" max="15" width="10.5546875" style="510" customWidth="1"/>
    <col min="16" max="16384" width="8.88671875" style="510"/>
  </cols>
  <sheetData>
    <row r="1" spans="1:14" ht="16.5" customHeight="1">
      <c r="B1" s="511"/>
      <c r="C1" s="511"/>
      <c r="D1" s="512"/>
      <c r="E1" s="511"/>
      <c r="F1" s="511"/>
      <c r="G1" s="511"/>
      <c r="H1" s="511"/>
      <c r="I1" s="511"/>
      <c r="K1" s="3" t="s">
        <v>939</v>
      </c>
      <c r="L1" s="511"/>
      <c r="M1" s="511"/>
      <c r="N1" s="511"/>
    </row>
    <row r="2" spans="1:14" ht="16.5" customHeight="1">
      <c r="B2" s="511"/>
      <c r="C2" s="511"/>
      <c r="D2" s="512"/>
      <c r="E2" s="511"/>
      <c r="F2" s="511"/>
      <c r="G2" s="511"/>
      <c r="H2" s="511"/>
      <c r="I2" s="511"/>
      <c r="J2" s="511"/>
      <c r="K2" s="513" t="s">
        <v>0</v>
      </c>
      <c r="L2" s="511"/>
      <c r="M2" s="511"/>
      <c r="N2" s="511"/>
    </row>
    <row r="3" spans="1:14" ht="16.5" customHeight="1">
      <c r="B3" s="511"/>
      <c r="C3" s="511"/>
      <c r="D3" s="512"/>
      <c r="E3" s="511"/>
      <c r="F3" s="511"/>
      <c r="G3" s="511"/>
      <c r="H3" s="511"/>
      <c r="I3" s="511"/>
      <c r="J3" s="511"/>
      <c r="K3" s="511"/>
      <c r="L3" s="511"/>
      <c r="M3" s="511"/>
      <c r="N3" s="511"/>
    </row>
    <row r="4" spans="1:14">
      <c r="B4" s="511" t="s">
        <v>1</v>
      </c>
      <c r="C4" s="511"/>
      <c r="D4" s="512" t="s">
        <v>2</v>
      </c>
      <c r="E4" s="511"/>
      <c r="F4" s="511"/>
      <c r="G4" s="511"/>
      <c r="H4" s="514"/>
      <c r="I4" s="515"/>
      <c r="J4" s="514"/>
      <c r="K4" s="32" t="s">
        <v>1359</v>
      </c>
      <c r="L4" s="511"/>
      <c r="M4" s="511"/>
      <c r="N4" s="511"/>
    </row>
    <row r="5" spans="1:14">
      <c r="B5" s="511"/>
      <c r="C5" s="516"/>
      <c r="D5" s="516" t="s">
        <v>4</v>
      </c>
      <c r="E5" s="516"/>
      <c r="F5" s="516"/>
      <c r="G5" s="516"/>
      <c r="H5" s="511"/>
      <c r="I5" s="511"/>
      <c r="J5" s="511"/>
      <c r="K5" s="511"/>
      <c r="L5" s="511"/>
      <c r="M5" s="511"/>
      <c r="N5" s="511"/>
    </row>
    <row r="6" spans="1:14">
      <c r="B6" s="511"/>
      <c r="C6" s="511"/>
      <c r="D6" s="511"/>
      <c r="E6" s="511"/>
      <c r="F6" s="511"/>
      <c r="G6" s="511"/>
      <c r="H6" s="511"/>
      <c r="I6" s="511"/>
      <c r="J6" s="511"/>
      <c r="K6" s="511"/>
      <c r="L6" s="511"/>
      <c r="M6" s="511"/>
      <c r="N6" s="511"/>
    </row>
    <row r="7" spans="1:14">
      <c r="A7" s="517"/>
      <c r="B7" s="511"/>
      <c r="C7" s="511"/>
      <c r="D7" s="794" t="s">
        <v>964</v>
      </c>
      <c r="E7" s="511"/>
      <c r="F7" s="511"/>
      <c r="G7" s="511"/>
      <c r="H7" s="511"/>
      <c r="I7" s="511"/>
      <c r="J7" s="511"/>
      <c r="K7" s="511"/>
      <c r="L7" s="511"/>
      <c r="M7" s="511"/>
      <c r="N7" s="511"/>
    </row>
    <row r="8" spans="1:14">
      <c r="A8" s="517"/>
      <c r="B8" s="517" t="s">
        <v>18</v>
      </c>
      <c r="C8" s="517" t="s">
        <v>19</v>
      </c>
      <c r="D8" s="517" t="s">
        <v>20</v>
      </c>
      <c r="E8" s="516" t="s">
        <v>3</v>
      </c>
      <c r="F8" s="516"/>
      <c r="G8" s="519" t="s">
        <v>21</v>
      </c>
      <c r="H8" s="516"/>
      <c r="I8" s="520" t="s">
        <v>22</v>
      </c>
      <c r="J8" s="511"/>
      <c r="K8" s="511"/>
      <c r="L8" s="511"/>
      <c r="M8" s="511"/>
      <c r="N8" s="511"/>
    </row>
    <row r="9" spans="1:14">
      <c r="A9" s="517" t="s">
        <v>5</v>
      </c>
      <c r="B9" s="511"/>
      <c r="C9" s="511"/>
      <c r="D9" s="518"/>
      <c r="E9" s="511"/>
      <c r="F9" s="511"/>
      <c r="G9" s="511"/>
      <c r="H9" s="511"/>
      <c r="I9" s="517" t="s">
        <v>6</v>
      </c>
      <c r="J9" s="511"/>
      <c r="K9" s="511"/>
      <c r="L9" s="511"/>
      <c r="M9" s="511"/>
      <c r="N9" s="511"/>
    </row>
    <row r="10" spans="1:14" ht="16.5" thickBot="1">
      <c r="A10" s="521" t="s">
        <v>7</v>
      </c>
      <c r="B10" s="511"/>
      <c r="C10" s="511"/>
      <c r="D10" s="511"/>
      <c r="E10" s="511"/>
      <c r="F10" s="511"/>
      <c r="G10" s="517"/>
      <c r="H10" s="511"/>
      <c r="I10" s="521" t="s">
        <v>8</v>
      </c>
      <c r="J10" s="1075"/>
      <c r="K10" s="1076"/>
      <c r="L10" s="511"/>
      <c r="M10" s="511"/>
      <c r="N10" s="511"/>
    </row>
    <row r="11" spans="1:14">
      <c r="A11" s="517">
        <v>1</v>
      </c>
      <c r="B11" s="2" t="s">
        <v>1084</v>
      </c>
      <c r="C11" s="511"/>
      <c r="D11" s="516"/>
      <c r="E11" s="511"/>
      <c r="F11" s="511"/>
      <c r="G11" s="511"/>
      <c r="H11" s="511"/>
      <c r="I11" s="522">
        <f>I167</f>
        <v>48658330.106614612</v>
      </c>
      <c r="J11" s="1077"/>
      <c r="K11" s="1078"/>
      <c r="L11" s="511"/>
      <c r="M11" s="511"/>
      <c r="N11" s="511"/>
    </row>
    <row r="12" spans="1:14">
      <c r="A12" s="517"/>
      <c r="B12" s="511"/>
      <c r="C12" s="511"/>
      <c r="D12" s="511"/>
      <c r="E12" s="511"/>
      <c r="F12" s="511"/>
      <c r="G12" s="524"/>
      <c r="H12" s="511"/>
      <c r="I12" s="516"/>
      <c r="J12" s="1077"/>
      <c r="K12" s="1078"/>
      <c r="L12" s="511"/>
      <c r="M12" s="511"/>
      <c r="N12" s="511"/>
    </row>
    <row r="13" spans="1:14" ht="16.5" thickBot="1">
      <c r="A13" s="517" t="s">
        <v>3</v>
      </c>
      <c r="B13" s="511" t="s">
        <v>95</v>
      </c>
      <c r="C13" s="656" t="s">
        <v>1095</v>
      </c>
      <c r="D13" s="521" t="s">
        <v>9</v>
      </c>
      <c r="E13" s="516"/>
      <c r="F13" s="896" t="s">
        <v>10</v>
      </c>
      <c r="G13" s="526"/>
      <c r="H13" s="511"/>
      <c r="I13" s="516"/>
      <c r="J13" s="1077"/>
      <c r="K13" s="1078"/>
      <c r="L13" s="511"/>
      <c r="M13" s="511"/>
      <c r="N13" s="511"/>
    </row>
    <row r="14" spans="1:14">
      <c r="A14" s="517">
        <v>2</v>
      </c>
      <c r="B14" s="511" t="s">
        <v>421</v>
      </c>
      <c r="C14" s="656" t="s">
        <v>857</v>
      </c>
      <c r="D14" s="527">
        <f>I257</f>
        <v>0</v>
      </c>
      <c r="E14" s="516"/>
      <c r="F14" s="656" t="s">
        <v>12</v>
      </c>
      <c r="G14" s="528">
        <f>I196</f>
        <v>0.96257254315726037</v>
      </c>
      <c r="H14" s="511"/>
      <c r="I14" s="529">
        <f t="shared" ref="I14:I18" si="0">+G14*D14</f>
        <v>0</v>
      </c>
      <c r="J14" s="1077"/>
      <c r="K14" s="1078"/>
      <c r="L14" s="511"/>
      <c r="M14" s="511"/>
      <c r="N14" s="511"/>
    </row>
    <row r="15" spans="1:14">
      <c r="A15" s="517">
        <v>3</v>
      </c>
      <c r="B15" s="511" t="s">
        <v>11</v>
      </c>
      <c r="C15" s="656" t="s">
        <v>858</v>
      </c>
      <c r="D15" s="530">
        <f>I259</f>
        <v>157066.80415848619</v>
      </c>
      <c r="E15" s="516"/>
      <c r="F15" s="516" t="s">
        <v>12</v>
      </c>
      <c r="G15" s="528">
        <f>I196</f>
        <v>0.96257254315726037</v>
      </c>
      <c r="H15" s="516"/>
      <c r="I15" s="529">
        <f t="shared" si="0"/>
        <v>151188.19312441742</v>
      </c>
      <c r="J15" s="1077"/>
      <c r="K15" s="1078"/>
      <c r="L15" s="511"/>
      <c r="M15" s="511"/>
      <c r="N15" s="511"/>
    </row>
    <row r="16" spans="1:14">
      <c r="A16" s="517">
        <v>4</v>
      </c>
      <c r="B16" s="511" t="s">
        <v>456</v>
      </c>
      <c r="C16" s="656" t="s">
        <v>859</v>
      </c>
      <c r="D16" s="530">
        <f>I261</f>
        <v>410384.31</v>
      </c>
      <c r="E16" s="516"/>
      <c r="F16" s="656" t="s">
        <v>12</v>
      </c>
      <c r="G16" s="528">
        <f>I196</f>
        <v>0.96257254315726037</v>
      </c>
      <c r="H16" s="516"/>
      <c r="I16" s="529">
        <f t="shared" si="0"/>
        <v>395024.6689485375</v>
      </c>
      <c r="J16" s="1077"/>
      <c r="K16" s="1078"/>
      <c r="L16" s="511"/>
      <c r="M16" s="511"/>
      <c r="N16" s="511"/>
    </row>
    <row r="17" spans="1:14">
      <c r="A17" s="517">
        <v>5</v>
      </c>
      <c r="B17" s="2" t="s">
        <v>1089</v>
      </c>
      <c r="C17" s="656" t="s">
        <v>1044</v>
      </c>
      <c r="D17" s="530">
        <f>I265</f>
        <v>0</v>
      </c>
      <c r="E17" s="516"/>
      <c r="F17" s="656" t="s">
        <v>12</v>
      </c>
      <c r="G17" s="528">
        <f>I196</f>
        <v>0.96257254315726037</v>
      </c>
      <c r="H17" s="516"/>
      <c r="I17" s="529">
        <f t="shared" si="0"/>
        <v>0</v>
      </c>
      <c r="J17" s="1077"/>
      <c r="K17" s="1078"/>
      <c r="L17" s="511"/>
      <c r="M17" s="511"/>
      <c r="N17" s="511"/>
    </row>
    <row r="18" spans="1:14">
      <c r="A18" s="517">
        <v>6</v>
      </c>
      <c r="B18" s="2" t="s">
        <v>1090</v>
      </c>
      <c r="C18" s="656" t="s">
        <v>1045</v>
      </c>
      <c r="D18" s="530">
        <f>I267</f>
        <v>0</v>
      </c>
      <c r="E18" s="516"/>
      <c r="F18" s="656" t="s">
        <v>299</v>
      </c>
      <c r="G18" s="528">
        <v>1</v>
      </c>
      <c r="H18" s="516"/>
      <c r="I18" s="529">
        <f t="shared" si="0"/>
        <v>0</v>
      </c>
      <c r="J18" s="1077"/>
      <c r="K18" s="1078"/>
      <c r="L18" s="511"/>
      <c r="M18" s="511"/>
      <c r="N18" s="511"/>
    </row>
    <row r="19" spans="1:14">
      <c r="A19" s="517">
        <v>7</v>
      </c>
      <c r="B19" s="516" t="s">
        <v>444</v>
      </c>
      <c r="C19" s="656" t="s">
        <v>768</v>
      </c>
      <c r="D19" s="654">
        <f>'Attachment 11 - TEC'!O78</f>
        <v>332164.50261033338</v>
      </c>
      <c r="E19" s="516"/>
      <c r="F19" s="656" t="s">
        <v>299</v>
      </c>
      <c r="G19" s="528">
        <v>1</v>
      </c>
      <c r="H19" s="516"/>
      <c r="I19" s="892">
        <f>D19*G19</f>
        <v>332164.50261033338</v>
      </c>
      <c r="J19" s="1077"/>
      <c r="K19" s="1078"/>
      <c r="L19" s="516"/>
      <c r="N19" s="511"/>
    </row>
    <row r="20" spans="1:14">
      <c r="A20" s="517">
        <v>8</v>
      </c>
      <c r="B20" s="2" t="s">
        <v>1085</v>
      </c>
      <c r="C20" s="511"/>
      <c r="D20" s="890">
        <f>SUM(D14:D19)</f>
        <v>899615.61676881963</v>
      </c>
      <c r="E20" s="516"/>
      <c r="F20" s="516"/>
      <c r="G20" s="528"/>
      <c r="H20" s="516"/>
      <c r="I20" s="891">
        <f>SUM(I14:I19)</f>
        <v>878377.36468328827</v>
      </c>
      <c r="J20" s="1077"/>
      <c r="K20" s="1078"/>
      <c r="L20" s="511"/>
      <c r="N20" s="511"/>
    </row>
    <row r="21" spans="1:14">
      <c r="A21" s="517"/>
      <c r="B21" s="511"/>
      <c r="C21" s="511"/>
      <c r="D21" s="532"/>
      <c r="E21" s="516"/>
      <c r="F21" s="516"/>
      <c r="G21" s="528"/>
      <c r="H21" s="516"/>
      <c r="I21" s="533"/>
      <c r="J21" s="1075"/>
      <c r="K21" s="1078"/>
      <c r="L21" s="3"/>
      <c r="N21" s="511"/>
    </row>
    <row r="22" spans="1:14">
      <c r="A22" s="517">
        <v>9</v>
      </c>
      <c r="B22" s="1015" t="s">
        <v>437</v>
      </c>
      <c r="C22" s="2" t="s">
        <v>1168</v>
      </c>
      <c r="D22" s="534"/>
      <c r="E22" s="516"/>
      <c r="F22" s="516"/>
      <c r="G22" s="528"/>
      <c r="H22" s="516"/>
      <c r="I22" s="535">
        <v>0</v>
      </c>
      <c r="J22" s="1075"/>
      <c r="K22" s="1078"/>
      <c r="L22" s="511"/>
      <c r="N22" s="511"/>
    </row>
    <row r="23" spans="1:14" ht="15.75" customHeight="1">
      <c r="A23" s="517">
        <v>10</v>
      </c>
      <c r="B23" s="511" t="s">
        <v>436</v>
      </c>
      <c r="C23" s="2" t="s">
        <v>1083</v>
      </c>
      <c r="D23" s="536"/>
      <c r="E23" s="516"/>
      <c r="F23" s="516"/>
      <c r="G23" s="516"/>
      <c r="H23" s="516"/>
      <c r="I23" s="889">
        <f>I11-I20+I22</f>
        <v>47779952.741931327</v>
      </c>
      <c r="J23" s="1077"/>
      <c r="K23" s="1078"/>
      <c r="L23" s="511"/>
      <c r="N23" s="511"/>
    </row>
    <row r="24" spans="1:14" ht="17.25" customHeight="1">
      <c r="A24" s="517"/>
      <c r="B24" s="511"/>
      <c r="C24" s="511"/>
      <c r="D24" s="536"/>
      <c r="E24" s="516"/>
      <c r="F24" s="516"/>
      <c r="G24" s="516"/>
      <c r="H24" s="516"/>
      <c r="I24" s="537"/>
      <c r="J24" s="523"/>
      <c r="K24" s="535"/>
      <c r="L24" s="511"/>
      <c r="N24" s="511"/>
    </row>
    <row r="25" spans="1:14" ht="17.25" customHeight="1">
      <c r="A25" s="517"/>
      <c r="B25" s="2"/>
      <c r="C25" s="511"/>
      <c r="D25" s="536"/>
      <c r="E25" s="516"/>
      <c r="F25" s="516"/>
      <c r="G25" s="516"/>
      <c r="H25" s="516"/>
      <c r="I25" s="537"/>
      <c r="J25" s="529"/>
      <c r="K25" s="535"/>
      <c r="L25" s="511"/>
      <c r="N25" s="511"/>
    </row>
    <row r="26" spans="1:14">
      <c r="A26" s="517"/>
      <c r="B26" s="511"/>
      <c r="C26" s="511"/>
      <c r="D26" s="536"/>
      <c r="E26" s="516"/>
      <c r="F26" s="516"/>
      <c r="G26" s="516"/>
      <c r="H26" s="516"/>
      <c r="I26" s="537"/>
      <c r="J26" s="511"/>
      <c r="K26" s="525"/>
      <c r="L26" s="511"/>
      <c r="N26" s="511"/>
    </row>
    <row r="27" spans="1:14">
      <c r="A27" s="517"/>
      <c r="C27" s="516"/>
      <c r="I27" s="516"/>
      <c r="J27" s="511"/>
      <c r="K27" s="525"/>
      <c r="L27" s="511"/>
      <c r="N27" s="511"/>
    </row>
    <row r="28" spans="1:14">
      <c r="A28" s="517"/>
      <c r="B28" s="511"/>
      <c r="C28" s="511"/>
      <c r="D28" s="543"/>
      <c r="E28" s="542"/>
      <c r="F28" s="542"/>
      <c r="G28" s="547"/>
      <c r="H28" s="543"/>
      <c r="I28" s="548"/>
      <c r="J28" s="549"/>
      <c r="K28" s="511" t="s">
        <v>3</v>
      </c>
      <c r="L28" s="511"/>
      <c r="M28" s="511"/>
    </row>
    <row r="29" spans="1:14">
      <c r="A29" s="517"/>
      <c r="B29" s="511"/>
      <c r="C29" s="511"/>
      <c r="D29" s="544"/>
      <c r="E29" s="544"/>
      <c r="F29" s="546"/>
      <c r="G29" s="545"/>
      <c r="H29" s="544"/>
      <c r="I29" s="539"/>
      <c r="J29" s="511"/>
      <c r="K29" s="511" t="s">
        <v>3</v>
      </c>
      <c r="L29" s="511"/>
      <c r="M29" s="511"/>
    </row>
    <row r="30" spans="1:14" ht="16.5" customHeight="1">
      <c r="B30" s="511"/>
      <c r="C30" s="511"/>
      <c r="D30" s="512"/>
      <c r="E30" s="511"/>
      <c r="F30" s="511"/>
      <c r="G30" s="511"/>
      <c r="H30" s="511"/>
      <c r="I30" s="511"/>
      <c r="K30" s="513" t="str">
        <f>K1</f>
        <v>Attachment H -11A</v>
      </c>
      <c r="L30" s="511"/>
      <c r="M30" s="511"/>
    </row>
    <row r="31" spans="1:14" ht="16.5" customHeight="1">
      <c r="B31" s="511"/>
      <c r="C31" s="511"/>
      <c r="D31" s="512"/>
      <c r="E31" s="511"/>
      <c r="F31" s="511"/>
      <c r="G31" s="511"/>
      <c r="H31" s="511"/>
      <c r="I31" s="511"/>
      <c r="J31" s="511"/>
      <c r="K31" s="513" t="s">
        <v>17</v>
      </c>
      <c r="L31" s="511"/>
      <c r="M31" s="511"/>
    </row>
    <row r="32" spans="1:14" ht="16.5" customHeight="1">
      <c r="B32" s="511"/>
      <c r="C32" s="511"/>
      <c r="D32" s="512"/>
      <c r="E32" s="511"/>
      <c r="F32" s="511"/>
      <c r="G32" s="511"/>
      <c r="H32" s="511"/>
      <c r="I32" s="511"/>
      <c r="J32" s="511"/>
      <c r="K32" s="513"/>
      <c r="L32" s="511"/>
      <c r="M32" s="511"/>
    </row>
    <row r="33" spans="1:13">
      <c r="B33" s="511" t="s">
        <v>1</v>
      </c>
      <c r="C33" s="511"/>
      <c r="D33" s="512" t="s">
        <v>2</v>
      </c>
      <c r="E33" s="511"/>
      <c r="F33" s="511"/>
      <c r="G33" s="511"/>
      <c r="H33" s="511"/>
      <c r="J33" s="511"/>
      <c r="K33" s="513" t="str">
        <f>K4</f>
        <v>For the 12 months ended 12/31/2023</v>
      </c>
      <c r="L33" s="511"/>
      <c r="M33" s="511"/>
    </row>
    <row r="34" spans="1:13">
      <c r="B34" s="511"/>
      <c r="C34" s="516" t="s">
        <v>3</v>
      </c>
      <c r="D34" s="516" t="s">
        <v>4</v>
      </c>
      <c r="E34" s="516"/>
      <c r="F34" s="516"/>
      <c r="G34" s="516"/>
      <c r="H34" s="511"/>
      <c r="I34" s="511"/>
      <c r="J34" s="511"/>
      <c r="K34" s="511"/>
      <c r="L34" s="511"/>
      <c r="M34" s="511"/>
    </row>
    <row r="35" spans="1:13">
      <c r="B35" s="511"/>
      <c r="C35" s="516"/>
      <c r="D35" s="516"/>
      <c r="E35" s="516"/>
      <c r="F35" s="516"/>
      <c r="G35" s="516"/>
      <c r="H35" s="511"/>
      <c r="I35" s="511"/>
      <c r="J35" s="511"/>
      <c r="K35" s="511"/>
      <c r="L35" s="511"/>
      <c r="M35" s="511"/>
    </row>
    <row r="36" spans="1:13">
      <c r="B36" s="511"/>
      <c r="C36" s="511"/>
      <c r="D36" s="516" t="str">
        <f>D7</f>
        <v>MON POWER</v>
      </c>
      <c r="E36" s="516"/>
      <c r="F36" s="516"/>
      <c r="G36" s="516"/>
      <c r="H36" s="516"/>
      <c r="I36" s="516"/>
      <c r="J36" s="516"/>
      <c r="K36" s="516"/>
      <c r="L36" s="516"/>
      <c r="M36" s="516"/>
    </row>
    <row r="37" spans="1:13">
      <c r="B37" s="517" t="s">
        <v>18</v>
      </c>
      <c r="C37" s="517" t="s">
        <v>19</v>
      </c>
      <c r="D37" s="517" t="s">
        <v>20</v>
      </c>
      <c r="E37" s="516" t="s">
        <v>3</v>
      </c>
      <c r="F37" s="516"/>
      <c r="G37" s="519" t="s">
        <v>21</v>
      </c>
      <c r="H37" s="516"/>
      <c r="I37" s="520" t="s">
        <v>22</v>
      </c>
      <c r="J37" s="516"/>
      <c r="K37" s="520"/>
      <c r="L37" s="517"/>
      <c r="M37" s="516"/>
    </row>
    <row r="38" spans="1:13">
      <c r="B38" s="511"/>
      <c r="C38" s="550"/>
      <c r="D38" s="516"/>
      <c r="E38" s="516"/>
      <c r="F38" s="516"/>
      <c r="G38" s="517"/>
      <c r="H38" s="516"/>
      <c r="I38" s="551" t="s">
        <v>24</v>
      </c>
      <c r="J38" s="516"/>
      <c r="K38" s="552"/>
      <c r="L38" s="517"/>
      <c r="M38" s="517"/>
    </row>
    <row r="39" spans="1:13">
      <c r="A39" s="517" t="s">
        <v>5</v>
      </c>
      <c r="B39" s="511"/>
      <c r="C39" s="550" t="s">
        <v>280</v>
      </c>
      <c r="D39" s="551" t="s">
        <v>25</v>
      </c>
      <c r="E39" s="553"/>
      <c r="F39" s="551" t="s">
        <v>26</v>
      </c>
      <c r="H39" s="553"/>
      <c r="I39" s="517" t="s">
        <v>27</v>
      </c>
      <c r="J39" s="516"/>
      <c r="K39" s="554"/>
      <c r="L39" s="517"/>
      <c r="M39" s="517"/>
    </row>
    <row r="40" spans="1:13" ht="16.5" thickBot="1">
      <c r="A40" s="521" t="s">
        <v>7</v>
      </c>
      <c r="B40" s="2" t="s">
        <v>28</v>
      </c>
      <c r="C40" s="516"/>
      <c r="D40" s="516"/>
      <c r="E40" s="516"/>
      <c r="F40" s="516"/>
      <c r="G40" s="516"/>
      <c r="H40" s="516"/>
      <c r="I40" s="516"/>
      <c r="J40" s="516"/>
      <c r="K40" s="516"/>
      <c r="L40" s="516"/>
      <c r="M40" s="516"/>
    </row>
    <row r="41" spans="1:13">
      <c r="A41" s="517"/>
      <c r="B41" s="511" t="s">
        <v>29</v>
      </c>
      <c r="C41" s="516"/>
      <c r="D41" s="516"/>
      <c r="E41" s="516"/>
      <c r="F41" s="516"/>
      <c r="G41" s="516"/>
      <c r="H41" s="516"/>
      <c r="I41" s="516"/>
      <c r="J41" s="516"/>
      <c r="L41" s="516"/>
      <c r="M41" s="516"/>
    </row>
    <row r="42" spans="1:13">
      <c r="A42" s="517">
        <v>1</v>
      </c>
      <c r="B42" s="511" t="s">
        <v>30</v>
      </c>
      <c r="C42" s="656" t="s">
        <v>1096</v>
      </c>
      <c r="D42" s="530">
        <f>'Attachment 3 - Gross Plant'!E22</f>
        <v>3037744179.0984626</v>
      </c>
      <c r="E42" s="516"/>
      <c r="F42" s="516" t="s">
        <v>31</v>
      </c>
      <c r="G42" s="556" t="s">
        <v>3</v>
      </c>
      <c r="H42" s="516"/>
      <c r="I42" s="516" t="s">
        <v>3</v>
      </c>
      <c r="J42" s="516"/>
      <c r="K42" s="547"/>
      <c r="L42" s="510"/>
      <c r="M42" s="516"/>
    </row>
    <row r="43" spans="1:13">
      <c r="A43" s="517">
        <v>2</v>
      </c>
      <c r="B43" s="511" t="s">
        <v>32</v>
      </c>
      <c r="C43" s="656" t="s">
        <v>1097</v>
      </c>
      <c r="D43" s="530">
        <f>'Attachment 3 - Gross Plant'!G22</f>
        <v>649733895.68458819</v>
      </c>
      <c r="E43" s="516"/>
      <c r="F43" s="516" t="s">
        <v>12</v>
      </c>
      <c r="G43" s="556">
        <f>I196</f>
        <v>0.96257254315726037</v>
      </c>
      <c r="H43" s="516"/>
      <c r="I43" s="557">
        <f>+G43*D43</f>
        <v>625416008.34458816</v>
      </c>
      <c r="J43" s="516"/>
      <c r="K43" s="547"/>
      <c r="L43" s="510"/>
      <c r="M43" s="516"/>
    </row>
    <row r="44" spans="1:13">
      <c r="A44" s="517">
        <v>3</v>
      </c>
      <c r="B44" s="511" t="s">
        <v>33</v>
      </c>
      <c r="C44" s="656" t="s">
        <v>1098</v>
      </c>
      <c r="D44" s="530">
        <f>'Attachment 3 - Gross Plant'!H22</f>
        <v>2262364552.58253</v>
      </c>
      <c r="E44" s="516"/>
      <c r="F44" s="516" t="s">
        <v>31</v>
      </c>
      <c r="G44" s="556" t="s">
        <v>3</v>
      </c>
      <c r="H44" s="516"/>
      <c r="I44" s="557" t="s">
        <v>3</v>
      </c>
      <c r="J44" s="516"/>
      <c r="K44" s="547"/>
      <c r="L44" s="510"/>
      <c r="M44" s="516"/>
    </row>
    <row r="45" spans="1:13">
      <c r="A45" s="517">
        <v>4</v>
      </c>
      <c r="B45" s="2" t="s">
        <v>34</v>
      </c>
      <c r="C45" s="656" t="s">
        <v>1100</v>
      </c>
      <c r="D45" s="530">
        <f>'Attachment 3 - Gross Plant'!I22+'Attachment 3 - Gross Plant'!J22</f>
        <v>190763228.92076927</v>
      </c>
      <c r="E45" s="516"/>
      <c r="F45" s="656" t="s">
        <v>35</v>
      </c>
      <c r="G45" s="844">
        <f>I213</f>
        <v>3.3119630600369813E-2</v>
      </c>
      <c r="H45" s="516"/>
      <c r="I45" s="530">
        <f>+G45*D45</f>
        <v>6318007.673989662</v>
      </c>
      <c r="J45" s="516"/>
      <c r="K45" s="547"/>
      <c r="L45" s="510"/>
      <c r="M45" s="517"/>
    </row>
    <row r="46" spans="1:13" ht="16.5" thickBot="1">
      <c r="A46" s="517">
        <v>5</v>
      </c>
      <c r="B46" s="511" t="s">
        <v>36</v>
      </c>
      <c r="C46" s="656" t="s">
        <v>1099</v>
      </c>
      <c r="D46" s="558">
        <f>'Attachment 3 - Gross Plant'!K22</f>
        <v>0</v>
      </c>
      <c r="E46" s="516"/>
      <c r="F46" s="516" t="s">
        <v>37</v>
      </c>
      <c r="G46" s="556">
        <f>K218</f>
        <v>3.3119630600369813E-2</v>
      </c>
      <c r="H46" s="516"/>
      <c r="I46" s="559">
        <f>+G46*D46</f>
        <v>0</v>
      </c>
      <c r="J46" s="516"/>
      <c r="K46" s="547"/>
      <c r="L46" s="510"/>
      <c r="M46" s="517"/>
    </row>
    <row r="47" spans="1:13">
      <c r="A47" s="517">
        <v>6</v>
      </c>
      <c r="B47" s="511" t="s">
        <v>833</v>
      </c>
      <c r="C47" s="516"/>
      <c r="D47" s="557">
        <f>SUM(D42:D46)</f>
        <v>6140605856.2863503</v>
      </c>
      <c r="E47" s="516"/>
      <c r="F47" s="516" t="s">
        <v>38</v>
      </c>
      <c r="G47" s="888">
        <f>IF(I47&gt;0,I47/D47,0)</f>
        <v>0.10287812486317614</v>
      </c>
      <c r="H47" s="516"/>
      <c r="I47" s="557">
        <f>SUM(I42:I46)</f>
        <v>631734016.01857781</v>
      </c>
      <c r="J47" s="516"/>
      <c r="K47" s="561"/>
      <c r="L47" s="562"/>
      <c r="M47" s="516"/>
    </row>
    <row r="48" spans="1:13">
      <c r="B48" s="511"/>
      <c r="C48" s="516"/>
      <c r="D48" s="557"/>
      <c r="E48" s="516"/>
      <c r="F48" s="516"/>
      <c r="G48" s="560"/>
      <c r="H48" s="516"/>
      <c r="I48" s="557"/>
      <c r="J48" s="516"/>
      <c r="K48" s="561"/>
      <c r="L48" s="516"/>
      <c r="M48" s="516"/>
    </row>
    <row r="49" spans="1:13">
      <c r="B49" s="511" t="s">
        <v>39</v>
      </c>
      <c r="C49" s="516"/>
      <c r="D49" s="557"/>
      <c r="E49" s="516"/>
      <c r="F49" s="516"/>
      <c r="G49" s="516"/>
      <c r="H49" s="516"/>
      <c r="I49" s="557"/>
      <c r="J49" s="516"/>
      <c r="K49" s="547"/>
      <c r="L49" s="510"/>
      <c r="M49" s="516"/>
    </row>
    <row r="50" spans="1:13">
      <c r="A50" s="517">
        <v>7</v>
      </c>
      <c r="B50" s="511" t="str">
        <f>+B42</f>
        <v xml:space="preserve">  Production</v>
      </c>
      <c r="C50" s="656" t="s">
        <v>1101</v>
      </c>
      <c r="D50" s="530">
        <f>'Attachment 4 - Accum Depr'!E22</f>
        <v>1238430029.4407692</v>
      </c>
      <c r="E50" s="516"/>
      <c r="F50" s="516" t="str">
        <f>+F42</f>
        <v>NA</v>
      </c>
      <c r="G50" s="556" t="str">
        <f>+G42</f>
        <v xml:space="preserve"> </v>
      </c>
      <c r="H50" s="516"/>
      <c r="I50" s="557" t="s">
        <v>3</v>
      </c>
      <c r="J50" s="516"/>
      <c r="K50" s="547"/>
      <c r="L50" s="510"/>
      <c r="M50" s="516"/>
    </row>
    <row r="51" spans="1:13">
      <c r="A51" s="517">
        <v>8</v>
      </c>
      <c r="B51" s="511" t="str">
        <f>+B43</f>
        <v xml:space="preserve">  Transmission</v>
      </c>
      <c r="C51" s="656" t="s">
        <v>1102</v>
      </c>
      <c r="D51" s="530">
        <f>'Attachment 4 - Accum Depr'!G22</f>
        <v>212979236.68185377</v>
      </c>
      <c r="E51" s="516"/>
      <c r="F51" s="516" t="str">
        <f>+F43</f>
        <v>TP</v>
      </c>
      <c r="G51" s="556">
        <f>I196</f>
        <v>0.96257254315726037</v>
      </c>
      <c r="H51" s="516"/>
      <c r="I51" s="557">
        <f>+G51*D51</f>
        <v>205007965.49254405</v>
      </c>
      <c r="J51" s="516"/>
      <c r="K51" s="547"/>
      <c r="L51" s="516"/>
      <c r="M51" s="516"/>
    </row>
    <row r="52" spans="1:13">
      <c r="A52" s="517">
        <v>9</v>
      </c>
      <c r="B52" s="511" t="str">
        <f>+B44</f>
        <v xml:space="preserve">  Distribution</v>
      </c>
      <c r="C52" s="656" t="s">
        <v>1103</v>
      </c>
      <c r="D52" s="530">
        <f>'Attachment 4 - Accum Depr'!H22</f>
        <v>737472241.71557021</v>
      </c>
      <c r="E52" s="516"/>
      <c r="F52" s="516" t="str">
        <f>+F44</f>
        <v>NA</v>
      </c>
      <c r="G52" s="556" t="str">
        <f>+G44</f>
        <v xml:space="preserve"> </v>
      </c>
      <c r="H52" s="516"/>
      <c r="I52" s="557" t="s">
        <v>3</v>
      </c>
      <c r="J52" s="516"/>
      <c r="K52" s="547"/>
      <c r="L52" s="516"/>
      <c r="M52" s="516"/>
    </row>
    <row r="53" spans="1:13">
      <c r="A53" s="517">
        <v>10</v>
      </c>
      <c r="B53" s="511" t="str">
        <f>+B45</f>
        <v xml:space="preserve">  General &amp; Intangible</v>
      </c>
      <c r="C53" s="656" t="s">
        <v>1104</v>
      </c>
      <c r="D53" s="530">
        <f>'Attachment 4 - Accum Depr'!I22+'Attachment 4 - Accum Depr'!J22</f>
        <v>100253067.45923075</v>
      </c>
      <c r="E53" s="516"/>
      <c r="F53" s="656" t="s">
        <v>35</v>
      </c>
      <c r="G53" s="844">
        <f>I213</f>
        <v>3.3119630600369813E-2</v>
      </c>
      <c r="H53" s="516"/>
      <c r="I53" s="530">
        <f>+G53*D53</f>
        <v>3320344.5608036779</v>
      </c>
      <c r="J53" s="516"/>
      <c r="K53" s="547"/>
      <c r="L53" s="510"/>
      <c r="M53" s="517"/>
    </row>
    <row r="54" spans="1:13" ht="16.5" thickBot="1">
      <c r="A54" s="517">
        <v>11</v>
      </c>
      <c r="B54" s="511" t="str">
        <f>+B46</f>
        <v xml:space="preserve">  Common</v>
      </c>
      <c r="C54" s="656" t="s">
        <v>1105</v>
      </c>
      <c r="D54" s="558">
        <f>'Attachment 4 - Accum Depr'!K22</f>
        <v>0</v>
      </c>
      <c r="E54" s="516"/>
      <c r="F54" s="516" t="str">
        <f>+F46</f>
        <v>CE</v>
      </c>
      <c r="G54" s="556">
        <f>K218</f>
        <v>3.3119630600369813E-2</v>
      </c>
      <c r="H54" s="516"/>
      <c r="I54" s="559">
        <f>+G54*D54</f>
        <v>0</v>
      </c>
      <c r="J54" s="516"/>
      <c r="K54" s="547"/>
      <c r="L54" s="516"/>
      <c r="M54" s="517"/>
    </row>
    <row r="55" spans="1:13">
      <c r="A55" s="517">
        <v>12</v>
      </c>
      <c r="B55" s="2" t="s">
        <v>945</v>
      </c>
      <c r="C55" s="516"/>
      <c r="D55" s="557">
        <f>SUM(D50:D54)</f>
        <v>2289134575.2974238</v>
      </c>
      <c r="E55" s="516"/>
      <c r="F55" s="516"/>
      <c r="G55" s="516"/>
      <c r="H55" s="516"/>
      <c r="I55" s="557">
        <f>SUM(I50:I54)</f>
        <v>208328310.05334774</v>
      </c>
      <c r="J55" s="516"/>
      <c r="K55" s="547"/>
      <c r="L55" s="563"/>
      <c r="M55" s="516"/>
    </row>
    <row r="56" spans="1:13">
      <c r="A56" s="517"/>
      <c r="C56" s="516" t="s">
        <v>3</v>
      </c>
      <c r="E56" s="516"/>
      <c r="F56" s="516"/>
      <c r="G56" s="560"/>
      <c r="H56" s="516"/>
      <c r="I56" s="539"/>
      <c r="J56" s="516"/>
      <c r="K56" s="561"/>
      <c r="L56" s="516"/>
      <c r="M56" s="516"/>
    </row>
    <row r="57" spans="1:13">
      <c r="A57" s="517"/>
      <c r="B57" s="511" t="s">
        <v>42</v>
      </c>
      <c r="C57" s="516"/>
      <c r="D57" s="516"/>
      <c r="E57" s="516"/>
      <c r="F57" s="516"/>
      <c r="G57" s="516"/>
      <c r="H57" s="516"/>
      <c r="I57" s="539"/>
      <c r="J57" s="516"/>
      <c r="K57" s="547"/>
      <c r="L57" s="516"/>
      <c r="M57" s="516"/>
    </row>
    <row r="58" spans="1:13">
      <c r="A58" s="517">
        <v>13</v>
      </c>
      <c r="B58" s="511" t="str">
        <f>+B50</f>
        <v xml:space="preserve">  Production</v>
      </c>
      <c r="C58" s="516" t="s">
        <v>834</v>
      </c>
      <c r="D58" s="557">
        <f>D42-D50</f>
        <v>1799314149.6576934</v>
      </c>
      <c r="E58" s="516"/>
      <c r="F58" s="516"/>
      <c r="G58" s="560"/>
      <c r="H58" s="516"/>
      <c r="I58" s="557" t="s">
        <v>3</v>
      </c>
      <c r="J58" s="516"/>
      <c r="K58" s="561"/>
      <c r="L58" s="516"/>
      <c r="M58" s="516"/>
    </row>
    <row r="59" spans="1:13">
      <c r="A59" s="517">
        <v>14</v>
      </c>
      <c r="B59" s="511" t="str">
        <f>+B51</f>
        <v xml:space="preserve">  Transmission</v>
      </c>
      <c r="C59" s="516" t="s">
        <v>835</v>
      </c>
      <c r="D59" s="557">
        <f>D43-D51</f>
        <v>436754659.00273442</v>
      </c>
      <c r="E59" s="516"/>
      <c r="F59" s="516"/>
      <c r="G59" s="556"/>
      <c r="H59" s="516"/>
      <c r="I59" s="557">
        <f>I43-I51</f>
        <v>420408042.85204411</v>
      </c>
      <c r="J59" s="516"/>
      <c r="K59" s="547"/>
      <c r="L59" s="516"/>
      <c r="M59" s="516"/>
    </row>
    <row r="60" spans="1:13">
      <c r="A60" s="517">
        <v>15</v>
      </c>
      <c r="B60" s="511" t="str">
        <f>+B52</f>
        <v xml:space="preserve">  Distribution</v>
      </c>
      <c r="C60" s="516" t="s">
        <v>836</v>
      </c>
      <c r="D60" s="557">
        <f>D44-D52</f>
        <v>1524892310.8669598</v>
      </c>
      <c r="E60" s="516"/>
      <c r="F60" s="516"/>
      <c r="G60" s="560"/>
      <c r="H60" s="516"/>
      <c r="I60" s="557" t="s">
        <v>3</v>
      </c>
      <c r="J60" s="516"/>
      <c r="K60" s="564"/>
      <c r="L60" s="516"/>
      <c r="M60" s="516"/>
    </row>
    <row r="61" spans="1:13">
      <c r="A61" s="517">
        <v>16</v>
      </c>
      <c r="B61" s="511" t="str">
        <f>+B53</f>
        <v xml:space="preserve">  General &amp; Intangible</v>
      </c>
      <c r="C61" s="516" t="s">
        <v>837</v>
      </c>
      <c r="D61" s="530">
        <f>D45-D53</f>
        <v>90510161.461538523</v>
      </c>
      <c r="E61" s="516"/>
      <c r="F61" s="516"/>
      <c r="G61" s="560"/>
      <c r="H61" s="516"/>
      <c r="I61" s="530">
        <f>I45-I53</f>
        <v>2997663.1131859841</v>
      </c>
      <c r="J61" s="516"/>
      <c r="K61" s="560"/>
      <c r="L61" s="516"/>
      <c r="M61" s="517"/>
    </row>
    <row r="62" spans="1:13" ht="16.5" thickBot="1">
      <c r="A62" s="517">
        <v>17</v>
      </c>
      <c r="B62" s="511" t="str">
        <f>+B54</f>
        <v xml:space="preserve">  Common</v>
      </c>
      <c r="C62" s="516" t="s">
        <v>838</v>
      </c>
      <c r="D62" s="559">
        <f>D46-D54</f>
        <v>0</v>
      </c>
      <c r="E62" s="516"/>
      <c r="F62" s="516"/>
      <c r="G62" s="560"/>
      <c r="H62" s="516"/>
      <c r="I62" s="559">
        <f>I46-I54</f>
        <v>0</v>
      </c>
      <c r="J62" s="516"/>
      <c r="K62" s="560"/>
      <c r="L62" s="516"/>
      <c r="M62" s="517"/>
    </row>
    <row r="63" spans="1:13">
      <c r="A63" s="517">
        <v>18</v>
      </c>
      <c r="B63" s="511" t="s">
        <v>839</v>
      </c>
      <c r="C63" s="516"/>
      <c r="D63" s="557">
        <f>SUM(D58:D62)</f>
        <v>3851471280.9889259</v>
      </c>
      <c r="E63" s="516"/>
      <c r="F63" s="516"/>
      <c r="G63" s="560"/>
      <c r="H63" s="516"/>
      <c r="I63" s="557">
        <f>SUM(I58:I62)</f>
        <v>423405705.96523011</v>
      </c>
      <c r="J63" s="516"/>
      <c r="K63" s="516"/>
      <c r="L63" s="536"/>
      <c r="M63" s="516"/>
    </row>
    <row r="64" spans="1:13">
      <c r="A64" s="517"/>
      <c r="C64" s="516"/>
      <c r="D64" s="557"/>
      <c r="E64" s="516"/>
      <c r="H64" s="516"/>
      <c r="I64" s="557"/>
      <c r="J64" s="516"/>
      <c r="K64" s="560"/>
      <c r="L64" s="516"/>
      <c r="M64" s="516"/>
    </row>
    <row r="65" spans="1:21">
      <c r="A65" s="517"/>
      <c r="B65" s="511" t="s">
        <v>522</v>
      </c>
      <c r="C65" s="516"/>
      <c r="D65" s="557"/>
      <c r="E65" s="516"/>
      <c r="F65" s="516"/>
      <c r="G65" s="516"/>
      <c r="H65" s="516"/>
      <c r="I65" s="557"/>
      <c r="J65" s="516"/>
      <c r="K65" s="516"/>
      <c r="L65" s="510"/>
      <c r="M65" s="516"/>
    </row>
    <row r="66" spans="1:21">
      <c r="A66" s="517">
        <v>19</v>
      </c>
      <c r="B66" s="511" t="s">
        <v>43</v>
      </c>
      <c r="C66" s="656" t="s">
        <v>633</v>
      </c>
      <c r="D66" s="530">
        <f>'Attachment 5 - ADIT Summary'!E10</f>
        <v>0</v>
      </c>
      <c r="E66" s="516"/>
      <c r="F66" s="516" t="str">
        <f>+F50</f>
        <v>NA</v>
      </c>
      <c r="G66" s="565"/>
      <c r="H66" s="516"/>
      <c r="I66" s="557"/>
      <c r="J66" s="516"/>
      <c r="K66" s="560"/>
      <c r="L66" s="566"/>
      <c r="M66" s="517"/>
    </row>
    <row r="67" spans="1:21">
      <c r="A67" s="517">
        <v>20</v>
      </c>
      <c r="B67" s="511" t="s">
        <v>44</v>
      </c>
      <c r="C67" s="656" t="s">
        <v>818</v>
      </c>
      <c r="D67" s="530">
        <f>'Attachment 5 - ADIT Summary'!F10</f>
        <v>-109100670.0956136</v>
      </c>
      <c r="E67" s="516"/>
      <c r="F67" s="516" t="s">
        <v>299</v>
      </c>
      <c r="G67" s="556">
        <v>1</v>
      </c>
      <c r="H67" s="516"/>
      <c r="I67" s="557">
        <f t="shared" ref="I67:I74" si="1">D67*G67</f>
        <v>-109100670.0956136</v>
      </c>
      <c r="J67" s="516"/>
      <c r="K67" s="560"/>
      <c r="L67" s="566"/>
      <c r="M67" s="517"/>
    </row>
    <row r="68" spans="1:21">
      <c r="A68" s="517">
        <v>21</v>
      </c>
      <c r="B68" s="511" t="s">
        <v>45</v>
      </c>
      <c r="C68" s="656" t="s">
        <v>634</v>
      </c>
      <c r="D68" s="567">
        <f>'Attachment 5 - ADIT Summary'!G10</f>
        <v>-2662547.0963887684</v>
      </c>
      <c r="E68" s="516"/>
      <c r="F68" s="516" t="s">
        <v>299</v>
      </c>
      <c r="G68" s="556">
        <f>+G67</f>
        <v>1</v>
      </c>
      <c r="H68" s="516"/>
      <c r="I68" s="557">
        <f t="shared" si="1"/>
        <v>-2662547.0963887684</v>
      </c>
      <c r="J68" s="516"/>
      <c r="K68" s="560"/>
      <c r="L68" s="566"/>
      <c r="M68" s="517"/>
    </row>
    <row r="69" spans="1:21">
      <c r="A69" s="517">
        <v>22</v>
      </c>
      <c r="B69" s="511" t="s">
        <v>46</v>
      </c>
      <c r="C69" s="656" t="s">
        <v>635</v>
      </c>
      <c r="D69" s="567">
        <f>'Attachment 5 - ADIT Summary'!H10</f>
        <v>25488902.904745258</v>
      </c>
      <c r="E69" s="516"/>
      <c r="F69" s="516" t="s">
        <v>299</v>
      </c>
      <c r="G69" s="556">
        <f>+G68</f>
        <v>1</v>
      </c>
      <c r="H69" s="516"/>
      <c r="I69" s="557">
        <f t="shared" si="1"/>
        <v>25488902.904745258</v>
      </c>
      <c r="J69" s="516"/>
      <c r="K69" s="557"/>
      <c r="L69" s="566"/>
      <c r="M69" s="517"/>
    </row>
    <row r="70" spans="1:21">
      <c r="A70" s="517">
        <v>23</v>
      </c>
      <c r="B70" s="510" t="s">
        <v>47</v>
      </c>
      <c r="C70" s="656" t="s">
        <v>636</v>
      </c>
      <c r="D70" s="567">
        <f>'Attachment 5 - ADIT Summary'!I10</f>
        <v>0</v>
      </c>
      <c r="E70" s="516"/>
      <c r="F70" s="516" t="s">
        <v>299</v>
      </c>
      <c r="G70" s="556">
        <f>G69</f>
        <v>1</v>
      </c>
      <c r="H70" s="516"/>
      <c r="I70" s="568">
        <f t="shared" si="1"/>
        <v>0</v>
      </c>
      <c r="J70" s="516"/>
      <c r="K70" s="560"/>
      <c r="L70" s="566"/>
      <c r="M70" s="517"/>
    </row>
    <row r="71" spans="1:21">
      <c r="A71" s="517">
        <v>24</v>
      </c>
      <c r="B71" s="2" t="s">
        <v>1267</v>
      </c>
      <c r="C71" s="1" t="s">
        <v>1164</v>
      </c>
      <c r="D71" s="567">
        <f>'Attachment 14 - Other RB'!AF61</f>
        <v>-164117.51674229131</v>
      </c>
      <c r="E71" s="516"/>
      <c r="F71" s="516" t="s">
        <v>299</v>
      </c>
      <c r="G71" s="556">
        <f>G70</f>
        <v>1</v>
      </c>
      <c r="H71" s="516"/>
      <c r="I71" s="568">
        <f t="shared" si="1"/>
        <v>-164117.51674229131</v>
      </c>
      <c r="J71" s="516"/>
      <c r="K71" s="560"/>
      <c r="L71" s="566"/>
      <c r="M71" s="517"/>
    </row>
    <row r="72" spans="1:21">
      <c r="A72" s="517">
        <v>25</v>
      </c>
      <c r="B72" s="1050" t="s">
        <v>1186</v>
      </c>
      <c r="C72" s="1"/>
      <c r="D72" s="653"/>
      <c r="E72" s="516"/>
      <c r="F72" s="516"/>
      <c r="G72" s="556"/>
      <c r="H72" s="516"/>
      <c r="I72" s="568"/>
      <c r="J72" s="516"/>
      <c r="K72" s="560"/>
      <c r="L72" s="566"/>
      <c r="M72" s="517"/>
    </row>
    <row r="73" spans="1:21">
      <c r="A73" s="517">
        <v>26</v>
      </c>
      <c r="B73" s="510" t="s">
        <v>281</v>
      </c>
      <c r="C73" s="1" t="s">
        <v>1165</v>
      </c>
      <c r="D73" s="567">
        <f>'Attachment 17 - CWIP in RB'!AG14</f>
        <v>0</v>
      </c>
      <c r="E73" s="516"/>
      <c r="F73" s="516" t="s">
        <v>299</v>
      </c>
      <c r="G73" s="556">
        <f>G69</f>
        <v>1</v>
      </c>
      <c r="H73" s="516"/>
      <c r="I73" s="567">
        <f t="shared" si="1"/>
        <v>0</v>
      </c>
      <c r="J73" s="516"/>
      <c r="K73" s="560"/>
      <c r="L73" s="516"/>
      <c r="M73" s="517"/>
    </row>
    <row r="74" spans="1:21" ht="16.5" thickBot="1">
      <c r="A74" s="660">
        <v>27</v>
      </c>
      <c r="B74" s="1" t="s">
        <v>759</v>
      </c>
      <c r="C74" s="1" t="s">
        <v>1166</v>
      </c>
      <c r="D74" s="558">
        <f>'Attachment 19 - Reg Asset'!AA26</f>
        <v>0</v>
      </c>
      <c r="E74" s="516"/>
      <c r="F74" s="656" t="s">
        <v>299</v>
      </c>
      <c r="G74" s="556">
        <v>1</v>
      </c>
      <c r="H74" s="516"/>
      <c r="I74" s="558">
        <f t="shared" si="1"/>
        <v>0</v>
      </c>
      <c r="J74" s="516"/>
      <c r="K74" s="560"/>
      <c r="L74" s="1014"/>
      <c r="M74" s="1014"/>
      <c r="N74" s="1014"/>
      <c r="O74" s="1014"/>
      <c r="P74" s="1014"/>
      <c r="Q74" s="1014"/>
      <c r="R74" s="1014"/>
      <c r="S74" s="1014"/>
      <c r="T74" s="1014"/>
      <c r="U74" s="1014"/>
    </row>
    <row r="75" spans="1:21">
      <c r="A75" s="660">
        <v>28</v>
      </c>
      <c r="B75" s="2" t="s">
        <v>946</v>
      </c>
      <c r="C75" s="516"/>
      <c r="D75" s="530">
        <f>SUM(D66:D74)</f>
        <v>-86438431.803999394</v>
      </c>
      <c r="E75" s="569"/>
      <c r="F75" s="569"/>
      <c r="G75" s="569"/>
      <c r="H75" s="569"/>
      <c r="I75" s="557">
        <f>SUM(I66:I74)</f>
        <v>-86438431.803999394</v>
      </c>
      <c r="J75" s="516"/>
      <c r="K75" s="516"/>
      <c r="L75" s="563"/>
      <c r="M75" s="516"/>
      <c r="N75" s="567"/>
    </row>
    <row r="76" spans="1:21">
      <c r="A76" s="517"/>
      <c r="C76" s="516"/>
      <c r="D76" s="557"/>
      <c r="E76" s="516"/>
      <c r="F76" s="516"/>
      <c r="G76" s="560"/>
      <c r="H76" s="516"/>
      <c r="I76" s="557"/>
      <c r="J76" s="516"/>
      <c r="K76" s="560"/>
      <c r="L76" s="516"/>
      <c r="M76" s="516"/>
    </row>
    <row r="77" spans="1:21">
      <c r="A77" s="660">
        <v>29</v>
      </c>
      <c r="B77" s="2" t="s">
        <v>48</v>
      </c>
      <c r="C77" s="656" t="s">
        <v>1171</v>
      </c>
      <c r="D77" s="654">
        <f>'Attachment 14 - Other RB'!AF20</f>
        <v>0</v>
      </c>
      <c r="E77" s="516"/>
      <c r="F77" s="516" t="str">
        <f>+F51</f>
        <v>TP</v>
      </c>
      <c r="G77" s="556">
        <f>I196</f>
        <v>0.96257254315726037</v>
      </c>
      <c r="H77" s="516"/>
      <c r="I77" s="557">
        <f>+G77*D77</f>
        <v>0</v>
      </c>
      <c r="J77" s="516"/>
      <c r="K77" s="516"/>
      <c r="L77" s="516"/>
      <c r="M77" s="516"/>
    </row>
    <row r="78" spans="1:21">
      <c r="A78" s="660"/>
      <c r="B78" s="2"/>
      <c r="C78" s="656"/>
      <c r="D78" s="661"/>
      <c r="E78" s="516"/>
      <c r="F78" s="516"/>
      <c r="G78" s="516"/>
      <c r="H78" s="516"/>
      <c r="I78" s="557"/>
      <c r="J78" s="516"/>
      <c r="K78" s="516"/>
      <c r="L78" s="516"/>
      <c r="M78" s="516"/>
    </row>
    <row r="79" spans="1:21">
      <c r="A79" s="660">
        <v>30</v>
      </c>
      <c r="B79" s="2" t="s">
        <v>947</v>
      </c>
      <c r="C79" s="656" t="s">
        <v>3</v>
      </c>
      <c r="D79" s="661"/>
      <c r="E79" s="516"/>
      <c r="F79" s="516"/>
      <c r="G79" s="516"/>
      <c r="H79" s="516"/>
      <c r="I79" s="539"/>
      <c r="J79" s="516"/>
      <c r="K79" s="516"/>
      <c r="L79" s="516"/>
      <c r="M79" s="516"/>
    </row>
    <row r="80" spans="1:21" ht="31.5">
      <c r="A80" s="660">
        <v>31</v>
      </c>
      <c r="B80" s="2" t="s">
        <v>49</v>
      </c>
      <c r="C80" s="1067" t="s">
        <v>1325</v>
      </c>
      <c r="D80" s="664">
        <f>(I123-I122-(5947839.04)*I213)/8</f>
        <v>307148.59321858507</v>
      </c>
      <c r="E80" s="516"/>
      <c r="F80" s="516" t="s">
        <v>299</v>
      </c>
      <c r="G80" s="556">
        <v>1</v>
      </c>
      <c r="H80" s="516"/>
      <c r="I80" s="557">
        <f>G80*D80</f>
        <v>307148.59321858507</v>
      </c>
      <c r="J80" s="511"/>
      <c r="K80" s="560"/>
      <c r="L80" s="570"/>
      <c r="M80" s="517"/>
    </row>
    <row r="81" spans="1:13">
      <c r="A81" s="660">
        <v>32</v>
      </c>
      <c r="B81" s="2" t="s">
        <v>948</v>
      </c>
      <c r="C81" s="656" t="s">
        <v>1172</v>
      </c>
      <c r="D81" s="654">
        <f>'Attachment 14 - Other RB'!AF17</f>
        <v>0</v>
      </c>
      <c r="E81" s="516"/>
      <c r="F81" s="516" t="s">
        <v>50</v>
      </c>
      <c r="G81" s="556">
        <f>I205</f>
        <v>0.9580160425044939</v>
      </c>
      <c r="H81" s="516"/>
      <c r="I81" s="557">
        <f>+G81*D81</f>
        <v>0</v>
      </c>
      <c r="J81" s="516" t="s">
        <v>3</v>
      </c>
      <c r="K81" s="560"/>
      <c r="L81" s="570"/>
      <c r="M81" s="517"/>
    </row>
    <row r="82" spans="1:13" ht="16.5" thickBot="1">
      <c r="A82" s="660">
        <v>33</v>
      </c>
      <c r="B82" s="2" t="s">
        <v>51</v>
      </c>
      <c r="C82" s="656" t="s">
        <v>1262</v>
      </c>
      <c r="D82" s="655">
        <f>'Attachment 14 - Other RB'!AF14</f>
        <v>148927.42248599255</v>
      </c>
      <c r="E82" s="516"/>
      <c r="F82" s="516" t="s">
        <v>299</v>
      </c>
      <c r="G82" s="556">
        <v>1</v>
      </c>
      <c r="H82" s="516"/>
      <c r="I82" s="558">
        <f>+G82*D82</f>
        <v>148927.42248599255</v>
      </c>
      <c r="J82" s="516"/>
      <c r="K82" s="560"/>
      <c r="L82" s="570"/>
      <c r="M82" s="517"/>
    </row>
    <row r="83" spans="1:13">
      <c r="A83" s="660">
        <v>34</v>
      </c>
      <c r="B83" s="2" t="s">
        <v>949</v>
      </c>
      <c r="C83" s="2"/>
      <c r="D83" s="654">
        <f>SUM(D80:D82)</f>
        <v>456076.01570457761</v>
      </c>
      <c r="E83" s="511"/>
      <c r="F83" s="511"/>
      <c r="G83" s="511"/>
      <c r="H83" s="511"/>
      <c r="I83" s="557">
        <f>SUM(I80:I82)</f>
        <v>456076.01570457761</v>
      </c>
      <c r="J83" s="511"/>
      <c r="K83" s="511"/>
      <c r="L83" s="512"/>
      <c r="M83" s="516"/>
    </row>
    <row r="84" spans="1:13" ht="16.5" thickBot="1">
      <c r="A84" s="1"/>
      <c r="B84" s="1"/>
      <c r="C84" s="656"/>
      <c r="D84" s="655"/>
      <c r="E84" s="516"/>
      <c r="F84" s="516"/>
      <c r="G84" s="516"/>
      <c r="H84" s="516"/>
      <c r="I84" s="559"/>
      <c r="J84" s="516"/>
      <c r="K84" s="516"/>
      <c r="L84" s="516"/>
      <c r="M84" s="516"/>
    </row>
    <row r="85" spans="1:13" ht="16.5" thickBot="1">
      <c r="A85" s="660">
        <v>35</v>
      </c>
      <c r="B85" s="2" t="s">
        <v>950</v>
      </c>
      <c r="C85" s="656"/>
      <c r="D85" s="662">
        <f>+D83+D77+D75+D63</f>
        <v>3765488925.2006311</v>
      </c>
      <c r="E85" s="516"/>
      <c r="F85" s="516"/>
      <c r="G85" s="560"/>
      <c r="H85" s="516"/>
      <c r="I85" s="571">
        <f>+I83+I77+I75+I63</f>
        <v>337423350.17693532</v>
      </c>
      <c r="J85" s="516"/>
      <c r="K85" s="560"/>
      <c r="L85" s="516"/>
      <c r="M85" s="516"/>
    </row>
    <row r="86" spans="1:13" ht="16.5" thickTop="1">
      <c r="A86" s="517"/>
      <c r="B86" s="511"/>
      <c r="C86" s="516"/>
      <c r="D86" s="548"/>
      <c r="E86" s="516"/>
      <c r="F86" s="516"/>
      <c r="G86" s="560"/>
      <c r="H86" s="516"/>
      <c r="I86" s="516"/>
      <c r="J86" s="516"/>
      <c r="K86" s="560"/>
      <c r="L86" s="516"/>
      <c r="M86" s="516"/>
    </row>
    <row r="87" spans="1:13">
      <c r="A87" s="517"/>
      <c r="B87" s="511"/>
      <c r="C87" s="516"/>
      <c r="D87" s="548"/>
      <c r="E87" s="516"/>
      <c r="F87" s="516"/>
      <c r="G87" s="560"/>
      <c r="H87" s="516"/>
      <c r="I87" s="516"/>
      <c r="J87" s="516"/>
      <c r="K87" s="560"/>
      <c r="L87" s="516"/>
      <c r="M87" s="516"/>
    </row>
    <row r="88" spans="1:13">
      <c r="A88" s="517"/>
      <c r="B88" s="511"/>
      <c r="C88" s="516"/>
      <c r="D88" s="548"/>
      <c r="E88" s="516"/>
      <c r="F88" s="516"/>
      <c r="G88" s="560"/>
      <c r="H88" s="516"/>
      <c r="I88" s="516"/>
      <c r="J88" s="516"/>
      <c r="K88" s="560"/>
      <c r="L88" s="516"/>
      <c r="M88" s="516"/>
    </row>
    <row r="89" spans="1:13">
      <c r="A89" s="517"/>
      <c r="B89" s="511"/>
      <c r="C89" s="516"/>
      <c r="D89" s="516"/>
      <c r="E89" s="516"/>
      <c r="F89" s="516"/>
      <c r="G89" s="560"/>
      <c r="H89" s="516"/>
      <c r="I89" s="516"/>
      <c r="J89" s="516"/>
      <c r="K89" s="560"/>
      <c r="L89" s="516"/>
      <c r="M89" s="516"/>
    </row>
    <row r="90" spans="1:13">
      <c r="A90" s="517"/>
      <c r="B90" s="511"/>
      <c r="C90" s="516"/>
      <c r="D90" s="516"/>
      <c r="E90" s="516"/>
      <c r="F90" s="516"/>
      <c r="G90" s="560"/>
      <c r="H90" s="516"/>
      <c r="I90" s="516"/>
      <c r="J90" s="516"/>
      <c r="K90" s="560"/>
      <c r="L90" s="516"/>
      <c r="M90" s="516"/>
    </row>
    <row r="91" spans="1:13">
      <c r="A91" s="517"/>
      <c r="B91" s="511"/>
      <c r="C91" s="1068"/>
      <c r="D91" s="516"/>
      <c r="E91" s="516"/>
      <c r="F91" s="516"/>
      <c r="G91" s="560"/>
      <c r="H91" s="516"/>
      <c r="I91" s="516"/>
      <c r="J91" s="516"/>
      <c r="K91" s="560"/>
      <c r="L91" s="516"/>
      <c r="M91" s="516"/>
    </row>
    <row r="92" spans="1:13">
      <c r="A92" s="517"/>
      <c r="B92" s="511"/>
      <c r="C92" s="516"/>
      <c r="D92" s="516"/>
      <c r="E92" s="516"/>
      <c r="F92" s="516"/>
      <c r="G92" s="560"/>
      <c r="H92" s="516"/>
      <c r="I92" s="516"/>
      <c r="J92" s="516"/>
      <c r="K92" s="560"/>
      <c r="L92" s="516"/>
      <c r="M92" s="516"/>
    </row>
    <row r="93" spans="1:13">
      <c r="A93" s="517"/>
      <c r="B93" s="511"/>
      <c r="C93" s="516"/>
      <c r="D93" s="516"/>
      <c r="E93" s="516"/>
      <c r="F93" s="516"/>
      <c r="G93" s="560"/>
      <c r="H93" s="516"/>
      <c r="I93" s="516"/>
      <c r="J93" s="516"/>
      <c r="K93" s="560"/>
      <c r="L93" s="516"/>
      <c r="M93" s="516"/>
    </row>
    <row r="94" spans="1:13">
      <c r="A94" s="517"/>
      <c r="B94" s="511"/>
      <c r="C94" s="516"/>
      <c r="D94" s="516"/>
      <c r="E94" s="516"/>
      <c r="F94" s="516"/>
      <c r="G94" s="560"/>
      <c r="H94" s="516"/>
      <c r="I94" s="516"/>
      <c r="J94" s="516"/>
      <c r="K94" s="560"/>
      <c r="L94" s="516"/>
      <c r="M94" s="516"/>
    </row>
    <row r="95" spans="1:13">
      <c r="A95" s="517"/>
      <c r="B95" s="511"/>
      <c r="C95" s="516"/>
      <c r="D95" s="516"/>
      <c r="E95" s="516"/>
      <c r="F95" s="516"/>
      <c r="G95" s="560"/>
      <c r="H95" s="516"/>
      <c r="I95" s="516"/>
      <c r="J95" s="516"/>
      <c r="K95" s="560"/>
      <c r="L95" s="516"/>
      <c r="M95" s="516"/>
    </row>
    <row r="96" spans="1:13">
      <c r="A96" s="517"/>
      <c r="B96" s="511"/>
      <c r="C96" s="516"/>
      <c r="D96" s="516"/>
      <c r="E96" s="516"/>
      <c r="F96" s="516"/>
      <c r="G96" s="560"/>
      <c r="H96" s="516"/>
      <c r="I96" s="516"/>
      <c r="J96" s="516"/>
      <c r="K96" s="560"/>
      <c r="L96" s="516"/>
      <c r="M96" s="516"/>
    </row>
    <row r="97" spans="1:13">
      <c r="A97" s="517"/>
      <c r="B97" s="511"/>
      <c r="C97" s="516"/>
      <c r="D97" s="516"/>
      <c r="E97" s="516"/>
      <c r="F97" s="516"/>
      <c r="G97" s="560"/>
      <c r="H97" s="516"/>
      <c r="I97" s="516"/>
      <c r="J97" s="516"/>
      <c r="K97" s="560"/>
      <c r="L97" s="516"/>
      <c r="M97" s="516"/>
    </row>
    <row r="98" spans="1:13">
      <c r="A98" s="517"/>
      <c r="B98" s="511"/>
      <c r="C98" s="516"/>
      <c r="D98" s="516"/>
      <c r="E98" s="516"/>
      <c r="F98" s="516"/>
      <c r="G98" s="560"/>
      <c r="H98" s="516"/>
      <c r="I98" s="516"/>
      <c r="J98" s="516"/>
      <c r="K98" s="560"/>
      <c r="L98" s="516"/>
      <c r="M98" s="516"/>
    </row>
    <row r="99" spans="1:13">
      <c r="A99" s="517"/>
      <c r="B99" s="511"/>
      <c r="C99" s="516"/>
      <c r="D99" s="516"/>
      <c r="E99" s="516"/>
      <c r="F99" s="516"/>
      <c r="G99" s="560"/>
      <c r="H99" s="516"/>
      <c r="I99" s="516"/>
      <c r="J99" s="516"/>
      <c r="K99" s="560"/>
      <c r="L99" s="516"/>
      <c r="M99" s="516"/>
    </row>
    <row r="100" spans="1:13">
      <c r="A100" s="572"/>
      <c r="B100" s="511"/>
      <c r="C100" s="516"/>
      <c r="D100" s="516"/>
      <c r="E100" s="516"/>
      <c r="F100" s="516"/>
      <c r="G100" s="560"/>
      <c r="H100" s="516"/>
      <c r="I100" s="516"/>
      <c r="J100" s="516"/>
      <c r="K100" s="554"/>
      <c r="L100" s="510"/>
    </row>
    <row r="101" spans="1:13">
      <c r="A101" s="572"/>
      <c r="B101" s="511"/>
      <c r="C101" s="516"/>
      <c r="D101" s="516"/>
      <c r="E101" s="516"/>
      <c r="F101" s="516"/>
      <c r="G101" s="560"/>
      <c r="H101" s="516"/>
      <c r="I101" s="516"/>
      <c r="J101" s="516"/>
      <c r="K101" s="554"/>
      <c r="L101" s="510"/>
    </row>
    <row r="102" spans="1:13">
      <c r="B102" s="511"/>
      <c r="C102" s="511"/>
      <c r="D102" s="512"/>
      <c r="E102" s="511"/>
      <c r="F102" s="511"/>
      <c r="G102" s="511"/>
      <c r="H102" s="511"/>
      <c r="I102" s="517"/>
      <c r="J102" s="517"/>
      <c r="K102" s="513"/>
      <c r="L102" s="511"/>
      <c r="M102" s="511"/>
    </row>
    <row r="103" spans="1:13">
      <c r="B103" s="511"/>
      <c r="C103" s="511"/>
      <c r="D103" s="512"/>
      <c r="E103" s="511"/>
      <c r="F103" s="511"/>
      <c r="G103" s="511"/>
      <c r="H103" s="511"/>
      <c r="I103" s="513"/>
      <c r="J103" s="513"/>
      <c r="K103" s="513"/>
      <c r="L103" s="511"/>
      <c r="M103" s="511"/>
    </row>
    <row r="104" spans="1:13" ht="16.5" customHeight="1">
      <c r="B104" s="511"/>
      <c r="C104" s="511"/>
      <c r="D104" s="512"/>
      <c r="E104" s="511"/>
      <c r="F104" s="511"/>
      <c r="G104" s="511"/>
      <c r="H104" s="511"/>
      <c r="I104" s="511"/>
      <c r="K104" s="513" t="str">
        <f>K30</f>
        <v>Attachment H -11A</v>
      </c>
      <c r="L104" s="511"/>
      <c r="M104" s="511"/>
    </row>
    <row r="105" spans="1:13" ht="16.5" customHeight="1">
      <c r="B105" s="511"/>
      <c r="C105" s="511"/>
      <c r="D105" s="512"/>
      <c r="E105" s="511"/>
      <c r="F105" s="511"/>
      <c r="G105" s="511"/>
      <c r="H105" s="511"/>
      <c r="I105" s="511"/>
      <c r="J105" s="511"/>
      <c r="K105" s="513" t="s">
        <v>129</v>
      </c>
      <c r="L105" s="511"/>
      <c r="M105" s="511"/>
    </row>
    <row r="106" spans="1:13" ht="16.5" customHeight="1">
      <c r="B106" s="511"/>
      <c r="C106" s="511"/>
      <c r="D106" s="512"/>
      <c r="E106" s="511"/>
      <c r="F106" s="511"/>
      <c r="G106" s="511"/>
      <c r="H106" s="511"/>
      <c r="I106" s="511"/>
      <c r="J106" s="511"/>
      <c r="K106" s="513"/>
      <c r="L106" s="511"/>
      <c r="M106" s="511"/>
    </row>
    <row r="107" spans="1:13">
      <c r="B107" s="511" t="s">
        <v>1</v>
      </c>
      <c r="C107" s="511"/>
      <c r="D107" s="512" t="s">
        <v>2</v>
      </c>
      <c r="E107" s="511"/>
      <c r="F107" s="511"/>
      <c r="G107" s="511"/>
      <c r="H107" s="511"/>
      <c r="J107" s="511"/>
      <c r="K107" s="513" t="str">
        <f>K4</f>
        <v>For the 12 months ended 12/31/2023</v>
      </c>
      <c r="L107" s="511"/>
      <c r="M107" s="511"/>
    </row>
    <row r="108" spans="1:13">
      <c r="B108" s="511"/>
      <c r="C108" s="516" t="s">
        <v>3</v>
      </c>
      <c r="D108" s="516" t="s">
        <v>4</v>
      </c>
      <c r="E108" s="516"/>
      <c r="F108" s="516"/>
      <c r="G108" s="516"/>
      <c r="H108" s="511"/>
      <c r="I108" s="511"/>
      <c r="J108" s="511"/>
      <c r="K108" s="511"/>
      <c r="L108" s="511"/>
      <c r="M108" s="511"/>
    </row>
    <row r="109" spans="1:13">
      <c r="B109" s="511"/>
      <c r="C109" s="516"/>
      <c r="D109" s="516"/>
      <c r="E109" s="516"/>
      <c r="F109" s="516"/>
      <c r="G109" s="516"/>
      <c r="H109" s="511"/>
      <c r="I109" s="511"/>
      <c r="J109" s="511"/>
      <c r="K109" s="511"/>
      <c r="L109" s="511"/>
      <c r="M109" s="511"/>
    </row>
    <row r="110" spans="1:13">
      <c r="A110" s="517"/>
      <c r="D110" s="510" t="str">
        <f>D7</f>
        <v>MON POWER</v>
      </c>
      <c r="J110" s="516"/>
      <c r="K110" s="516"/>
      <c r="L110" s="516"/>
      <c r="M110" s="516"/>
    </row>
    <row r="111" spans="1:13">
      <c r="A111" s="517"/>
      <c r="B111" s="517" t="s">
        <v>18</v>
      </c>
      <c r="C111" s="517" t="s">
        <v>19</v>
      </c>
      <c r="D111" s="517" t="s">
        <v>20</v>
      </c>
      <c r="E111" s="516" t="s">
        <v>3</v>
      </c>
      <c r="F111" s="516"/>
      <c r="G111" s="519" t="s">
        <v>21</v>
      </c>
      <c r="H111" s="516"/>
      <c r="I111" s="520" t="s">
        <v>22</v>
      </c>
      <c r="J111" s="516"/>
      <c r="K111" s="516"/>
      <c r="L111" s="511"/>
      <c r="M111" s="516"/>
    </row>
    <row r="112" spans="1:13">
      <c r="A112" s="517" t="s">
        <v>5</v>
      </c>
      <c r="B112" s="511"/>
      <c r="C112" s="550"/>
      <c r="D112" s="516"/>
      <c r="E112" s="516"/>
      <c r="F112" s="516"/>
      <c r="G112" s="517"/>
      <c r="H112" s="516"/>
      <c r="I112" s="551" t="s">
        <v>24</v>
      </c>
      <c r="J112" s="516"/>
      <c r="K112" s="551"/>
      <c r="L112" s="517"/>
      <c r="M112" s="516"/>
    </row>
    <row r="113" spans="1:13" ht="16.5" thickBot="1">
      <c r="A113" s="521" t="s">
        <v>7</v>
      </c>
      <c r="B113" s="511"/>
      <c r="C113" s="550" t="s">
        <v>280</v>
      </c>
      <c r="D113" s="551" t="s">
        <v>25</v>
      </c>
      <c r="E113" s="553"/>
      <c r="F113" s="551" t="s">
        <v>26</v>
      </c>
      <c r="H113" s="553"/>
      <c r="I113" s="517" t="s">
        <v>27</v>
      </c>
      <c r="J113" s="516"/>
      <c r="K113" s="551"/>
      <c r="L113" s="551"/>
      <c r="M113" s="516"/>
    </row>
    <row r="114" spans="1:13">
      <c r="A114" s="517"/>
      <c r="B114" s="2" t="s">
        <v>881</v>
      </c>
      <c r="C114" s="516"/>
      <c r="D114" s="516"/>
      <c r="E114" s="516"/>
      <c r="F114" s="516"/>
      <c r="G114" s="516"/>
      <c r="H114" s="516"/>
      <c r="I114" s="516"/>
      <c r="J114" s="516"/>
      <c r="K114" s="516"/>
      <c r="L114" s="516"/>
      <c r="M114" s="516"/>
    </row>
    <row r="115" spans="1:13">
      <c r="A115" s="517">
        <v>1</v>
      </c>
      <c r="B115" s="2" t="s">
        <v>882</v>
      </c>
      <c r="C115" s="656" t="s">
        <v>1047</v>
      </c>
      <c r="D115" s="530">
        <f>'Attachment 20 - O&amp;M and A&amp;G'!Q32</f>
        <v>14579276.869714305</v>
      </c>
      <c r="E115" s="516"/>
      <c r="F115" s="656" t="s">
        <v>299</v>
      </c>
      <c r="G115" s="556">
        <v>1</v>
      </c>
      <c r="H115" s="516"/>
      <c r="I115" s="557">
        <f>+G115*D115</f>
        <v>14579276.869714305</v>
      </c>
      <c r="J115" s="573"/>
      <c r="K115" s="516"/>
      <c r="L115" s="516"/>
      <c r="M115" s="517"/>
    </row>
    <row r="116" spans="1:13">
      <c r="A116" s="517">
        <v>2</v>
      </c>
      <c r="B116" s="880" t="s">
        <v>866</v>
      </c>
      <c r="C116" s="656" t="s">
        <v>1106</v>
      </c>
      <c r="D116" s="531">
        <v>14221971.680000002</v>
      </c>
      <c r="E116" s="516"/>
      <c r="F116" s="516" t="s">
        <v>422</v>
      </c>
      <c r="G116" s="556">
        <v>1</v>
      </c>
      <c r="H116" s="516"/>
      <c r="I116" s="530">
        <f>G116*D116</f>
        <v>14221971.680000002</v>
      </c>
      <c r="J116" s="511"/>
      <c r="K116" s="516"/>
      <c r="L116" s="516"/>
      <c r="M116" s="512"/>
    </row>
    <row r="117" spans="1:13">
      <c r="A117" s="517">
        <v>3</v>
      </c>
      <c r="B117" s="2" t="s">
        <v>883</v>
      </c>
      <c r="C117" s="656" t="s">
        <v>1062</v>
      </c>
      <c r="D117" s="530">
        <f>'Attachment 20 - O&amp;M and A&amp;G'!W52</f>
        <v>2546978.1138510588</v>
      </c>
      <c r="E117" s="516"/>
      <c r="F117" s="656" t="s">
        <v>299</v>
      </c>
      <c r="G117" s="556">
        <v>1</v>
      </c>
      <c r="H117" s="516"/>
      <c r="I117" s="557">
        <f>+G117*D117</f>
        <v>2546978.1138510588</v>
      </c>
      <c r="J117" s="516"/>
      <c r="K117" s="516" t="s">
        <v>3</v>
      </c>
      <c r="L117" s="516"/>
      <c r="M117" s="517"/>
    </row>
    <row r="118" spans="1:13">
      <c r="A118" s="517">
        <v>4</v>
      </c>
      <c r="B118" s="880" t="s">
        <v>760</v>
      </c>
      <c r="C118" s="656" t="s">
        <v>1046</v>
      </c>
      <c r="D118" s="1017">
        <f>D116/'Attachment 20 - O&amp;M and A&amp;G'!I32</f>
        <v>0.10047792517065775</v>
      </c>
      <c r="E118" s="516"/>
      <c r="F118" s="601"/>
      <c r="G118" s="1018"/>
      <c r="H118" s="601"/>
      <c r="I118" s="1019"/>
      <c r="J118" s="516"/>
      <c r="K118" s="516"/>
      <c r="L118" s="516"/>
      <c r="M118" s="517"/>
    </row>
    <row r="119" spans="1:13" ht="31.5">
      <c r="A119" s="517">
        <v>5</v>
      </c>
      <c r="B119" s="880" t="s">
        <v>761</v>
      </c>
      <c r="C119" s="1016" t="s">
        <v>1048</v>
      </c>
      <c r="D119" s="996">
        <f>D118*I213*(('Attachment 20 - O&amp;M and A&amp;G'!I52)-('Attachment 20 - O&amp;M and A&amp;G'!K52))</f>
        <v>260930.25546361803</v>
      </c>
      <c r="E119" s="516"/>
      <c r="F119" s="656" t="s">
        <v>299</v>
      </c>
      <c r="G119" s="556">
        <v>1</v>
      </c>
      <c r="H119" s="516"/>
      <c r="I119" s="996">
        <f>D119*G119</f>
        <v>260930.25546361803</v>
      </c>
      <c r="J119" s="516"/>
      <c r="K119" s="516"/>
      <c r="L119" s="516"/>
      <c r="M119" s="517"/>
    </row>
    <row r="120" spans="1:13">
      <c r="A120" s="660">
        <v>6</v>
      </c>
      <c r="B120" s="2" t="s">
        <v>1058</v>
      </c>
      <c r="C120" s="656" t="s">
        <v>627</v>
      </c>
      <c r="D120" s="654">
        <f>'Attachment 6 - PBOP'!E18</f>
        <v>10825.929522194474</v>
      </c>
      <c r="E120" s="516"/>
      <c r="F120" s="574" t="s">
        <v>422</v>
      </c>
      <c r="G120" s="556">
        <v>1</v>
      </c>
      <c r="H120" s="516"/>
      <c r="I120" s="557">
        <f>D120*G120</f>
        <v>10825.929522194474</v>
      </c>
      <c r="J120" s="516"/>
      <c r="K120" s="516"/>
      <c r="L120" s="510"/>
      <c r="M120" s="517"/>
    </row>
    <row r="121" spans="1:13" s="1" customFormat="1">
      <c r="A121" s="660">
        <v>7</v>
      </c>
      <c r="B121" s="2" t="s">
        <v>200</v>
      </c>
      <c r="C121" s="663" t="s">
        <v>1187</v>
      </c>
      <c r="D121" s="664"/>
      <c r="E121" s="656"/>
      <c r="F121" s="656" t="s">
        <v>37</v>
      </c>
      <c r="G121" s="844">
        <f>K218</f>
        <v>3.3119630600369813E-2</v>
      </c>
      <c r="H121" s="656"/>
      <c r="I121" s="666">
        <f t="shared" ref="I121" si="2">+G121*D121</f>
        <v>0</v>
      </c>
      <c r="J121" s="656"/>
      <c r="K121" s="656"/>
      <c r="L121" s="656"/>
      <c r="M121" s="660"/>
    </row>
    <row r="122" spans="1:13" ht="16.5" thickBot="1">
      <c r="A122" s="660">
        <v>8</v>
      </c>
      <c r="B122" s="2" t="s">
        <v>874</v>
      </c>
      <c r="C122" s="663" t="s">
        <v>876</v>
      </c>
      <c r="D122" s="654">
        <f>'Attachment 19 - Reg Asset'!M26</f>
        <v>0</v>
      </c>
      <c r="E122" s="516"/>
      <c r="F122" s="516" t="s">
        <v>422</v>
      </c>
      <c r="G122" s="556">
        <v>1</v>
      </c>
      <c r="H122" s="516"/>
      <c r="I122" s="530">
        <f>G122*D122</f>
        <v>0</v>
      </c>
      <c r="J122" s="516"/>
      <c r="K122" s="516"/>
      <c r="L122" s="516"/>
      <c r="M122" s="517"/>
    </row>
    <row r="123" spans="1:13">
      <c r="A123" s="660">
        <v>9</v>
      </c>
      <c r="B123" s="2" t="s">
        <v>1049</v>
      </c>
      <c r="C123" s="656"/>
      <c r="D123" s="1020">
        <f>D115+D117+D120+D121-D116-D119+D122</f>
        <v>2654178.9776239386</v>
      </c>
      <c r="E123" s="516"/>
      <c r="F123" s="516"/>
      <c r="G123" s="516"/>
      <c r="H123" s="516"/>
      <c r="I123" s="1021">
        <f>I115+I117+I120+I121-I116-I119+I122</f>
        <v>2654178.9776239386</v>
      </c>
      <c r="J123" s="516"/>
      <c r="K123" s="516"/>
      <c r="L123" s="563"/>
      <c r="M123" s="516"/>
    </row>
    <row r="124" spans="1:13">
      <c r="A124" s="660"/>
      <c r="B124" s="1"/>
      <c r="C124" s="656"/>
      <c r="D124" s="666"/>
      <c r="E124" s="516"/>
      <c r="F124" s="516"/>
      <c r="G124" s="516"/>
      <c r="H124" s="516"/>
      <c r="I124" s="557"/>
      <c r="J124" s="516"/>
      <c r="K124" s="516"/>
      <c r="L124" s="516"/>
      <c r="M124" s="516"/>
    </row>
    <row r="125" spans="1:13">
      <c r="A125" s="660"/>
      <c r="B125" s="2" t="s">
        <v>179</v>
      </c>
      <c r="C125" s="656"/>
      <c r="D125" s="666"/>
      <c r="E125" s="516"/>
      <c r="F125" s="516"/>
      <c r="G125" s="516"/>
      <c r="H125" s="516"/>
      <c r="I125" s="557"/>
      <c r="J125" s="516"/>
      <c r="K125" s="516"/>
      <c r="L125" s="516"/>
      <c r="M125" s="516"/>
    </row>
    <row r="126" spans="1:13">
      <c r="A126" s="660">
        <v>10</v>
      </c>
      <c r="B126" s="2" t="s">
        <v>32</v>
      </c>
      <c r="C126" s="656" t="s">
        <v>1188</v>
      </c>
      <c r="D126" s="664">
        <v>13596783</v>
      </c>
      <c r="E126" s="516"/>
      <c r="F126" s="516" t="s">
        <v>12</v>
      </c>
      <c r="G126" s="556">
        <f>I196</f>
        <v>0.96257254315726037</v>
      </c>
      <c r="H126" s="516"/>
      <c r="I126" s="557">
        <f>+G126*D126</f>
        <v>13087889.991067404</v>
      </c>
      <c r="J126" s="516"/>
      <c r="K126" s="560"/>
      <c r="L126" s="516"/>
      <c r="M126" s="517"/>
    </row>
    <row r="127" spans="1:13">
      <c r="A127" s="660">
        <v>11</v>
      </c>
      <c r="B127" s="663" t="s">
        <v>34</v>
      </c>
      <c r="C127" s="656" t="s">
        <v>1189</v>
      </c>
      <c r="D127" s="664">
        <v>13174445</v>
      </c>
      <c r="E127" s="516"/>
      <c r="F127" s="516" t="s">
        <v>35</v>
      </c>
      <c r="G127" s="556">
        <f>I213</f>
        <v>3.3119630600369813E-2</v>
      </c>
      <c r="H127" s="516"/>
      <c r="I127" s="557">
        <f>+G127*D127</f>
        <v>436332.75176488911</v>
      </c>
      <c r="J127" s="516"/>
      <c r="K127" s="560"/>
      <c r="L127" s="510"/>
      <c r="M127" s="517"/>
    </row>
    <row r="128" spans="1:13">
      <c r="A128" s="660">
        <v>12</v>
      </c>
      <c r="B128" s="663" t="s">
        <v>753</v>
      </c>
      <c r="C128" s="656" t="s">
        <v>1106</v>
      </c>
      <c r="D128" s="664">
        <v>232623.83081645833</v>
      </c>
      <c r="E128" s="516"/>
      <c r="F128" s="516" t="s">
        <v>299</v>
      </c>
      <c r="G128" s="556">
        <v>1</v>
      </c>
      <c r="H128" s="516"/>
      <c r="I128" s="557">
        <f>D128*G128</f>
        <v>232623.83081645833</v>
      </c>
      <c r="J128" s="516"/>
      <c r="K128" s="560"/>
      <c r="L128" s="510"/>
      <c r="M128" s="517"/>
    </row>
    <row r="129" spans="1:13" ht="16.5" thickBot="1">
      <c r="A129" s="660">
        <v>13</v>
      </c>
      <c r="B129" s="2" t="str">
        <f>+B121</f>
        <v>Common</v>
      </c>
      <c r="C129" s="656" t="s">
        <v>1190</v>
      </c>
      <c r="D129" s="665"/>
      <c r="E129" s="516"/>
      <c r="F129" s="516" t="s">
        <v>37</v>
      </c>
      <c r="G129" s="556">
        <f>K218</f>
        <v>3.3119630600369813E-2</v>
      </c>
      <c r="H129" s="516"/>
      <c r="I129" s="568">
        <f>+G129*D129</f>
        <v>0</v>
      </c>
      <c r="J129" s="516"/>
      <c r="K129" s="560"/>
      <c r="L129" s="516"/>
      <c r="M129" s="517"/>
    </row>
    <row r="130" spans="1:13">
      <c r="A130" s="660">
        <v>14</v>
      </c>
      <c r="B130" s="2" t="s">
        <v>1050</v>
      </c>
      <c r="C130" s="656"/>
      <c r="D130" s="993">
        <f>D126+D127+D129-D128</f>
        <v>26538604.169183541</v>
      </c>
      <c r="E130" s="516"/>
      <c r="F130" s="516"/>
      <c r="G130" s="516"/>
      <c r="H130" s="516"/>
      <c r="I130" s="994">
        <f>I126+I127+I129-I128</f>
        <v>13291598.912015835</v>
      </c>
      <c r="J130" s="516"/>
      <c r="K130" s="516"/>
      <c r="L130" s="516"/>
      <c r="M130" s="516"/>
    </row>
    <row r="131" spans="1:13">
      <c r="A131" s="660"/>
      <c r="B131" s="2"/>
      <c r="C131" s="656"/>
      <c r="D131" s="666"/>
      <c r="E131" s="516"/>
      <c r="F131" s="516"/>
      <c r="G131" s="516"/>
      <c r="H131" s="516"/>
      <c r="I131" s="557"/>
      <c r="J131" s="516"/>
      <c r="K131" s="516"/>
      <c r="L131" s="516"/>
      <c r="M131" s="516"/>
    </row>
    <row r="132" spans="1:13">
      <c r="A132" s="660" t="s">
        <v>3</v>
      </c>
      <c r="B132" s="2" t="s">
        <v>1107</v>
      </c>
      <c r="C132" s="1"/>
      <c r="D132" s="666"/>
      <c r="E132" s="516"/>
      <c r="F132" s="516"/>
      <c r="G132" s="516"/>
      <c r="H132" s="516"/>
      <c r="I132" s="557"/>
      <c r="J132" s="516"/>
      <c r="K132" s="516"/>
      <c r="L132" s="516"/>
      <c r="M132" s="516"/>
    </row>
    <row r="133" spans="1:13">
      <c r="A133" s="660"/>
      <c r="B133" s="2" t="s">
        <v>53</v>
      </c>
      <c r="C133" s="1"/>
      <c r="D133" s="666"/>
      <c r="E133" s="516"/>
      <c r="F133" s="516"/>
      <c r="H133" s="516"/>
      <c r="I133" s="557"/>
      <c r="J133" s="516"/>
      <c r="K133" s="560"/>
      <c r="L133" s="570"/>
      <c r="M133" s="517"/>
    </row>
    <row r="134" spans="1:13">
      <c r="A134" s="660">
        <v>15</v>
      </c>
      <c r="B134" s="2" t="s">
        <v>54</v>
      </c>
      <c r="C134" s="656" t="s">
        <v>1191</v>
      </c>
      <c r="D134" s="654">
        <f>'Attachment 7 - Taxes Other '!D13</f>
        <v>5003788</v>
      </c>
      <c r="E134" s="516"/>
      <c r="F134" s="516" t="s">
        <v>35</v>
      </c>
      <c r="G134" s="528">
        <f>I213</f>
        <v>3.3119630600369813E-2</v>
      </c>
      <c r="H134" s="516"/>
      <c r="I134" s="557">
        <f>+G134*D134</f>
        <v>165723.61016256327</v>
      </c>
      <c r="J134" s="516"/>
      <c r="K134" s="560"/>
      <c r="L134" s="575"/>
      <c r="M134" s="517"/>
    </row>
    <row r="135" spans="1:13">
      <c r="A135" s="660">
        <v>16</v>
      </c>
      <c r="B135" s="2" t="s">
        <v>56</v>
      </c>
      <c r="C135" s="656" t="s">
        <v>1192</v>
      </c>
      <c r="D135" s="654">
        <f>'Attachment 7 - Taxes Other '!D18</f>
        <v>12408</v>
      </c>
      <c r="E135" s="516"/>
      <c r="F135" s="516" t="str">
        <f>+F134</f>
        <v>W/S</v>
      </c>
      <c r="G135" s="528">
        <f>I213</f>
        <v>3.3119630600369813E-2</v>
      </c>
      <c r="H135" s="516"/>
      <c r="I135" s="557">
        <f>+G135*D135</f>
        <v>410.94837648938864</v>
      </c>
      <c r="J135" s="516"/>
      <c r="K135" s="560"/>
      <c r="L135" s="575"/>
      <c r="M135" s="517"/>
    </row>
    <row r="136" spans="1:13">
      <c r="A136" s="660">
        <v>17</v>
      </c>
      <c r="B136" s="2" t="s">
        <v>57</v>
      </c>
      <c r="C136" s="656" t="s">
        <v>3</v>
      </c>
      <c r="D136" s="654"/>
      <c r="E136" s="516"/>
      <c r="F136" s="516"/>
      <c r="H136" s="516"/>
      <c r="I136" s="557"/>
      <c r="J136" s="516"/>
      <c r="K136" s="560"/>
      <c r="L136" s="575"/>
      <c r="M136" s="517"/>
    </row>
    <row r="137" spans="1:13">
      <c r="A137" s="660">
        <v>18</v>
      </c>
      <c r="B137" s="2" t="s">
        <v>58</v>
      </c>
      <c r="C137" s="656" t="s">
        <v>1193</v>
      </c>
      <c r="D137" s="654">
        <f>'Attachment 7 - Taxes Other '!D24</f>
        <v>25569861</v>
      </c>
      <c r="E137" s="516"/>
      <c r="F137" s="516" t="s">
        <v>52</v>
      </c>
      <c r="G137" s="528">
        <f>+G47</f>
        <v>0.10287812486317614</v>
      </c>
      <c r="H137" s="516"/>
      <c r="I137" s="557">
        <f>+G137*D137</f>
        <v>2630579.3526920578</v>
      </c>
      <c r="J137" s="516"/>
      <c r="K137" s="560"/>
      <c r="L137" s="575"/>
      <c r="M137" s="512"/>
    </row>
    <row r="138" spans="1:13">
      <c r="A138" s="660">
        <v>19</v>
      </c>
      <c r="B138" s="2" t="s">
        <v>873</v>
      </c>
      <c r="C138" s="656" t="s">
        <v>1194</v>
      </c>
      <c r="D138" s="654">
        <f>'Attachment 7 - Taxes Other '!D32</f>
        <v>19928322</v>
      </c>
      <c r="E138" s="516"/>
      <c r="F138" s="516" t="str">
        <f>+F66</f>
        <v>NA</v>
      </c>
      <c r="G138" s="576"/>
      <c r="H138" s="516"/>
      <c r="I138" s="557">
        <v>0</v>
      </c>
      <c r="J138" s="516"/>
      <c r="K138" s="560"/>
      <c r="L138" s="575"/>
      <c r="M138" s="517"/>
    </row>
    <row r="139" spans="1:13">
      <c r="A139" s="660">
        <v>20</v>
      </c>
      <c r="B139" s="2" t="s">
        <v>59</v>
      </c>
      <c r="C139" s="656" t="s">
        <v>1195</v>
      </c>
      <c r="D139" s="654">
        <f>'Attachment 7 - Taxes Other '!D39</f>
        <v>-123705</v>
      </c>
      <c r="E139" s="516"/>
      <c r="F139" s="516" t="str">
        <f>+F137</f>
        <v>GP</v>
      </c>
      <c r="G139" s="528">
        <f>+G47</f>
        <v>0.10287812486317614</v>
      </c>
      <c r="H139" s="516"/>
      <c r="I139" s="557">
        <f>+G139*D139</f>
        <v>-12726.538436199206</v>
      </c>
      <c r="J139" s="516"/>
      <c r="K139" s="560"/>
      <c r="L139" s="575"/>
      <c r="M139" s="517"/>
    </row>
    <row r="140" spans="1:13" ht="16.5" thickBot="1">
      <c r="A140" s="660">
        <v>21</v>
      </c>
      <c r="B140" s="2" t="s">
        <v>60</v>
      </c>
      <c r="C140" s="656" t="s">
        <v>840</v>
      </c>
      <c r="D140" s="655">
        <f>'Attachment 7 - Taxes Other '!D41</f>
        <v>0</v>
      </c>
      <c r="E140" s="516"/>
      <c r="F140" s="516" t="s">
        <v>52</v>
      </c>
      <c r="G140" s="528">
        <f>+G47</f>
        <v>0.10287812486317614</v>
      </c>
      <c r="H140" s="516"/>
      <c r="I140" s="559">
        <f>+G140*D140</f>
        <v>0</v>
      </c>
      <c r="J140" s="516"/>
      <c r="K140" s="560"/>
      <c r="L140" s="575"/>
      <c r="M140" s="517"/>
    </row>
    <row r="141" spans="1:13">
      <c r="A141" s="660">
        <v>22</v>
      </c>
      <c r="B141" s="2" t="s">
        <v>1051</v>
      </c>
      <c r="C141" s="656"/>
      <c r="D141" s="654">
        <f>SUM(D134:D140)</f>
        <v>50390674</v>
      </c>
      <c r="E141" s="516"/>
      <c r="F141" s="516"/>
      <c r="G141" s="528"/>
      <c r="H141" s="516"/>
      <c r="I141" s="557">
        <f>SUM(I134:I140)</f>
        <v>2783987.3727949113</v>
      </c>
      <c r="J141" s="516"/>
      <c r="K141" s="516"/>
      <c r="L141" s="563"/>
      <c r="M141" s="516"/>
    </row>
    <row r="142" spans="1:13">
      <c r="A142" s="660"/>
      <c r="B142" s="2"/>
      <c r="C142" s="656"/>
      <c r="D142" s="656"/>
      <c r="E142" s="516"/>
      <c r="F142" s="516"/>
      <c r="G142" s="528"/>
      <c r="H142" s="516"/>
      <c r="I142" s="539"/>
      <c r="J142" s="516"/>
      <c r="K142" s="516"/>
      <c r="L142" s="563"/>
      <c r="M142" s="516"/>
    </row>
    <row r="143" spans="1:13">
      <c r="A143" s="660" t="s">
        <v>3</v>
      </c>
      <c r="B143" s="2" t="s">
        <v>61</v>
      </c>
      <c r="C143" s="656" t="s">
        <v>1108</v>
      </c>
      <c r="D143" s="667"/>
      <c r="E143" s="516"/>
      <c r="G143" s="577"/>
      <c r="H143" s="516"/>
      <c r="I143" s="539"/>
      <c r="J143" s="516"/>
      <c r="L143" s="516"/>
      <c r="M143" s="517"/>
    </row>
    <row r="144" spans="1:13">
      <c r="A144" s="660">
        <v>23</v>
      </c>
      <c r="B144" s="673" t="s">
        <v>62</v>
      </c>
      <c r="C144" s="656"/>
      <c r="D144" s="668">
        <f>IF(D297&gt;0,1-(((1-D298)*(1-D297))/(1-D298*D297*D299)),0)</f>
        <v>0.25800151784999992</v>
      </c>
      <c r="E144" s="553"/>
      <c r="G144" s="577"/>
      <c r="H144" s="516"/>
      <c r="I144" s="539"/>
      <c r="J144" s="516"/>
      <c r="L144" s="578"/>
      <c r="M144" s="517"/>
    </row>
    <row r="145" spans="1:13">
      <c r="A145" s="660">
        <v>24</v>
      </c>
      <c r="B145" s="1" t="s">
        <v>820</v>
      </c>
      <c r="C145" s="656"/>
      <c r="D145" s="668">
        <f>IF(I248&gt;0,(D144/(1-D144))*(1-I245/I248),0)</f>
        <v>0.2375993943041978</v>
      </c>
      <c r="E145" s="516"/>
      <c r="G145" s="577"/>
      <c r="H145" s="516"/>
      <c r="I145" s="539"/>
      <c r="J145" s="516"/>
      <c r="K145" s="578"/>
      <c r="L145" s="578"/>
      <c r="M145" s="517"/>
    </row>
    <row r="146" spans="1:13">
      <c r="A146" s="660"/>
      <c r="B146" s="2" t="s">
        <v>861</v>
      </c>
      <c r="C146" s="656"/>
      <c r="D146" s="656"/>
      <c r="E146" s="516"/>
      <c r="G146" s="577"/>
      <c r="H146" s="516"/>
      <c r="I146" s="539"/>
      <c r="J146" s="516"/>
      <c r="K146" s="578"/>
      <c r="L146" s="578"/>
      <c r="M146" s="517"/>
    </row>
    <row r="147" spans="1:13">
      <c r="A147" s="660"/>
      <c r="B147" s="2" t="s">
        <v>63</v>
      </c>
      <c r="C147" s="656"/>
      <c r="D147" s="656"/>
      <c r="E147" s="516"/>
      <c r="G147" s="577"/>
      <c r="H147" s="516"/>
      <c r="I147" s="539"/>
      <c r="J147" s="516"/>
      <c r="K147" s="578"/>
      <c r="L147" s="578"/>
      <c r="M147" s="517"/>
    </row>
    <row r="148" spans="1:13">
      <c r="A148" s="660">
        <v>25</v>
      </c>
      <c r="B148" s="673" t="s">
        <v>1052</v>
      </c>
      <c r="C148" s="656"/>
      <c r="D148" s="94">
        <f>IF(D144&gt;0,1/(1-D144),0)</f>
        <v>1.3477116517845424</v>
      </c>
      <c r="E148" s="516"/>
      <c r="G148" s="577"/>
      <c r="H148" s="516"/>
      <c r="I148" s="557"/>
      <c r="J148" s="516"/>
      <c r="K148" s="578"/>
      <c r="L148" s="579"/>
      <c r="M148" s="517"/>
    </row>
    <row r="149" spans="1:13">
      <c r="A149" s="660">
        <v>26</v>
      </c>
      <c r="B149" s="2" t="s">
        <v>248</v>
      </c>
      <c r="C149" s="656"/>
      <c r="D149" s="664"/>
      <c r="E149" s="516"/>
      <c r="G149" s="577"/>
      <c r="H149" s="516"/>
      <c r="I149" s="557"/>
      <c r="J149" s="516"/>
      <c r="K149" s="1074"/>
      <c r="L149" s="516"/>
      <c r="M149" s="517"/>
    </row>
    <row r="150" spans="1:13">
      <c r="A150" s="660">
        <v>27</v>
      </c>
      <c r="B150" s="2" t="s">
        <v>762</v>
      </c>
      <c r="C150" s="656" t="s">
        <v>941</v>
      </c>
      <c r="D150" s="664">
        <v>112255.94441349927</v>
      </c>
      <c r="E150" s="516"/>
      <c r="G150" s="577"/>
      <c r="H150" s="516"/>
      <c r="I150" s="557"/>
      <c r="J150" s="516"/>
      <c r="K150" s="578"/>
      <c r="L150" s="516"/>
      <c r="M150" s="517"/>
    </row>
    <row r="151" spans="1:13">
      <c r="A151" s="660">
        <v>28</v>
      </c>
      <c r="B151" s="2" t="s">
        <v>763</v>
      </c>
      <c r="C151" s="656" t="s">
        <v>942</v>
      </c>
      <c r="D151" s="654">
        <f>'Attach 15 - Excess_Def ADIT'!H55</f>
        <v>-382026.03627970727</v>
      </c>
      <c r="E151" s="516"/>
      <c r="G151" s="577"/>
      <c r="H151" s="516"/>
      <c r="I151" s="557"/>
      <c r="J151" s="516"/>
      <c r="K151" s="1074"/>
      <c r="L151" s="516"/>
      <c r="M151" s="517"/>
    </row>
    <row r="152" spans="1:13">
      <c r="A152" s="660">
        <v>29</v>
      </c>
      <c r="B152" s="673" t="s">
        <v>1053</v>
      </c>
      <c r="C152" s="669"/>
      <c r="D152" s="654">
        <f>D145*D158</f>
        <v>64899506.872453243</v>
      </c>
      <c r="E152" s="516"/>
      <c r="F152" s="516" t="s">
        <v>31</v>
      </c>
      <c r="G152" s="528"/>
      <c r="H152" s="516"/>
      <c r="I152" s="557">
        <f>D145*I158</f>
        <v>5815608.4027168984</v>
      </c>
      <c r="J152" s="516"/>
      <c r="K152" s="1073"/>
      <c r="L152" s="516"/>
      <c r="M152" s="516"/>
    </row>
    <row r="153" spans="1:13">
      <c r="A153" s="660">
        <v>30</v>
      </c>
      <c r="B153" s="1" t="s">
        <v>1054</v>
      </c>
      <c r="C153" s="669"/>
      <c r="D153" s="653">
        <f>D148*D149</f>
        <v>0</v>
      </c>
      <c r="E153" s="580"/>
      <c r="F153" s="879" t="s">
        <v>52</v>
      </c>
      <c r="G153" s="581">
        <f>+G47</f>
        <v>0.10287812486317614</v>
      </c>
      <c r="H153" s="580"/>
      <c r="I153" s="568">
        <f>G153*D153</f>
        <v>0</v>
      </c>
      <c r="J153" s="516"/>
      <c r="K153" s="575"/>
      <c r="L153" s="516"/>
      <c r="M153" s="516"/>
    </row>
    <row r="154" spans="1:13">
      <c r="A154" s="660">
        <v>31</v>
      </c>
      <c r="B154" s="1" t="s">
        <v>1055</v>
      </c>
      <c r="C154" s="669"/>
      <c r="D154" s="653">
        <f>D148*D150</f>
        <v>151288.64426815088</v>
      </c>
      <c r="E154" s="580"/>
      <c r="F154" s="580" t="s">
        <v>299</v>
      </c>
      <c r="G154" s="581">
        <v>1</v>
      </c>
      <c r="H154" s="580"/>
      <c r="I154" s="568">
        <f>G154*D154</f>
        <v>151288.64426815088</v>
      </c>
      <c r="J154" s="516"/>
      <c r="K154" s="575"/>
      <c r="L154" s="516"/>
      <c r="M154" s="516"/>
    </row>
    <row r="155" spans="1:13" ht="16.5" thickBot="1">
      <c r="A155" s="660">
        <v>32</v>
      </c>
      <c r="B155" s="1" t="s">
        <v>1056</v>
      </c>
      <c r="C155" s="669"/>
      <c r="D155" s="655">
        <f>D148*D151</f>
        <v>-514860.94037922582</v>
      </c>
      <c r="E155" s="580"/>
      <c r="F155" s="580" t="s">
        <v>299</v>
      </c>
      <c r="G155" s="581">
        <f>G154</f>
        <v>1</v>
      </c>
      <c r="H155" s="580"/>
      <c r="I155" s="559">
        <f>D155*G155</f>
        <v>-514860.94037922582</v>
      </c>
      <c r="J155" s="516"/>
      <c r="K155" s="575"/>
      <c r="L155" s="516"/>
      <c r="M155" s="516"/>
    </row>
    <row r="156" spans="1:13">
      <c r="A156" s="660">
        <v>33</v>
      </c>
      <c r="B156" s="673" t="s">
        <v>64</v>
      </c>
      <c r="C156" s="1" t="s">
        <v>1057</v>
      </c>
      <c r="D156" s="696">
        <f>+D152+D153+D154+D155</f>
        <v>64535934.576342165</v>
      </c>
      <c r="E156" s="516"/>
      <c r="F156" s="516" t="s">
        <v>3</v>
      </c>
      <c r="G156" s="528" t="s">
        <v>3</v>
      </c>
      <c r="H156" s="516"/>
      <c r="I156" s="697">
        <f>+I152+I153+I154+I155</f>
        <v>5452036.1066058232</v>
      </c>
      <c r="J156" s="516"/>
      <c r="K156" s="516"/>
      <c r="L156" s="516"/>
      <c r="M156" s="516"/>
    </row>
    <row r="157" spans="1:13">
      <c r="A157" s="660" t="s">
        <v>3</v>
      </c>
      <c r="B157" s="1"/>
      <c r="C157" s="674"/>
      <c r="D157" s="666"/>
      <c r="E157" s="516"/>
      <c r="F157" s="516"/>
      <c r="G157" s="528"/>
      <c r="H157" s="516"/>
      <c r="I157" s="557"/>
      <c r="J157" s="516"/>
      <c r="K157" s="516"/>
      <c r="L157" s="516"/>
      <c r="M157" s="516"/>
    </row>
    <row r="158" spans="1:13">
      <c r="A158" s="660">
        <v>34</v>
      </c>
      <c r="B158" s="2" t="s">
        <v>65</v>
      </c>
      <c r="C158" s="878" t="s">
        <v>1259</v>
      </c>
      <c r="D158" s="666">
        <f>+$I248*D85</f>
        <v>273146769.00801605</v>
      </c>
      <c r="E158" s="516"/>
      <c r="F158" s="516" t="s">
        <v>31</v>
      </c>
      <c r="G158" s="577"/>
      <c r="H158" s="516"/>
      <c r="I158" s="557">
        <f>+$I248*I85</f>
        <v>24476528.737574104</v>
      </c>
      <c r="J158" s="516"/>
      <c r="L158" s="516"/>
      <c r="M158" s="517"/>
    </row>
    <row r="159" spans="1:13">
      <c r="A159" s="660"/>
      <c r="B159" s="675"/>
      <c r="C159" s="1"/>
      <c r="D159" s="666"/>
      <c r="E159" s="516"/>
      <c r="F159" s="516"/>
      <c r="G159" s="577"/>
      <c r="H159" s="516"/>
      <c r="I159" s="557"/>
      <c r="J159" s="516"/>
      <c r="K159" s="560"/>
      <c r="L159" s="516"/>
      <c r="M159" s="517"/>
    </row>
    <row r="160" spans="1:13">
      <c r="A160" s="660"/>
      <c r="B160" s="2"/>
      <c r="C160" s="1"/>
      <c r="D160" s="670"/>
      <c r="E160" s="516"/>
      <c r="F160" s="516"/>
      <c r="G160" s="577"/>
      <c r="H160" s="516"/>
      <c r="I160" s="568"/>
      <c r="J160" s="516"/>
      <c r="K160" s="560"/>
      <c r="L160" s="516"/>
      <c r="M160" s="517"/>
    </row>
    <row r="161" spans="1:14" s="1" customFormat="1">
      <c r="A161" s="660">
        <v>35</v>
      </c>
      <c r="B161" s="676" t="s">
        <v>435</v>
      </c>
      <c r="C161" s="673" t="s">
        <v>1258</v>
      </c>
      <c r="D161" s="671">
        <f>+D123+D130+D141+D156+D158</f>
        <v>417266160.73116571</v>
      </c>
      <c r="E161" s="656"/>
      <c r="F161" s="656"/>
      <c r="G161" s="656"/>
      <c r="H161" s="656"/>
      <c r="I161" s="671">
        <f>+I123+I130+I141+I156+I158</f>
        <v>48658330.106614612</v>
      </c>
      <c r="J161" s="2"/>
      <c r="K161" s="2"/>
      <c r="L161" s="2"/>
      <c r="M161" s="2"/>
    </row>
    <row r="162" spans="1:14" s="1" customFormat="1">
      <c r="A162" s="660"/>
      <c r="B162" s="673"/>
      <c r="C162" s="656"/>
      <c r="D162" s="656"/>
      <c r="E162" s="656"/>
      <c r="F162" s="656"/>
      <c r="G162" s="656"/>
      <c r="H162" s="656"/>
      <c r="I162" s="656"/>
      <c r="J162" s="2"/>
      <c r="K162" s="2"/>
      <c r="L162" s="2"/>
      <c r="M162" s="2"/>
    </row>
    <row r="163" spans="1:14">
      <c r="A163" s="517">
        <v>36</v>
      </c>
      <c r="B163" s="2" t="s">
        <v>750</v>
      </c>
      <c r="C163" s="2" t="s">
        <v>1109</v>
      </c>
      <c r="D163" s="534">
        <f>'Attach 2b - Incent ROE NITS'!AM31</f>
        <v>0</v>
      </c>
      <c r="E163" s="516"/>
      <c r="F163" s="656"/>
      <c r="G163" s="528"/>
      <c r="H163" s="516"/>
      <c r="I163" s="529">
        <f>D163</f>
        <v>0</v>
      </c>
      <c r="J163" s="511"/>
      <c r="K163" s="525"/>
      <c r="L163" s="511"/>
      <c r="N163" s="511"/>
    </row>
    <row r="164" spans="1:14">
      <c r="A164" s="517">
        <v>37</v>
      </c>
      <c r="B164" s="2" t="s">
        <v>751</v>
      </c>
      <c r="C164" s="2" t="s">
        <v>1110</v>
      </c>
      <c r="D164" s="534">
        <f>'Attachment 11 - TEC'!N79</f>
        <v>0</v>
      </c>
      <c r="E164" s="516"/>
      <c r="F164" s="656"/>
      <c r="G164" s="528"/>
      <c r="H164" s="516"/>
      <c r="I164" s="529">
        <f>D164</f>
        <v>0</v>
      </c>
      <c r="J164" s="511"/>
      <c r="K164" s="525"/>
      <c r="L164" s="511"/>
      <c r="N164" s="511"/>
    </row>
    <row r="165" spans="1:14" s="1" customFormat="1">
      <c r="A165" s="660"/>
      <c r="B165" s="673"/>
      <c r="C165" s="656"/>
      <c r="D165" s="656"/>
      <c r="E165" s="656"/>
      <c r="F165" s="656"/>
      <c r="G165" s="656"/>
      <c r="H165" s="656"/>
      <c r="I165" s="656"/>
      <c r="J165" s="2"/>
      <c r="K165" s="2"/>
      <c r="L165" s="2"/>
      <c r="M165" s="2"/>
    </row>
    <row r="166" spans="1:14" s="1" customFormat="1" ht="16.5" thickBot="1">
      <c r="A166" s="660"/>
      <c r="C166" s="656"/>
      <c r="J166" s="2"/>
      <c r="K166" s="2"/>
      <c r="L166" s="2"/>
      <c r="M166" s="2"/>
    </row>
    <row r="167" spans="1:14" s="791" customFormat="1" ht="16.5" thickBot="1">
      <c r="A167" s="660">
        <v>38</v>
      </c>
      <c r="B167" s="673" t="s">
        <v>549</v>
      </c>
      <c r="C167" s="673" t="s">
        <v>1059</v>
      </c>
      <c r="D167" s="672">
        <f>D161+D163+D164</f>
        <v>417266160.73116571</v>
      </c>
      <c r="E167" s="656"/>
      <c r="F167" s="656"/>
      <c r="G167" s="656"/>
      <c r="H167" s="656"/>
      <c r="I167" s="672">
        <f>I161+I163+I164</f>
        <v>48658330.106614612</v>
      </c>
      <c r="J167" s="790"/>
      <c r="K167" s="790"/>
      <c r="L167" s="790"/>
      <c r="M167" s="790"/>
    </row>
    <row r="168" spans="1:14" ht="16.5" thickTop="1">
      <c r="A168" s="660"/>
      <c r="B168" s="675"/>
      <c r="C168" s="656"/>
      <c r="D168" s="656"/>
      <c r="E168" s="516"/>
      <c r="F168" s="516"/>
      <c r="G168" s="516"/>
      <c r="H168" s="516"/>
      <c r="I168" s="516"/>
      <c r="J168" s="511"/>
      <c r="K168" s="511"/>
      <c r="L168" s="511"/>
      <c r="M168" s="511"/>
    </row>
    <row r="169" spans="1:14">
      <c r="A169" s="660"/>
      <c r="B169" s="673"/>
      <c r="C169" s="656"/>
      <c r="D169" s="656"/>
      <c r="E169" s="516"/>
      <c r="F169" s="516"/>
      <c r="G169" s="516"/>
      <c r="H169" s="516"/>
      <c r="I169" s="516"/>
      <c r="J169" s="511"/>
      <c r="K169" s="511"/>
      <c r="L169" s="511"/>
      <c r="M169" s="511"/>
    </row>
    <row r="170" spans="1:14">
      <c r="A170" s="660"/>
      <c r="B170" s="673"/>
      <c r="C170" s="656"/>
      <c r="D170" s="656"/>
      <c r="E170" s="516"/>
      <c r="F170" s="516"/>
      <c r="G170" s="516"/>
      <c r="H170" s="516"/>
      <c r="I170" s="516"/>
      <c r="J170" s="511"/>
      <c r="K170" s="511"/>
      <c r="L170" s="511"/>
      <c r="M170" s="511"/>
    </row>
    <row r="171" spans="1:14">
      <c r="A171" s="517"/>
      <c r="B171" s="566"/>
      <c r="C171" s="516"/>
      <c r="D171" s="516"/>
      <c r="E171" s="516"/>
      <c r="F171" s="516"/>
      <c r="G171" s="516"/>
      <c r="H171" s="516"/>
      <c r="I171" s="516"/>
      <c r="J171" s="511"/>
      <c r="K171" s="511"/>
      <c r="L171" s="511"/>
      <c r="M171" s="511"/>
    </row>
    <row r="172" spans="1:14">
      <c r="A172" s="517"/>
      <c r="B172" s="566"/>
      <c r="C172" s="516"/>
      <c r="D172" s="516"/>
      <c r="E172" s="516"/>
      <c r="F172" s="516"/>
      <c r="G172" s="516"/>
      <c r="H172" s="516"/>
      <c r="I172" s="516"/>
      <c r="J172" s="511"/>
      <c r="K172" s="511"/>
      <c r="L172" s="511"/>
      <c r="M172" s="511"/>
    </row>
    <row r="173" spans="1:14">
      <c r="A173" s="517"/>
      <c r="B173" s="566"/>
      <c r="C173" s="516"/>
      <c r="D173" s="516"/>
      <c r="E173" s="516"/>
      <c r="F173" s="516"/>
      <c r="G173" s="516"/>
      <c r="H173" s="516"/>
      <c r="I173" s="516"/>
      <c r="J173" s="511"/>
      <c r="K173" s="511"/>
      <c r="L173" s="511"/>
      <c r="M173" s="511"/>
    </row>
    <row r="174" spans="1:14">
      <c r="A174" s="517"/>
      <c r="B174" s="566"/>
      <c r="C174" s="516"/>
      <c r="D174" s="516"/>
      <c r="E174" s="516"/>
      <c r="F174" s="516"/>
      <c r="G174" s="516"/>
      <c r="H174" s="516"/>
      <c r="I174" s="516"/>
      <c r="J174" s="511"/>
      <c r="K174" s="511"/>
      <c r="L174" s="511"/>
      <c r="M174" s="511"/>
    </row>
    <row r="175" spans="1:14">
      <c r="A175" s="517"/>
      <c r="B175" s="566"/>
      <c r="C175" s="516"/>
      <c r="D175" s="516"/>
      <c r="E175" s="516"/>
      <c r="F175" s="516"/>
      <c r="G175" s="516"/>
      <c r="H175" s="516"/>
      <c r="I175" s="516"/>
      <c r="J175" s="511"/>
      <c r="K175" s="511"/>
      <c r="L175" s="511"/>
      <c r="M175" s="511"/>
    </row>
    <row r="176" spans="1:14">
      <c r="A176" s="517"/>
      <c r="B176" s="566"/>
      <c r="C176" s="516"/>
      <c r="D176" s="516"/>
      <c r="E176" s="516"/>
      <c r="F176" s="516"/>
      <c r="G176" s="516"/>
      <c r="H176" s="516"/>
      <c r="I176" s="516"/>
      <c r="J176" s="511"/>
      <c r="K176" s="511"/>
      <c r="L176" s="511"/>
      <c r="M176" s="511"/>
    </row>
    <row r="177" spans="1:13">
      <c r="A177" s="517"/>
      <c r="B177" s="566"/>
      <c r="C177" s="516"/>
      <c r="D177" s="516"/>
      <c r="E177" s="516"/>
      <c r="F177" s="516"/>
      <c r="G177" s="516"/>
      <c r="H177" s="516"/>
      <c r="I177" s="516"/>
      <c r="J177" s="511"/>
      <c r="K177" s="511"/>
      <c r="L177" s="511"/>
      <c r="M177" s="511"/>
    </row>
    <row r="178" spans="1:13">
      <c r="A178" s="572"/>
      <c r="B178" s="511"/>
      <c r="C178" s="516"/>
      <c r="D178" s="516"/>
      <c r="E178" s="516"/>
      <c r="F178" s="516"/>
      <c r="G178" s="560"/>
      <c r="H178" s="516"/>
      <c r="I178" s="516"/>
      <c r="J178" s="516"/>
      <c r="K178" s="554"/>
      <c r="L178" s="510"/>
    </row>
    <row r="179" spans="1:13">
      <c r="A179" s="572"/>
      <c r="B179" s="511"/>
      <c r="C179" s="516"/>
      <c r="D179" s="516"/>
      <c r="E179" s="516"/>
      <c r="F179" s="516"/>
      <c r="G179" s="560"/>
      <c r="H179" s="516"/>
      <c r="I179" s="516"/>
      <c r="J179" s="516"/>
      <c r="K179" s="554"/>
      <c r="L179" s="510"/>
    </row>
    <row r="180" spans="1:13">
      <c r="B180" s="511"/>
      <c r="C180" s="511"/>
      <c r="D180" s="512"/>
      <c r="E180" s="511"/>
      <c r="F180" s="511"/>
      <c r="G180" s="511"/>
      <c r="H180" s="511"/>
      <c r="I180" s="517"/>
      <c r="J180" s="517"/>
      <c r="K180" s="513"/>
      <c r="L180" s="511"/>
      <c r="M180" s="511"/>
    </row>
    <row r="181" spans="1:13">
      <c r="B181" s="511"/>
      <c r="C181" s="511"/>
      <c r="D181" s="512"/>
      <c r="E181" s="511"/>
      <c r="F181" s="511"/>
      <c r="G181" s="511"/>
      <c r="H181" s="511"/>
      <c r="I181" s="513"/>
      <c r="J181" s="513"/>
      <c r="K181" s="513"/>
      <c r="L181" s="511"/>
      <c r="M181" s="511"/>
    </row>
    <row r="182" spans="1:13" ht="16.5" customHeight="1">
      <c r="B182" s="511"/>
      <c r="C182" s="511"/>
      <c r="D182" s="512"/>
      <c r="E182" s="511"/>
      <c r="F182" s="511"/>
      <c r="G182" s="511"/>
      <c r="H182" s="511"/>
      <c r="I182" s="511"/>
      <c r="K182" s="513" t="str">
        <f>K104</f>
        <v>Attachment H -11A</v>
      </c>
      <c r="L182" s="511"/>
      <c r="M182" s="511"/>
    </row>
    <row r="183" spans="1:13" ht="16.5" customHeight="1">
      <c r="B183" s="511"/>
      <c r="C183" s="511"/>
      <c r="D183" s="512"/>
      <c r="E183" s="511"/>
      <c r="F183" s="511"/>
      <c r="G183" s="511"/>
      <c r="H183" s="511"/>
      <c r="I183" s="511"/>
      <c r="J183" s="511"/>
      <c r="K183" s="513" t="s">
        <v>130</v>
      </c>
      <c r="L183" s="511"/>
      <c r="M183" s="511"/>
    </row>
    <row r="184" spans="1:13" ht="16.5" customHeight="1">
      <c r="B184" s="511"/>
      <c r="C184" s="511"/>
      <c r="D184" s="512"/>
      <c r="E184" s="511"/>
      <c r="F184" s="511"/>
      <c r="G184" s="511"/>
      <c r="H184" s="511"/>
      <c r="I184" s="511"/>
      <c r="J184" s="511"/>
      <c r="K184" s="513"/>
      <c r="L184" s="511"/>
      <c r="M184" s="511"/>
    </row>
    <row r="185" spans="1:13">
      <c r="B185" s="511" t="s">
        <v>1</v>
      </c>
      <c r="C185" s="511"/>
      <c r="D185" s="512" t="s">
        <v>2</v>
      </c>
      <c r="E185" s="511"/>
      <c r="F185" s="511"/>
      <c r="G185" s="511"/>
      <c r="H185" s="511"/>
      <c r="I185" s="511"/>
      <c r="J185" s="511"/>
      <c r="K185" s="513" t="str">
        <f>K4</f>
        <v>For the 12 months ended 12/31/2023</v>
      </c>
      <c r="L185" s="511"/>
      <c r="M185" s="511"/>
    </row>
    <row r="186" spans="1:13">
      <c r="B186" s="511"/>
      <c r="C186" s="516" t="s">
        <v>3</v>
      </c>
      <c r="D186" s="516" t="s">
        <v>4</v>
      </c>
      <c r="E186" s="516"/>
      <c r="F186" s="516"/>
      <c r="G186" s="516"/>
      <c r="H186" s="511"/>
      <c r="I186" s="511"/>
      <c r="J186" s="511"/>
      <c r="K186" s="511"/>
      <c r="L186" s="511"/>
      <c r="M186" s="511"/>
    </row>
    <row r="187" spans="1:13" ht="9.75" customHeight="1">
      <c r="A187" s="517"/>
      <c r="J187" s="516"/>
      <c r="K187" s="516"/>
      <c r="L187" s="516"/>
      <c r="M187" s="516"/>
    </row>
    <row r="188" spans="1:13">
      <c r="A188" s="517"/>
      <c r="D188" s="510" t="str">
        <f>D7</f>
        <v>MON POWER</v>
      </c>
      <c r="J188" s="516"/>
      <c r="K188" s="516"/>
      <c r="L188" s="516"/>
      <c r="M188" s="516"/>
    </row>
    <row r="189" spans="1:13">
      <c r="A189" s="517"/>
      <c r="C189" s="555" t="s">
        <v>66</v>
      </c>
      <c r="E189" s="511"/>
      <c r="F189" s="511"/>
      <c r="G189" s="511"/>
      <c r="H189" s="511"/>
      <c r="I189" s="511"/>
      <c r="J189" s="516"/>
      <c r="K189" s="516"/>
      <c r="L189" s="511"/>
      <c r="M189" s="516"/>
    </row>
    <row r="190" spans="1:13">
      <c r="A190" s="517" t="s">
        <v>5</v>
      </c>
      <c r="B190" s="517" t="s">
        <v>18</v>
      </c>
      <c r="C190" s="517" t="s">
        <v>19</v>
      </c>
      <c r="D190" s="517" t="s">
        <v>20</v>
      </c>
      <c r="E190" s="520" t="s">
        <v>21</v>
      </c>
      <c r="F190" s="516"/>
      <c r="G190" s="520" t="s">
        <v>22</v>
      </c>
      <c r="H190" s="516"/>
      <c r="I190" s="520" t="s">
        <v>23</v>
      </c>
      <c r="J190" s="516"/>
      <c r="L190" s="511"/>
      <c r="M190" s="516"/>
    </row>
    <row r="191" spans="1:13" ht="16.5" thickBot="1">
      <c r="A191" s="521" t="s">
        <v>7</v>
      </c>
      <c r="B191" s="511" t="s">
        <v>67</v>
      </c>
      <c r="C191" s="511"/>
      <c r="D191" s="511"/>
      <c r="E191" s="511"/>
      <c r="F191" s="511"/>
      <c r="G191" s="511"/>
      <c r="J191" s="516"/>
      <c r="K191" s="516"/>
      <c r="L191" s="511"/>
      <c r="M191" s="516"/>
    </row>
    <row r="192" spans="1:13">
      <c r="A192" s="517">
        <v>1</v>
      </c>
      <c r="B192" s="511" t="s">
        <v>841</v>
      </c>
      <c r="C192" s="511"/>
      <c r="D192" s="516"/>
      <c r="E192" s="516"/>
      <c r="F192" s="516"/>
      <c r="G192" s="516"/>
      <c r="H192" s="516"/>
      <c r="I192" s="530">
        <f>D43</f>
        <v>649733895.68458819</v>
      </c>
      <c r="J192" s="516"/>
      <c r="K192" s="516"/>
      <c r="L192" s="511"/>
      <c r="M192" s="516"/>
    </row>
    <row r="193" spans="1:13">
      <c r="A193" s="517">
        <v>2</v>
      </c>
      <c r="B193" s="2" t="s">
        <v>1111</v>
      </c>
      <c r="I193" s="531"/>
      <c r="J193" s="516"/>
      <c r="K193" s="516"/>
      <c r="L193" s="516"/>
      <c r="M193" s="516"/>
    </row>
    <row r="194" spans="1:13" ht="16.5" thickBot="1">
      <c r="A194" s="517">
        <v>3</v>
      </c>
      <c r="B194" s="1022" t="s">
        <v>1112</v>
      </c>
      <c r="C194" s="582"/>
      <c r="D194" s="516"/>
      <c r="E194" s="516"/>
      <c r="F194" s="516"/>
      <c r="G194" s="570"/>
      <c r="H194" s="516"/>
      <c r="I194" s="583">
        <v>24317887.34</v>
      </c>
      <c r="J194" s="516"/>
      <c r="K194" s="516"/>
      <c r="L194" s="516"/>
      <c r="M194" s="516"/>
    </row>
    <row r="195" spans="1:13">
      <c r="A195" s="517">
        <v>4</v>
      </c>
      <c r="B195" s="511" t="s">
        <v>842</v>
      </c>
      <c r="C195" s="511"/>
      <c r="D195" s="516"/>
      <c r="E195" s="516"/>
      <c r="F195" s="516"/>
      <c r="G195" s="570"/>
      <c r="H195" s="516"/>
      <c r="I195" s="530">
        <f>I192-I193-I194</f>
        <v>625416008.34458816</v>
      </c>
      <c r="J195" s="516"/>
      <c r="K195" s="516"/>
      <c r="L195" s="511"/>
      <c r="M195" s="516"/>
    </row>
    <row r="196" spans="1:13">
      <c r="A196" s="517">
        <v>5</v>
      </c>
      <c r="B196" s="511" t="s">
        <v>843</v>
      </c>
      <c r="C196" s="518"/>
      <c r="D196" s="518"/>
      <c r="E196" s="518"/>
      <c r="F196" s="518"/>
      <c r="G196" s="520"/>
      <c r="H196" s="516" t="s">
        <v>68</v>
      </c>
      <c r="I196" s="584">
        <f>IF(I192&gt;0,I195/I192,0)</f>
        <v>0.96257254315726037</v>
      </c>
      <c r="J196" s="516"/>
      <c r="K196" s="516"/>
      <c r="L196" s="511"/>
      <c r="M196" s="516"/>
    </row>
    <row r="197" spans="1:13" ht="9.75" customHeight="1">
      <c r="A197" s="517"/>
      <c r="B197" s="511"/>
      <c r="C197" s="518"/>
      <c r="D197" s="518"/>
      <c r="E197" s="518"/>
      <c r="F197" s="518"/>
      <c r="G197" s="520"/>
      <c r="H197" s="516"/>
      <c r="I197" s="584"/>
      <c r="J197" s="516"/>
      <c r="K197" s="516"/>
      <c r="L197" s="511"/>
      <c r="M197" s="516"/>
    </row>
    <row r="198" spans="1:13">
      <c r="A198" s="517"/>
      <c r="B198" s="511" t="s">
        <v>69</v>
      </c>
      <c r="J198" s="516"/>
      <c r="K198" s="516"/>
      <c r="L198" s="511"/>
      <c r="M198" s="516"/>
    </row>
    <row r="199" spans="1:13" ht="9.75" customHeight="1">
      <c r="A199" s="517"/>
      <c r="J199" s="516"/>
      <c r="K199" s="516"/>
      <c r="L199" s="511"/>
      <c r="M199" s="516"/>
    </row>
    <row r="200" spans="1:13" ht="15.6" customHeight="1">
      <c r="A200" s="517">
        <v>6</v>
      </c>
      <c r="B200" s="1" t="s">
        <v>1113</v>
      </c>
      <c r="D200" s="511"/>
      <c r="E200" s="511"/>
      <c r="F200" s="511"/>
      <c r="G200" s="517"/>
      <c r="H200" s="511"/>
      <c r="I200" s="530">
        <f>'Attachment 20 - O&amp;M and A&amp;G'!I32</f>
        <v>141543246</v>
      </c>
      <c r="J200" s="656"/>
      <c r="K200" s="516"/>
      <c r="L200" s="516"/>
      <c r="M200" s="516"/>
    </row>
    <row r="201" spans="1:13" ht="16.5" thickBot="1">
      <c r="A201" s="517">
        <v>7</v>
      </c>
      <c r="B201" s="1022" t="s">
        <v>1114</v>
      </c>
      <c r="C201" s="582"/>
      <c r="D201" s="516"/>
      <c r="E201" s="516"/>
      <c r="F201" s="516"/>
      <c r="G201" s="516"/>
      <c r="H201" s="516"/>
      <c r="I201" s="558">
        <f>'Attachment 20 - O&amp;M and A&amp;G'!I8+'Attachment 20 - O&amp;M and A&amp;G'!I9+'Attachment 20 - O&amp;M and A&amp;G'!I10</f>
        <v>670019</v>
      </c>
      <c r="J201" s="516"/>
      <c r="K201" s="516"/>
      <c r="L201" s="516"/>
      <c r="M201" s="516"/>
    </row>
    <row r="202" spans="1:13">
      <c r="A202" s="517">
        <v>8</v>
      </c>
      <c r="B202" s="511" t="s">
        <v>844</v>
      </c>
      <c r="C202" s="518"/>
      <c r="D202" s="518"/>
      <c r="E202" s="518"/>
      <c r="F202" s="518"/>
      <c r="G202" s="520"/>
      <c r="H202" s="518"/>
      <c r="I202" s="530">
        <f>SUM(I200-I201)</f>
        <v>140873227</v>
      </c>
      <c r="L202" s="516"/>
      <c r="M202" s="516"/>
    </row>
    <row r="203" spans="1:13" ht="15.6" customHeight="1">
      <c r="A203" s="517">
        <v>9</v>
      </c>
      <c r="B203" s="511" t="s">
        <v>845</v>
      </c>
      <c r="C203" s="511"/>
      <c r="D203" s="682"/>
      <c r="E203" s="516"/>
      <c r="F203" s="516"/>
      <c r="G203" s="516"/>
      <c r="H203" s="516"/>
      <c r="I203" s="556">
        <f>IF(I200&gt;0,I202/I200,0)</f>
        <v>0.99526633012217336</v>
      </c>
      <c r="L203" s="516"/>
      <c r="M203" s="516"/>
    </row>
    <row r="204" spans="1:13" ht="15" customHeight="1">
      <c r="A204" s="517">
        <v>10</v>
      </c>
      <c r="B204" s="511" t="s">
        <v>846</v>
      </c>
      <c r="C204" s="511"/>
      <c r="D204" s="683"/>
      <c r="E204" s="516"/>
      <c r="F204" s="516"/>
      <c r="G204" s="516"/>
      <c r="H204" s="511" t="s">
        <v>12</v>
      </c>
      <c r="I204" s="556">
        <f>I196</f>
        <v>0.96257254315726037</v>
      </c>
      <c r="L204" s="516"/>
      <c r="M204" s="516"/>
    </row>
    <row r="205" spans="1:13">
      <c r="A205" s="517">
        <v>11</v>
      </c>
      <c r="B205" s="511" t="s">
        <v>847</v>
      </c>
      <c r="C205" s="511"/>
      <c r="D205" s="683"/>
      <c r="E205" s="511"/>
      <c r="F205" s="511"/>
      <c r="G205" s="511"/>
      <c r="H205" s="511" t="s">
        <v>70</v>
      </c>
      <c r="I205" s="528">
        <f>+I204*I203</f>
        <v>0.9580160425044939</v>
      </c>
      <c r="L205" s="516"/>
      <c r="M205" s="516"/>
    </row>
    <row r="206" spans="1:13" ht="9.75" customHeight="1">
      <c r="A206" s="517"/>
      <c r="C206" s="511"/>
      <c r="D206" s="683"/>
      <c r="E206" s="516"/>
      <c r="F206" s="516"/>
      <c r="G206" s="570"/>
      <c r="H206" s="516"/>
      <c r="L206" s="516"/>
      <c r="M206" s="516"/>
    </row>
    <row r="207" spans="1:13">
      <c r="A207" s="517" t="s">
        <v>3</v>
      </c>
      <c r="B207" s="511" t="s">
        <v>71</v>
      </c>
      <c r="C207" s="516"/>
      <c r="D207" s="516"/>
      <c r="E207" s="516"/>
      <c r="F207" s="516"/>
      <c r="G207" s="516"/>
      <c r="H207" s="516"/>
      <c r="I207" s="516"/>
      <c r="J207" s="516"/>
      <c r="K207" s="516"/>
      <c r="L207" s="516"/>
      <c r="M207" s="516"/>
    </row>
    <row r="208" spans="1:13" ht="16.5" thickBot="1">
      <c r="A208" s="517" t="s">
        <v>3</v>
      </c>
      <c r="B208" s="511"/>
      <c r="C208" s="585" t="s">
        <v>72</v>
      </c>
      <c r="D208" s="538" t="s">
        <v>73</v>
      </c>
      <c r="E208" s="538" t="s">
        <v>12</v>
      </c>
      <c r="F208" s="656" t="s">
        <v>1115</v>
      </c>
      <c r="G208" s="538" t="s">
        <v>74</v>
      </c>
      <c r="H208" s="516"/>
      <c r="I208" s="516"/>
      <c r="J208" s="516"/>
      <c r="K208" s="516"/>
      <c r="L208" s="516"/>
      <c r="M208" s="516"/>
    </row>
    <row r="209" spans="1:18">
      <c r="A209" s="517">
        <v>12</v>
      </c>
      <c r="B209" s="511" t="s">
        <v>30</v>
      </c>
      <c r="C209" s="516" t="s">
        <v>126</v>
      </c>
      <c r="D209" s="531">
        <v>35745983</v>
      </c>
      <c r="E209" s="586">
        <v>0</v>
      </c>
      <c r="F209" s="586"/>
      <c r="G209" s="557">
        <f>D209*E209</f>
        <v>0</v>
      </c>
      <c r="H209" s="516"/>
      <c r="I209" s="516"/>
      <c r="J209" s="516"/>
      <c r="K209" s="516"/>
      <c r="L209" s="516"/>
      <c r="M209" s="516"/>
    </row>
    <row r="210" spans="1:18">
      <c r="A210" s="517">
        <v>13</v>
      </c>
      <c r="B210" s="511" t="s">
        <v>32</v>
      </c>
      <c r="C210" s="516" t="s">
        <v>127</v>
      </c>
      <c r="D210" s="531">
        <v>2278174</v>
      </c>
      <c r="E210" s="586">
        <f>+I196</f>
        <v>0.96257254315726037</v>
      </c>
      <c r="F210" s="897"/>
      <c r="G210" s="557">
        <f>D210*E210</f>
        <v>2192907.7409347487</v>
      </c>
      <c r="H210" s="516"/>
      <c r="I210" s="1023" t="s">
        <v>1116</v>
      </c>
      <c r="J210" s="516"/>
      <c r="K210" s="516"/>
      <c r="L210" s="516"/>
      <c r="M210" s="516"/>
    </row>
    <row r="211" spans="1:18">
      <c r="A211" s="517">
        <v>14</v>
      </c>
      <c r="B211" s="511" t="s">
        <v>33</v>
      </c>
      <c r="C211" s="516" t="s">
        <v>128</v>
      </c>
      <c r="D211" s="531">
        <v>20213068</v>
      </c>
      <c r="E211" s="586">
        <v>0</v>
      </c>
      <c r="F211" s="586"/>
      <c r="G211" s="557">
        <f>D211*E211</f>
        <v>0</v>
      </c>
      <c r="H211" s="516"/>
      <c r="I211" s="570" t="s">
        <v>75</v>
      </c>
      <c r="J211" s="516"/>
      <c r="K211" s="516"/>
      <c r="L211" s="516"/>
      <c r="M211" s="516"/>
    </row>
    <row r="212" spans="1:18" ht="16.5" thickBot="1">
      <c r="A212" s="517">
        <v>15</v>
      </c>
      <c r="B212" s="511" t="s">
        <v>76</v>
      </c>
      <c r="C212" s="656" t="s">
        <v>629</v>
      </c>
      <c r="D212" s="583">
        <v>7974496</v>
      </c>
      <c r="E212" s="586">
        <v>0</v>
      </c>
      <c r="F212" s="586"/>
      <c r="G212" s="559">
        <f>D212*E212</f>
        <v>0</v>
      </c>
      <c r="H212" s="516"/>
      <c r="I212" s="521" t="s">
        <v>77</v>
      </c>
      <c r="J212" s="516"/>
      <c r="K212" s="516"/>
      <c r="L212" s="516"/>
      <c r="M212" s="516"/>
    </row>
    <row r="213" spans="1:18">
      <c r="A213" s="517">
        <v>16</v>
      </c>
      <c r="B213" s="511" t="s">
        <v>848</v>
      </c>
      <c r="C213" s="516"/>
      <c r="D213" s="530">
        <f>SUM(D209:D212)</f>
        <v>66211721</v>
      </c>
      <c r="E213" s="516"/>
      <c r="F213" s="516"/>
      <c r="G213" s="557">
        <f>SUM(G209:G212)</f>
        <v>2192907.7409347487</v>
      </c>
      <c r="H213" s="517" t="s">
        <v>78</v>
      </c>
      <c r="I213" s="556">
        <f>IF(G213&gt;0,G213/D213,1)</f>
        <v>3.3119630600369813E-2</v>
      </c>
      <c r="J213" s="587" t="s">
        <v>132</v>
      </c>
      <c r="K213" s="516"/>
      <c r="L213" s="516"/>
      <c r="M213" s="516"/>
    </row>
    <row r="214" spans="1:18" ht="24" customHeight="1">
      <c r="A214" s="517"/>
      <c r="B214" s="511"/>
      <c r="C214" s="516"/>
      <c r="D214" s="516"/>
      <c r="E214" s="516"/>
      <c r="F214" s="516"/>
      <c r="G214" s="516"/>
      <c r="H214" s="516"/>
      <c r="I214" s="516"/>
      <c r="J214" s="516"/>
      <c r="K214" s="516"/>
      <c r="L214" s="516"/>
      <c r="M214" s="516"/>
    </row>
    <row r="215" spans="1:18">
      <c r="A215" s="517"/>
      <c r="B215" s="2" t="s">
        <v>1117</v>
      </c>
      <c r="C215" s="516"/>
      <c r="D215" s="516"/>
      <c r="E215" s="516"/>
      <c r="F215" s="516"/>
      <c r="G215" s="516"/>
      <c r="H215" s="516"/>
      <c r="I215" s="516"/>
      <c r="J215" s="516"/>
      <c r="K215" s="516"/>
      <c r="L215" s="516"/>
      <c r="M215" s="516"/>
    </row>
    <row r="216" spans="1:18">
      <c r="A216" s="517"/>
      <c r="B216" s="511"/>
      <c r="C216" s="516"/>
      <c r="D216" s="588" t="s">
        <v>73</v>
      </c>
      <c r="E216" s="516"/>
      <c r="F216" s="516"/>
      <c r="G216" s="570" t="s">
        <v>79</v>
      </c>
      <c r="H216" s="577" t="s">
        <v>3</v>
      </c>
      <c r="I216" s="560" t="str">
        <f>+I211</f>
        <v>W&amp;S Allocator</v>
      </c>
      <c r="L216" s="516"/>
      <c r="M216" s="516"/>
    </row>
    <row r="217" spans="1:18">
      <c r="A217" s="517">
        <v>17</v>
      </c>
      <c r="B217" s="511" t="s">
        <v>80</v>
      </c>
      <c r="C217" s="516" t="s">
        <v>81</v>
      </c>
      <c r="D217" s="589"/>
      <c r="E217" s="516"/>
      <c r="G217" s="517" t="s">
        <v>849</v>
      </c>
      <c r="H217" s="577"/>
      <c r="I217" s="517" t="s">
        <v>850</v>
      </c>
      <c r="J217" s="516"/>
      <c r="K217" s="517" t="s">
        <v>37</v>
      </c>
      <c r="L217" s="516"/>
      <c r="M217" s="516"/>
    </row>
    <row r="218" spans="1:18">
      <c r="A218" s="517">
        <v>18</v>
      </c>
      <c r="B218" s="511" t="s">
        <v>82</v>
      </c>
      <c r="C218" s="516" t="s">
        <v>83</v>
      </c>
      <c r="D218" s="589"/>
      <c r="E218" s="516"/>
      <c r="G218" s="528">
        <f>IF(D220&gt;0,D217/D220,1)</f>
        <v>1</v>
      </c>
      <c r="H218" s="570" t="s">
        <v>84</v>
      </c>
      <c r="I218" s="528">
        <f>I213</f>
        <v>3.3119630600369813E-2</v>
      </c>
      <c r="J218" s="577" t="s">
        <v>78</v>
      </c>
      <c r="K218" s="528">
        <f>G218*I218</f>
        <v>3.3119630600369813E-2</v>
      </c>
      <c r="L218" s="516"/>
      <c r="M218" s="590"/>
      <c r="N218" s="590"/>
      <c r="O218" s="591"/>
      <c r="P218" s="592"/>
      <c r="Q218" s="592"/>
      <c r="R218" s="592"/>
    </row>
    <row r="219" spans="1:18" ht="16.5" thickBot="1">
      <c r="A219" s="517">
        <v>19</v>
      </c>
      <c r="B219" s="582" t="s">
        <v>85</v>
      </c>
      <c r="C219" s="585" t="s">
        <v>86</v>
      </c>
      <c r="D219" s="593"/>
      <c r="E219" s="516"/>
      <c r="F219" s="516"/>
      <c r="G219" s="516" t="s">
        <v>3</v>
      </c>
      <c r="H219" s="516"/>
      <c r="I219" s="516"/>
      <c r="J219" s="516"/>
      <c r="K219" s="516"/>
      <c r="L219" s="516"/>
      <c r="M219" s="594"/>
      <c r="N219" s="594"/>
      <c r="O219" s="592"/>
      <c r="P219" s="592"/>
      <c r="Q219" s="592"/>
      <c r="R219" s="592"/>
    </row>
    <row r="220" spans="1:18">
      <c r="A220" s="517">
        <v>20</v>
      </c>
      <c r="B220" s="511" t="s">
        <v>851</v>
      </c>
      <c r="C220" s="516"/>
      <c r="D220" s="546">
        <f>SUM(D217:D219)</f>
        <v>0</v>
      </c>
      <c r="E220" s="516"/>
      <c r="F220" s="516"/>
      <c r="G220" s="516"/>
      <c r="H220" s="516"/>
      <c r="I220" s="516"/>
      <c r="J220" s="516"/>
      <c r="K220" s="516"/>
      <c r="L220" s="516"/>
      <c r="N220" s="595"/>
      <c r="O220" s="596"/>
      <c r="P220" s="597"/>
      <c r="Q220" s="595"/>
      <c r="R220" s="595"/>
    </row>
    <row r="221" spans="1:18">
      <c r="A221" s="517"/>
      <c r="B221" s="511"/>
      <c r="C221" s="516"/>
      <c r="D221" s="546"/>
      <c r="E221" s="516"/>
      <c r="F221" s="516"/>
      <c r="G221" s="516"/>
      <c r="H221" s="516"/>
      <c r="I221" s="516"/>
      <c r="J221" s="516"/>
      <c r="K221" s="516"/>
      <c r="L221" s="516"/>
      <c r="N221" s="595"/>
      <c r="O221" s="596"/>
      <c r="P221" s="597"/>
      <c r="Q221" s="595"/>
      <c r="R221" s="595"/>
    </row>
    <row r="222" spans="1:18">
      <c r="A222" s="517"/>
      <c r="B222" s="2" t="s">
        <v>771</v>
      </c>
      <c r="C222" s="516"/>
      <c r="E222" s="516"/>
      <c r="F222" s="516"/>
      <c r="G222" s="516"/>
      <c r="H222" s="516"/>
      <c r="I222" s="516"/>
      <c r="J222" s="516"/>
      <c r="K222" s="516"/>
      <c r="L222" s="516"/>
      <c r="M222" s="1092"/>
      <c r="N222" s="1092"/>
      <c r="O222" s="1092"/>
      <c r="P222" s="1092"/>
      <c r="Q222" s="1092"/>
      <c r="R222" s="1092"/>
    </row>
    <row r="223" spans="1:18">
      <c r="A223" s="517"/>
      <c r="B223" s="2"/>
      <c r="C223" s="516"/>
      <c r="E223" s="516"/>
      <c r="F223" s="516"/>
      <c r="G223" s="516"/>
      <c r="H223" s="516"/>
      <c r="I223" s="516"/>
      <c r="J223" s="516"/>
      <c r="K223" s="516"/>
      <c r="L223" s="516"/>
      <c r="M223" s="792"/>
      <c r="N223" s="792"/>
      <c r="O223" s="792"/>
      <c r="P223" s="792"/>
      <c r="Q223" s="792"/>
      <c r="R223" s="792"/>
    </row>
    <row r="224" spans="1:18">
      <c r="A224" s="517">
        <v>21</v>
      </c>
      <c r="B224" s="2" t="s">
        <v>792</v>
      </c>
      <c r="C224" s="516"/>
      <c r="E224" s="516"/>
      <c r="F224" s="516"/>
      <c r="G224" s="516"/>
      <c r="H224" s="516"/>
      <c r="I224" s="516"/>
      <c r="J224" s="516"/>
      <c r="K224" s="516"/>
      <c r="L224" s="516"/>
      <c r="M224" s="792"/>
      <c r="N224" s="792"/>
      <c r="O224" s="792"/>
      <c r="P224" s="792"/>
      <c r="Q224" s="792"/>
      <c r="R224" s="792"/>
    </row>
    <row r="225" spans="1:18">
      <c r="A225" s="517">
        <v>22</v>
      </c>
      <c r="B225" s="2" t="s">
        <v>152</v>
      </c>
      <c r="C225" s="2" t="s">
        <v>1060</v>
      </c>
      <c r="E225" s="516"/>
      <c r="F225" s="516"/>
      <c r="G225" s="516"/>
      <c r="H225" s="516"/>
      <c r="I225" s="516">
        <f>IF(I156=0, 0, I156/I59)</f>
        <v>1.2968439113626997E-2</v>
      </c>
      <c r="J225" s="516"/>
      <c r="K225" s="516"/>
      <c r="L225" s="516"/>
      <c r="M225" s="792"/>
      <c r="N225" s="792"/>
      <c r="O225" s="792"/>
      <c r="P225" s="792"/>
      <c r="Q225" s="792"/>
      <c r="R225" s="792"/>
    </row>
    <row r="226" spans="1:18">
      <c r="A226" s="517">
        <v>23</v>
      </c>
      <c r="B226" s="2" t="s">
        <v>156</v>
      </c>
      <c r="C226" s="2" t="s">
        <v>1061</v>
      </c>
      <c r="E226" s="516"/>
      <c r="F226" s="516"/>
      <c r="G226" s="516"/>
      <c r="H226" s="516"/>
      <c r="I226" s="516">
        <f>IF(I158=0, 0, I158/I59)</f>
        <v>5.8220886002859434E-2</v>
      </c>
      <c r="J226" s="516"/>
      <c r="K226" s="516"/>
      <c r="L226" s="516"/>
      <c r="M226" s="792"/>
      <c r="N226" s="792"/>
      <c r="O226" s="792"/>
      <c r="P226" s="792"/>
      <c r="Q226" s="792"/>
      <c r="R226" s="792"/>
    </row>
    <row r="227" spans="1:18">
      <c r="A227" s="517">
        <v>24</v>
      </c>
      <c r="B227" s="2" t="s">
        <v>832</v>
      </c>
      <c r="C227" s="2" t="s">
        <v>862</v>
      </c>
      <c r="E227" s="516"/>
      <c r="F227" s="516"/>
      <c r="G227" s="516"/>
      <c r="H227" s="516"/>
      <c r="I227" s="516">
        <f>SUM(I225:I226)</f>
        <v>7.1189325116486429E-2</v>
      </c>
      <c r="J227" s="516"/>
      <c r="K227" s="516"/>
      <c r="L227" s="516"/>
      <c r="M227" s="792"/>
      <c r="N227" s="792"/>
      <c r="O227" s="792"/>
      <c r="P227" s="792"/>
      <c r="Q227" s="792"/>
      <c r="R227" s="792"/>
    </row>
    <row r="228" spans="1:18">
      <c r="A228" s="517"/>
      <c r="B228" s="2"/>
      <c r="C228" s="511"/>
      <c r="E228" s="516"/>
      <c r="F228" s="516"/>
      <c r="G228" s="516"/>
      <c r="H228" s="516"/>
      <c r="I228" s="516"/>
      <c r="J228" s="516"/>
      <c r="K228" s="516"/>
      <c r="L228" s="516"/>
      <c r="M228" s="792"/>
      <c r="N228" s="792"/>
      <c r="O228" s="792"/>
      <c r="P228" s="792"/>
      <c r="Q228" s="792"/>
      <c r="R228" s="792"/>
    </row>
    <row r="229" spans="1:18">
      <c r="A229" s="517">
        <v>25</v>
      </c>
      <c r="B229" s="2" t="s">
        <v>855</v>
      </c>
      <c r="C229" s="511"/>
      <c r="E229" s="516"/>
      <c r="F229" s="516"/>
      <c r="G229" s="516"/>
      <c r="H229" s="516"/>
      <c r="I229" s="516"/>
      <c r="J229" s="516"/>
      <c r="K229" s="516"/>
      <c r="L229" s="516"/>
      <c r="M229" s="792"/>
      <c r="N229" s="792"/>
      <c r="O229" s="792"/>
      <c r="P229" s="792"/>
      <c r="Q229" s="792"/>
      <c r="R229" s="792"/>
    </row>
    <row r="230" spans="1:18">
      <c r="A230" s="517">
        <v>26</v>
      </c>
      <c r="B230" s="2" t="s">
        <v>152</v>
      </c>
      <c r="C230" s="2" t="s">
        <v>757</v>
      </c>
      <c r="E230" s="516"/>
      <c r="F230" s="516"/>
      <c r="G230" s="516"/>
      <c r="H230" s="516"/>
      <c r="I230" s="516">
        <f>'Attach 2a - Scaled ROE Adder'!I57/I59</f>
        <v>1.4292194831343086E-2</v>
      </c>
      <c r="J230" s="516"/>
      <c r="K230" s="516"/>
      <c r="L230" s="516"/>
      <c r="M230" s="792"/>
      <c r="N230" s="792"/>
      <c r="O230" s="792"/>
      <c r="P230" s="792"/>
      <c r="Q230" s="792"/>
      <c r="R230" s="792"/>
    </row>
    <row r="231" spans="1:18">
      <c r="A231" s="517">
        <v>27</v>
      </c>
      <c r="B231" s="2" t="s">
        <v>156</v>
      </c>
      <c r="C231" s="2" t="s">
        <v>758</v>
      </c>
      <c r="E231" s="516"/>
      <c r="F231" s="516"/>
      <c r="G231" s="511"/>
      <c r="H231" s="516"/>
      <c r="I231" s="511">
        <f>'Attach 2a - Scaled ROE Adder'!I40/I59</f>
        <v>6.2027936215074769E-2</v>
      </c>
      <c r="J231" s="516"/>
      <c r="K231" s="516"/>
      <c r="L231" s="516"/>
      <c r="M231" s="792"/>
      <c r="N231" s="792"/>
      <c r="O231" s="792"/>
      <c r="P231" s="792"/>
      <c r="Q231" s="792"/>
      <c r="R231" s="792"/>
    </row>
    <row r="232" spans="1:18">
      <c r="A232" s="517">
        <v>28</v>
      </c>
      <c r="B232" s="2" t="s">
        <v>856</v>
      </c>
      <c r="C232" s="2" t="s">
        <v>863</v>
      </c>
      <c r="E232" s="516"/>
      <c r="F232" s="516"/>
      <c r="G232" s="516"/>
      <c r="H232" s="516"/>
      <c r="I232" s="516">
        <f>SUM(I230:I231)</f>
        <v>7.6320131046417855E-2</v>
      </c>
      <c r="J232" s="516"/>
      <c r="K232" s="516"/>
      <c r="L232" s="516"/>
      <c r="M232" s="792"/>
      <c r="N232" s="792"/>
      <c r="O232" s="792"/>
      <c r="P232" s="792"/>
      <c r="Q232" s="792"/>
      <c r="R232" s="792"/>
    </row>
    <row r="233" spans="1:18">
      <c r="A233" s="517"/>
      <c r="B233" s="2"/>
      <c r="C233" s="511"/>
      <c r="E233" s="516"/>
      <c r="F233" s="516"/>
      <c r="G233" s="516"/>
      <c r="H233" s="516"/>
      <c r="I233" s="516"/>
      <c r="J233" s="516"/>
      <c r="K233" s="516"/>
      <c r="L233" s="516"/>
      <c r="M233" s="792"/>
      <c r="N233" s="792"/>
      <c r="O233" s="792"/>
      <c r="P233" s="792"/>
      <c r="Q233" s="792"/>
      <c r="R233" s="792"/>
    </row>
    <row r="234" spans="1:18">
      <c r="A234" s="517">
        <v>29</v>
      </c>
      <c r="B234" s="2" t="s">
        <v>748</v>
      </c>
      <c r="C234" s="2" t="s">
        <v>864</v>
      </c>
      <c r="E234" s="516"/>
      <c r="F234" s="516"/>
      <c r="G234" s="516"/>
      <c r="H234" s="516"/>
      <c r="I234" s="516">
        <f>I232-I227</f>
        <v>5.1308059299314257E-3</v>
      </c>
      <c r="J234" s="516"/>
      <c r="K234" s="516"/>
      <c r="L234" s="516"/>
      <c r="M234" s="792"/>
      <c r="N234" s="792"/>
      <c r="O234" s="792"/>
      <c r="P234" s="792"/>
      <c r="Q234" s="792"/>
      <c r="R234" s="792"/>
    </row>
    <row r="235" spans="1:18">
      <c r="A235" s="517"/>
      <c r="B235" s="2"/>
      <c r="C235" s="516"/>
      <c r="E235" s="516"/>
      <c r="F235" s="516"/>
      <c r="G235" s="516"/>
      <c r="H235" s="516"/>
      <c r="I235" s="516"/>
      <c r="J235" s="516"/>
      <c r="K235" s="516"/>
      <c r="L235" s="516"/>
      <c r="M235" s="792"/>
      <c r="N235" s="792"/>
      <c r="O235" s="792"/>
      <c r="P235" s="792"/>
      <c r="Q235" s="792"/>
      <c r="R235" s="792"/>
    </row>
    <row r="236" spans="1:18">
      <c r="A236" s="517"/>
      <c r="B236" s="2"/>
      <c r="C236" s="516"/>
      <c r="E236" s="516"/>
      <c r="F236" s="516"/>
      <c r="G236" s="516"/>
      <c r="H236" s="516"/>
      <c r="I236" s="516"/>
      <c r="J236" s="516"/>
      <c r="K236" s="516"/>
      <c r="L236" s="516"/>
      <c r="M236" s="792"/>
      <c r="N236" s="792"/>
      <c r="O236" s="792"/>
      <c r="P236" s="792"/>
      <c r="Q236" s="792"/>
      <c r="R236" s="792"/>
    </row>
    <row r="237" spans="1:18">
      <c r="A237" s="660" t="s">
        <v>3</v>
      </c>
      <c r="B237" s="511"/>
      <c r="C237" s="516"/>
      <c r="E237" s="516"/>
      <c r="F237" s="516"/>
      <c r="G237" s="516"/>
      <c r="H237" s="516"/>
      <c r="I237" s="516"/>
      <c r="J237" s="516"/>
      <c r="K237" s="516"/>
      <c r="L237" s="516"/>
      <c r="M237" s="792"/>
      <c r="N237" s="792"/>
      <c r="O237" s="792"/>
      <c r="P237" s="792"/>
      <c r="Q237" s="792"/>
      <c r="R237" s="792"/>
    </row>
    <row r="238" spans="1:18" ht="16.5" thickBot="1">
      <c r="A238" s="517"/>
      <c r="B238" s="511" t="s">
        <v>87</v>
      </c>
      <c r="C238" s="516"/>
      <c r="D238" s="516"/>
      <c r="E238" s="516"/>
      <c r="F238" s="516"/>
      <c r="G238" s="516"/>
      <c r="H238" s="516"/>
      <c r="I238" s="538" t="s">
        <v>73</v>
      </c>
      <c r="J238" s="516"/>
      <c r="K238" s="516"/>
      <c r="L238" s="516"/>
      <c r="M238" s="595"/>
      <c r="N238" s="595"/>
      <c r="O238" s="596"/>
      <c r="P238" s="597"/>
      <c r="Q238" s="595"/>
      <c r="R238" s="595"/>
    </row>
    <row r="239" spans="1:18">
      <c r="A239" s="517"/>
      <c r="B239" s="511"/>
      <c r="C239" s="516"/>
      <c r="D239" s="516"/>
      <c r="E239" s="516"/>
      <c r="F239" s="516"/>
      <c r="G239" s="516"/>
      <c r="H239" s="516"/>
      <c r="I239" s="530"/>
      <c r="J239" s="516"/>
      <c r="K239" s="516"/>
      <c r="L239" s="516"/>
      <c r="M239" s="596"/>
      <c r="N239" s="596"/>
      <c r="O239" s="596"/>
      <c r="P239" s="597"/>
      <c r="Q239" s="595"/>
      <c r="R239" s="595"/>
    </row>
    <row r="240" spans="1:18">
      <c r="A240" s="517">
        <v>30</v>
      </c>
      <c r="B240" s="516" t="s">
        <v>133</v>
      </c>
      <c r="D240" s="516"/>
      <c r="E240" s="516"/>
      <c r="F240" s="516"/>
      <c r="G240" s="516"/>
      <c r="H240" s="516"/>
      <c r="I240" s="530">
        <v>0</v>
      </c>
      <c r="J240" s="516"/>
      <c r="K240" s="516"/>
      <c r="L240" s="516"/>
      <c r="M240" s="596"/>
      <c r="N240" s="595"/>
      <c r="O240" s="598"/>
      <c r="P240" s="598"/>
      <c r="Q240" s="595"/>
      <c r="R240" s="595"/>
    </row>
    <row r="241" spans="1:18">
      <c r="A241" s="517"/>
      <c r="B241" s="511"/>
      <c r="C241" s="516"/>
      <c r="D241" s="516"/>
      <c r="E241" s="516"/>
      <c r="F241" s="516"/>
      <c r="G241" s="516"/>
      <c r="H241" s="516"/>
      <c r="I241" s="557"/>
      <c r="J241" s="516"/>
      <c r="K241" s="516"/>
      <c r="L241" s="516"/>
      <c r="M241" s="596"/>
      <c r="N241" s="595"/>
      <c r="O241" s="595"/>
      <c r="P241" s="595"/>
      <c r="Q241" s="595"/>
      <c r="R241" s="595"/>
    </row>
    <row r="242" spans="1:18">
      <c r="A242" s="517"/>
      <c r="B242" s="511"/>
      <c r="C242" s="516"/>
      <c r="D242" s="511"/>
      <c r="E242" s="511"/>
      <c r="F242" s="511"/>
      <c r="G242" s="511"/>
      <c r="H242" s="511"/>
      <c r="I242" s="567"/>
      <c r="J242" s="516"/>
      <c r="K242" s="516"/>
      <c r="L242" s="516"/>
      <c r="M242" s="596"/>
      <c r="N242" s="595"/>
      <c r="O242" s="596"/>
      <c r="P242" s="597"/>
      <c r="Q242" s="595"/>
      <c r="R242" s="595"/>
    </row>
    <row r="243" spans="1:18">
      <c r="A243" s="517"/>
      <c r="B243" s="511"/>
      <c r="C243" s="516"/>
      <c r="D243" s="516"/>
      <c r="E243" s="570"/>
      <c r="F243" s="516"/>
      <c r="G243" s="570" t="s">
        <v>89</v>
      </c>
      <c r="H243" s="516"/>
      <c r="I243" s="516"/>
      <c r="J243" s="516"/>
      <c r="K243" s="516"/>
      <c r="L243" s="516"/>
      <c r="M243" s="596"/>
      <c r="N243" s="595"/>
      <c r="O243" s="596"/>
      <c r="P243" s="597"/>
      <c r="Q243" s="595"/>
      <c r="R243" s="595"/>
    </row>
    <row r="244" spans="1:18" ht="16.5" thickBot="1">
      <c r="A244" s="517"/>
      <c r="B244" s="511"/>
      <c r="C244" s="516"/>
      <c r="D244" s="521" t="s">
        <v>73</v>
      </c>
      <c r="E244" s="521" t="s">
        <v>90</v>
      </c>
      <c r="F244" s="516"/>
      <c r="G244" s="1040" t="s">
        <v>1167</v>
      </c>
      <c r="H244" s="516"/>
      <c r="I244" s="521" t="s">
        <v>92</v>
      </c>
      <c r="J244" s="516"/>
      <c r="K244" s="516"/>
      <c r="L244" s="516"/>
      <c r="M244" s="516"/>
      <c r="N244" s="597"/>
    </row>
    <row r="245" spans="1:18">
      <c r="A245" s="517">
        <v>31</v>
      </c>
      <c r="B245" s="2" t="s">
        <v>1265</v>
      </c>
      <c r="D245" s="530">
        <f>'Attachment 8 - Cap Structure'!M23</f>
        <v>1773076923.0769217</v>
      </c>
      <c r="E245" s="1058">
        <f>IF($D$248&gt;0,D245/$D$248,0)</f>
        <v>0.52566574663026511</v>
      </c>
      <c r="F245" s="599"/>
      <c r="G245" s="599">
        <f>'Attachment 10 - Debt Cost'!W26</f>
        <v>4.3700000000000003E-2</v>
      </c>
      <c r="I245" s="599">
        <f>G245*E245</f>
        <v>2.2971593127742586E-2</v>
      </c>
      <c r="J245" s="587" t="s">
        <v>93</v>
      </c>
      <c r="L245" s="510"/>
      <c r="M245" s="516"/>
    </row>
    <row r="246" spans="1:18">
      <c r="A246" s="517">
        <v>32</v>
      </c>
      <c r="B246" s="2" t="s">
        <v>1118</v>
      </c>
      <c r="D246" s="530">
        <f>'Attachment 8 - Cap Structure'!G23</f>
        <v>0</v>
      </c>
      <c r="E246" s="1058">
        <f>IF($D$248&gt;0,D246/$D$248,0)</f>
        <v>0</v>
      </c>
      <c r="F246" s="599"/>
      <c r="G246" s="599">
        <f>IF(D246&gt;0,I240/D246,0)</f>
        <v>0</v>
      </c>
      <c r="I246" s="599">
        <f>G246*E246</f>
        <v>0</v>
      </c>
      <c r="J246" s="516"/>
      <c r="L246" s="516"/>
      <c r="M246" s="516"/>
    </row>
    <row r="247" spans="1:18" ht="16.5" thickBot="1">
      <c r="A247" s="517">
        <v>33</v>
      </c>
      <c r="B247" s="2" t="s">
        <v>1119</v>
      </c>
      <c r="D247" s="559">
        <f>'Attachment 8 - Cap Structure'!L23</f>
        <v>1599935175.2823083</v>
      </c>
      <c r="E247" s="1058">
        <f>IF($D$248&gt;0,D247/$D$248,0)</f>
        <v>0.47433425336973495</v>
      </c>
      <c r="F247" s="599"/>
      <c r="G247" s="1024">
        <v>0.1045</v>
      </c>
      <c r="I247" s="600">
        <f>G247*E247</f>
        <v>4.9567929477137299E-2</v>
      </c>
      <c r="J247" s="516"/>
      <c r="L247" s="516"/>
      <c r="M247" s="516"/>
    </row>
    <row r="248" spans="1:18">
      <c r="A248" s="517">
        <v>34</v>
      </c>
      <c r="B248" s="2" t="s">
        <v>865</v>
      </c>
      <c r="D248" s="530">
        <f>SUM(D245:D247)</f>
        <v>3373012098.35923</v>
      </c>
      <c r="E248" s="516" t="s">
        <v>3</v>
      </c>
      <c r="F248" s="516"/>
      <c r="G248" s="601"/>
      <c r="H248" s="516"/>
      <c r="I248" s="599">
        <f>SUM(I245:I247)</f>
        <v>7.2539522604879891E-2</v>
      </c>
      <c r="J248" s="587" t="s">
        <v>94</v>
      </c>
      <c r="L248" s="516"/>
      <c r="M248" s="516"/>
    </row>
    <row r="249" spans="1:18" ht="9.75" customHeight="1">
      <c r="A249" s="517"/>
      <c r="K249" s="516"/>
      <c r="L249" s="516"/>
      <c r="M249" s="516"/>
    </row>
    <row r="250" spans="1:18" ht="11.25" customHeight="1">
      <c r="A250" s="517"/>
      <c r="K250" s="516"/>
      <c r="L250" s="516"/>
      <c r="M250" s="516"/>
    </row>
    <row r="251" spans="1:18">
      <c r="A251" s="517"/>
      <c r="B251" s="2" t="s">
        <v>1120</v>
      </c>
      <c r="C251" s="511"/>
      <c r="D251" s="511"/>
      <c r="E251" s="511"/>
      <c r="F251" s="511"/>
      <c r="G251" s="511"/>
      <c r="H251" s="511"/>
      <c r="I251" s="511"/>
      <c r="J251" s="511"/>
      <c r="K251" s="511"/>
      <c r="L251" s="570"/>
      <c r="M251" s="516"/>
    </row>
    <row r="252" spans="1:18">
      <c r="A252" s="517"/>
      <c r="B252" s="511" t="s">
        <v>96</v>
      </c>
      <c r="C252" s="511"/>
      <c r="D252" s="2" t="s">
        <v>1196</v>
      </c>
      <c r="E252" s="2" t="s">
        <v>91</v>
      </c>
      <c r="F252" s="511"/>
      <c r="G252" s="511" t="s">
        <v>3</v>
      </c>
      <c r="I252" s="602"/>
      <c r="J252" s="602"/>
      <c r="L252" s="510"/>
      <c r="M252" s="516"/>
    </row>
    <row r="253" spans="1:18">
      <c r="A253" s="517">
        <v>35</v>
      </c>
      <c r="B253" s="510" t="s">
        <v>249</v>
      </c>
      <c r="C253" s="511"/>
      <c r="D253" s="511"/>
      <c r="F253" s="511"/>
      <c r="I253" s="603"/>
      <c r="J253" s="604"/>
      <c r="L253" s="516"/>
      <c r="M253" s="516"/>
    </row>
    <row r="254" spans="1:18" ht="16.5" thickBot="1">
      <c r="A254" s="517">
        <v>36</v>
      </c>
      <c r="B254" s="874" t="s">
        <v>919</v>
      </c>
      <c r="C254" s="582"/>
      <c r="E254" s="511"/>
      <c r="F254" s="511"/>
      <c r="G254" s="511"/>
      <c r="H254" s="511"/>
      <c r="I254" s="605"/>
      <c r="J254" s="606"/>
      <c r="L254" s="516"/>
      <c r="M254" s="516"/>
    </row>
    <row r="255" spans="1:18">
      <c r="A255" s="517">
        <v>37</v>
      </c>
      <c r="B255" s="510" t="s">
        <v>97</v>
      </c>
      <c r="C255" s="511"/>
      <c r="E255" s="511"/>
      <c r="F255" s="511"/>
      <c r="G255" s="511"/>
      <c r="H255" s="511"/>
      <c r="I255" s="607">
        <f>+I253-I254</f>
        <v>0</v>
      </c>
      <c r="J255" s="604"/>
      <c r="L255" s="510"/>
      <c r="M255" s="516"/>
    </row>
    <row r="256" spans="1:18">
      <c r="A256" s="517"/>
      <c r="B256" s="510" t="s">
        <v>3</v>
      </c>
      <c r="C256" s="511"/>
      <c r="E256" s="511"/>
      <c r="F256" s="511"/>
      <c r="G256" s="541"/>
      <c r="H256" s="511"/>
      <c r="I256" s="607"/>
      <c r="J256" s="602"/>
      <c r="K256" s="608"/>
      <c r="L256" s="570"/>
      <c r="M256" s="516"/>
    </row>
    <row r="257" spans="1:13" ht="15.6" customHeight="1">
      <c r="A257" s="517">
        <v>38</v>
      </c>
      <c r="B257" s="1" t="s">
        <v>1121</v>
      </c>
      <c r="C257" s="511"/>
      <c r="D257" s="1" t="s">
        <v>1197</v>
      </c>
      <c r="F257" s="511"/>
      <c r="G257" s="541"/>
      <c r="H257" s="511"/>
      <c r="I257" s="609"/>
      <c r="J257" s="684"/>
      <c r="K257" s="684"/>
      <c r="L257" s="575"/>
      <c r="M257" s="516"/>
    </row>
    <row r="258" spans="1:13">
      <c r="A258" s="517"/>
      <c r="C258" s="511"/>
      <c r="F258" s="511"/>
      <c r="G258" s="541"/>
      <c r="H258" s="511"/>
      <c r="I258" s="607"/>
      <c r="J258" s="684"/>
      <c r="K258" s="684"/>
      <c r="L258" s="575"/>
      <c r="M258" s="516"/>
    </row>
    <row r="259" spans="1:13">
      <c r="A259" s="517">
        <v>39</v>
      </c>
      <c r="B259" s="2" t="s">
        <v>1122</v>
      </c>
      <c r="C259" s="511"/>
      <c r="D259" s="1" t="s">
        <v>1198</v>
      </c>
      <c r="F259" s="511"/>
      <c r="G259" s="540"/>
      <c r="H259" s="511"/>
      <c r="I259" s="609">
        <v>157066.80415848619</v>
      </c>
      <c r="J259" s="684"/>
      <c r="K259" s="684"/>
      <c r="L259" s="575"/>
      <c r="M259" s="516"/>
    </row>
    <row r="260" spans="1:13" ht="15.75" customHeight="1">
      <c r="A260" s="517"/>
      <c r="C260" s="511"/>
      <c r="D260" s="511"/>
      <c r="F260" s="511"/>
      <c r="G260" s="511"/>
      <c r="H260" s="511"/>
      <c r="I260" s="607"/>
      <c r="J260" s="684"/>
      <c r="K260" s="684"/>
      <c r="L260" s="575"/>
      <c r="M260" s="516"/>
    </row>
    <row r="261" spans="1:13">
      <c r="A261" s="517">
        <v>40</v>
      </c>
      <c r="B261" s="2" t="s">
        <v>1123</v>
      </c>
      <c r="C261" s="511"/>
      <c r="D261" s="2" t="s">
        <v>1199</v>
      </c>
      <c r="F261" s="511"/>
      <c r="G261" s="511"/>
      <c r="H261" s="511"/>
      <c r="I261" s="992">
        <f>I262+I263</f>
        <v>410384.31</v>
      </c>
      <c r="J261" s="684"/>
      <c r="K261" s="684"/>
      <c r="L261" s="575"/>
      <c r="M261" s="511"/>
    </row>
    <row r="262" spans="1:13">
      <c r="A262" s="660" t="s">
        <v>1063</v>
      </c>
      <c r="B262" s="2" t="s">
        <v>1036</v>
      </c>
      <c r="C262" s="511"/>
      <c r="D262" s="511"/>
      <c r="F262" s="511"/>
      <c r="G262" s="511"/>
      <c r="H262" s="511"/>
      <c r="I262" s="610">
        <v>410384.31</v>
      </c>
      <c r="J262" s="684"/>
      <c r="K262" s="684"/>
      <c r="L262" s="575"/>
      <c r="M262" s="511"/>
    </row>
    <row r="263" spans="1:13">
      <c r="A263" s="660" t="s">
        <v>1064</v>
      </c>
      <c r="B263" s="2" t="s">
        <v>1035</v>
      </c>
      <c r="C263" s="511"/>
      <c r="D263" s="511"/>
      <c r="F263" s="511"/>
      <c r="G263" s="511"/>
      <c r="H263" s="511"/>
      <c r="I263" s="610"/>
      <c r="J263" s="684"/>
      <c r="K263" s="684"/>
      <c r="L263" s="575"/>
      <c r="M263" s="511"/>
    </row>
    <row r="264" spans="1:13">
      <c r="B264" s="511"/>
      <c r="C264" s="511"/>
      <c r="D264" s="516"/>
      <c r="E264" s="516"/>
      <c r="F264" s="516"/>
      <c r="G264" s="516"/>
      <c r="H264" s="516"/>
      <c r="J264" s="684"/>
      <c r="K264" s="684"/>
      <c r="L264" s="570"/>
      <c r="M264" s="511"/>
    </row>
    <row r="265" spans="1:13">
      <c r="A265" s="517">
        <v>41</v>
      </c>
      <c r="B265" s="2" t="s">
        <v>1032</v>
      </c>
      <c r="C265" s="511"/>
      <c r="D265" s="511"/>
      <c r="E265" s="511"/>
      <c r="F265" s="511"/>
      <c r="G265" s="511"/>
      <c r="H265" s="511"/>
      <c r="I265" s="985"/>
      <c r="J265" s="684"/>
      <c r="K265" s="684"/>
      <c r="L265" s="570"/>
      <c r="M265" s="511"/>
    </row>
    <row r="266" spans="1:13">
      <c r="A266" s="517"/>
      <c r="C266" s="517"/>
      <c r="D266" s="516"/>
      <c r="E266" s="516"/>
      <c r="F266" s="516"/>
      <c r="G266" s="516"/>
      <c r="H266" s="511"/>
      <c r="I266" s="612"/>
      <c r="J266" s="684"/>
      <c r="K266" s="684"/>
      <c r="L266" s="517"/>
      <c r="M266" s="511"/>
    </row>
    <row r="267" spans="1:13">
      <c r="A267" s="517">
        <v>42</v>
      </c>
      <c r="B267" s="2" t="s">
        <v>1031</v>
      </c>
      <c r="C267" s="517"/>
      <c r="D267" s="516"/>
      <c r="E267" s="516"/>
      <c r="F267" s="516"/>
      <c r="G267" s="516"/>
      <c r="H267" s="511"/>
      <c r="I267" s="992">
        <f>SUM(I268:I271)</f>
        <v>0</v>
      </c>
      <c r="J267" s="684"/>
      <c r="K267" s="684"/>
      <c r="L267" s="517"/>
      <c r="M267" s="511"/>
    </row>
    <row r="268" spans="1:13">
      <c r="A268" s="1047" t="s">
        <v>1177</v>
      </c>
      <c r="B268" s="1048" t="s">
        <v>1178</v>
      </c>
      <c r="C268" s="517"/>
      <c r="D268" s="1039"/>
      <c r="E268" s="516"/>
      <c r="F268" s="516" t="s">
        <v>1185</v>
      </c>
      <c r="G268" s="528">
        <f>I213</f>
        <v>3.3119630600369813E-2</v>
      </c>
      <c r="H268" s="511"/>
      <c r="I268" s="557">
        <f>D268*G268</f>
        <v>0</v>
      </c>
      <c r="J268" s="611"/>
      <c r="K268" s="612"/>
      <c r="L268" s="517"/>
      <c r="M268" s="511"/>
    </row>
    <row r="269" spans="1:13">
      <c r="A269" s="1047" t="s">
        <v>1179</v>
      </c>
      <c r="B269" s="1048" t="s">
        <v>1180</v>
      </c>
      <c r="C269" s="517"/>
      <c r="D269" s="1039"/>
      <c r="E269" s="516"/>
      <c r="F269" s="516" t="s">
        <v>52</v>
      </c>
      <c r="G269" s="1049">
        <f>+G47</f>
        <v>0.10287812486317614</v>
      </c>
      <c r="H269" s="511"/>
      <c r="I269" s="568">
        <f t="shared" ref="I269:I271" si="3">D269*G269</f>
        <v>0</v>
      </c>
      <c r="J269" s="611"/>
      <c r="K269" s="612"/>
      <c r="L269" s="517"/>
      <c r="M269" s="511"/>
    </row>
    <row r="270" spans="1:13">
      <c r="A270" s="1047" t="s">
        <v>1181</v>
      </c>
      <c r="B270" s="1048" t="s">
        <v>1182</v>
      </c>
      <c r="C270" s="517"/>
      <c r="D270" s="1039"/>
      <c r="E270" s="516"/>
      <c r="F270" s="516" t="s">
        <v>12</v>
      </c>
      <c r="G270" s="556">
        <f>I196</f>
        <v>0.96257254315726037</v>
      </c>
      <c r="H270" s="511"/>
      <c r="I270" s="557">
        <f t="shared" si="3"/>
        <v>0</v>
      </c>
      <c r="J270" s="611"/>
      <c r="K270" s="612"/>
      <c r="L270" s="517"/>
      <c r="M270" s="511"/>
    </row>
    <row r="271" spans="1:13">
      <c r="A271" s="1047" t="s">
        <v>1183</v>
      </c>
      <c r="B271" s="1048" t="s">
        <v>1184</v>
      </c>
      <c r="C271" s="516"/>
      <c r="D271" s="1039"/>
      <c r="E271" s="516"/>
      <c r="F271" s="516" t="s">
        <v>299</v>
      </c>
      <c r="G271" s="556">
        <v>1</v>
      </c>
      <c r="H271" s="516"/>
      <c r="I271" s="557">
        <f t="shared" si="3"/>
        <v>0</v>
      </c>
      <c r="J271" s="516"/>
      <c r="K271" s="554"/>
      <c r="L271" s="510"/>
    </row>
    <row r="272" spans="1:13">
      <c r="A272" s="572"/>
      <c r="B272" s="511"/>
      <c r="C272" s="516"/>
      <c r="D272" s="516"/>
      <c r="E272" s="516"/>
      <c r="F272" s="516"/>
      <c r="G272" s="560"/>
      <c r="H272" s="516"/>
      <c r="I272" s="516"/>
      <c r="J272" s="516"/>
      <c r="K272" s="554"/>
      <c r="L272" s="510"/>
    </row>
    <row r="273" spans="1:13">
      <c r="B273" s="511"/>
      <c r="C273" s="511"/>
      <c r="D273" s="512"/>
      <c r="E273" s="511"/>
      <c r="F273" s="511"/>
      <c r="G273" s="511"/>
      <c r="H273" s="511"/>
      <c r="I273" s="517"/>
      <c r="J273" s="517"/>
      <c r="K273" s="513"/>
      <c r="L273" s="511"/>
      <c r="M273" s="511"/>
    </row>
    <row r="274" spans="1:13">
      <c r="B274" s="511"/>
      <c r="C274" s="511"/>
      <c r="D274" s="512"/>
      <c r="E274" s="511"/>
      <c r="F274" s="511"/>
      <c r="G274" s="511"/>
      <c r="H274" s="511"/>
      <c r="I274" s="513"/>
      <c r="J274" s="513"/>
      <c r="K274" s="513"/>
      <c r="L274" s="511"/>
      <c r="M274" s="511"/>
    </row>
    <row r="275" spans="1:13" ht="16.5" customHeight="1">
      <c r="B275" s="511"/>
      <c r="C275" s="511"/>
      <c r="D275" s="512"/>
      <c r="E275" s="511"/>
      <c r="F275" s="511"/>
      <c r="G275" s="511"/>
      <c r="H275" s="511"/>
      <c r="I275" s="511"/>
      <c r="K275" s="513" t="str">
        <f>K182</f>
        <v>Attachment H -11A</v>
      </c>
      <c r="L275" s="511"/>
      <c r="M275" s="511"/>
    </row>
    <row r="276" spans="1:13" ht="16.5" customHeight="1">
      <c r="B276" s="511"/>
      <c r="C276" s="511"/>
      <c r="D276" s="512"/>
      <c r="E276" s="511"/>
      <c r="F276" s="511"/>
      <c r="G276" s="511"/>
      <c r="H276" s="511"/>
      <c r="I276" s="511"/>
      <c r="J276" s="511"/>
      <c r="K276" s="513" t="s">
        <v>98</v>
      </c>
      <c r="L276" s="511"/>
      <c r="M276" s="511"/>
    </row>
    <row r="277" spans="1:13" ht="16.5" customHeight="1">
      <c r="B277" s="511"/>
      <c r="C277" s="511"/>
      <c r="D277" s="512"/>
      <c r="E277" s="511"/>
      <c r="F277" s="511"/>
      <c r="G277" s="511"/>
      <c r="H277" s="511"/>
      <c r="I277" s="511"/>
      <c r="J277" s="511"/>
      <c r="K277" s="513"/>
      <c r="L277" s="511"/>
      <c r="M277" s="511"/>
    </row>
    <row r="278" spans="1:13">
      <c r="B278" s="511" t="s">
        <v>1</v>
      </c>
      <c r="C278" s="511"/>
      <c r="D278" s="512" t="s">
        <v>2</v>
      </c>
      <c r="E278" s="511"/>
      <c r="F278" s="511"/>
      <c r="G278" s="511"/>
      <c r="H278" s="511"/>
      <c r="J278" s="511"/>
      <c r="K278" s="513" t="str">
        <f>K4</f>
        <v>For the 12 months ended 12/31/2023</v>
      </c>
      <c r="L278" s="511"/>
      <c r="M278" s="511"/>
    </row>
    <row r="279" spans="1:13">
      <c r="B279" s="511"/>
      <c r="C279" s="516" t="s">
        <v>3</v>
      </c>
      <c r="D279" s="516" t="s">
        <v>4</v>
      </c>
      <c r="E279" s="516"/>
      <c r="F279" s="516"/>
      <c r="G279" s="516"/>
      <c r="H279" s="511"/>
      <c r="I279" s="511"/>
      <c r="J279" s="511"/>
      <c r="K279" s="511"/>
      <c r="L279" s="511"/>
      <c r="M279" s="511"/>
    </row>
    <row r="280" spans="1:13">
      <c r="A280" s="517"/>
      <c r="C280" s="517"/>
      <c r="D280" s="516"/>
      <c r="E280" s="516"/>
      <c r="F280" s="516"/>
      <c r="G280" s="516"/>
      <c r="H280" s="511"/>
      <c r="I280" s="613"/>
      <c r="J280" s="602"/>
      <c r="K280" s="611"/>
      <c r="L280" s="517"/>
      <c r="M280" s="511"/>
    </row>
    <row r="281" spans="1:13">
      <c r="A281" s="517"/>
      <c r="C281" s="517"/>
      <c r="D281" s="516" t="str">
        <f>D7</f>
        <v>MON POWER</v>
      </c>
      <c r="E281" s="516"/>
      <c r="F281" s="516"/>
      <c r="G281" s="516"/>
      <c r="H281" s="511"/>
      <c r="I281" s="613"/>
      <c r="J281" s="602"/>
      <c r="K281" s="611"/>
      <c r="L281" s="517"/>
      <c r="M281" s="511"/>
    </row>
    <row r="282" spans="1:13">
      <c r="A282" s="517"/>
      <c r="C282" s="517"/>
      <c r="D282" s="516"/>
      <c r="E282" s="516"/>
      <c r="F282" s="516"/>
      <c r="G282" s="516"/>
      <c r="H282" s="511"/>
      <c r="I282" s="613"/>
      <c r="J282" s="602"/>
      <c r="K282" s="611"/>
      <c r="L282" s="517"/>
      <c r="M282" s="511"/>
    </row>
    <row r="283" spans="1:13">
      <c r="A283" s="517"/>
      <c r="B283" s="511" t="s">
        <v>852</v>
      </c>
      <c r="C283" s="517"/>
      <c r="D283" s="516"/>
      <c r="E283" s="516"/>
      <c r="F283" s="516"/>
      <c r="G283" s="516"/>
      <c r="H283" s="511"/>
      <c r="I283" s="516"/>
      <c r="J283" s="511"/>
      <c r="K283" s="516"/>
      <c r="L283" s="517"/>
      <c r="M283" s="511"/>
    </row>
    <row r="284" spans="1:13">
      <c r="A284" s="517"/>
      <c r="B284" s="614" t="s">
        <v>853</v>
      </c>
      <c r="C284" s="517"/>
      <c r="D284" s="516"/>
      <c r="E284" s="516"/>
      <c r="F284" s="516"/>
      <c r="G284" s="516"/>
      <c r="H284" s="511"/>
      <c r="I284" s="516"/>
      <c r="J284" s="511"/>
      <c r="K284" s="516"/>
      <c r="L284" s="517"/>
      <c r="M284" s="511"/>
    </row>
    <row r="285" spans="1:13">
      <c r="A285" s="517" t="s">
        <v>99</v>
      </c>
      <c r="B285" s="511"/>
      <c r="C285" s="511"/>
      <c r="D285" s="516"/>
      <c r="E285" s="516"/>
      <c r="F285" s="516"/>
      <c r="G285" s="516"/>
      <c r="H285" s="511"/>
      <c r="I285" s="516"/>
      <c r="J285" s="511"/>
      <c r="K285" s="516"/>
      <c r="L285" s="517"/>
      <c r="M285" s="511"/>
    </row>
    <row r="286" spans="1:13" ht="16.5" thickBot="1">
      <c r="A286" s="521" t="s">
        <v>100</v>
      </c>
      <c r="B286" s="511"/>
      <c r="C286" s="511"/>
      <c r="D286" s="516"/>
      <c r="E286" s="516"/>
      <c r="F286" s="516"/>
      <c r="G286" s="516"/>
      <c r="H286" s="511"/>
      <c r="I286" s="516"/>
      <c r="J286" s="511"/>
      <c r="K286" s="516"/>
      <c r="L286" s="517"/>
      <c r="M286" s="511"/>
    </row>
    <row r="287" spans="1:13" ht="35.450000000000003" customHeight="1">
      <c r="A287" s="499" t="s">
        <v>101</v>
      </c>
      <c r="B287" s="1086" t="s">
        <v>877</v>
      </c>
      <c r="C287" s="1087"/>
      <c r="D287" s="1087"/>
      <c r="E287" s="1087"/>
      <c r="F287" s="1087"/>
      <c r="G287" s="1087"/>
      <c r="H287" s="1087"/>
      <c r="I287" s="1087"/>
      <c r="J287" s="1087"/>
      <c r="K287" s="1087"/>
      <c r="L287" s="510"/>
    </row>
    <row r="288" spans="1:13" ht="16.5" customHeight="1">
      <c r="A288" s="615" t="s">
        <v>102</v>
      </c>
      <c r="B288" s="1093" t="s">
        <v>521</v>
      </c>
      <c r="C288" s="1093"/>
      <c r="D288" s="1093"/>
      <c r="E288" s="1093"/>
      <c r="F288" s="1093"/>
      <c r="G288" s="1093"/>
      <c r="H288" s="1093"/>
      <c r="I288" s="1093"/>
      <c r="J288" s="1093"/>
      <c r="K288" s="1093"/>
      <c r="L288" s="517"/>
      <c r="M288" s="511"/>
    </row>
    <row r="289" spans="1:13" ht="19.5" customHeight="1">
      <c r="A289" s="615" t="s">
        <v>103</v>
      </c>
      <c r="B289" s="1083" t="s">
        <v>1086</v>
      </c>
      <c r="C289" s="1084"/>
      <c r="D289" s="1084"/>
      <c r="E289" s="1084"/>
      <c r="F289" s="1084"/>
      <c r="G289" s="1084"/>
      <c r="H289" s="1084"/>
      <c r="I289" s="1084"/>
      <c r="J289" s="1084"/>
      <c r="K289" s="1084"/>
      <c r="L289" s="575"/>
      <c r="M289" s="511"/>
    </row>
    <row r="290" spans="1:13" ht="59.25" customHeight="1">
      <c r="A290" s="1025" t="s">
        <v>104</v>
      </c>
      <c r="B290" s="1088" t="s">
        <v>1268</v>
      </c>
      <c r="C290" s="1094"/>
      <c r="D290" s="1094"/>
      <c r="E290" s="1094"/>
      <c r="F290" s="1094"/>
      <c r="G290" s="1094"/>
      <c r="H290" s="1094"/>
      <c r="I290" s="1094"/>
      <c r="J290" s="1094"/>
      <c r="K290" s="1094"/>
      <c r="L290" s="570"/>
      <c r="M290" s="511"/>
    </row>
    <row r="291" spans="1:13" ht="48" customHeight="1">
      <c r="A291" s="1025" t="s">
        <v>105</v>
      </c>
      <c r="B291" s="1088" t="s">
        <v>1173</v>
      </c>
      <c r="C291" s="1094"/>
      <c r="D291" s="1094"/>
      <c r="E291" s="1094"/>
      <c r="F291" s="1094"/>
      <c r="G291" s="1094"/>
      <c r="H291" s="1094"/>
      <c r="I291" s="1094"/>
      <c r="J291" s="1094"/>
      <c r="K291" s="1094"/>
      <c r="L291" s="512"/>
      <c r="M291" s="511"/>
    </row>
    <row r="292" spans="1:13" ht="53.1" customHeight="1">
      <c r="A292" s="615" t="s">
        <v>106</v>
      </c>
      <c r="B292" s="1083" t="s">
        <v>1094</v>
      </c>
      <c r="C292" s="1083"/>
      <c r="D292" s="1083"/>
      <c r="E292" s="1083"/>
      <c r="F292" s="1083"/>
      <c r="G292" s="1083"/>
      <c r="H292" s="1083"/>
      <c r="I292" s="1083"/>
      <c r="J292" s="1083"/>
      <c r="K292" s="1083"/>
      <c r="L292" s="517"/>
      <c r="M292" s="511"/>
    </row>
    <row r="293" spans="1:13">
      <c r="A293" s="615" t="s">
        <v>107</v>
      </c>
      <c r="B293" s="1084" t="s">
        <v>108</v>
      </c>
      <c r="C293" s="1084"/>
      <c r="D293" s="1084"/>
      <c r="E293" s="1084"/>
      <c r="F293" s="1084"/>
      <c r="G293" s="1084"/>
      <c r="H293" s="1084"/>
      <c r="I293" s="1084"/>
      <c r="J293" s="1084"/>
      <c r="K293" s="1084"/>
      <c r="L293" s="517"/>
      <c r="M293" s="511"/>
    </row>
    <row r="294" spans="1:13" ht="36.6" customHeight="1">
      <c r="A294" s="615" t="s">
        <v>109</v>
      </c>
      <c r="B294" s="1083" t="s">
        <v>1260</v>
      </c>
      <c r="C294" s="1083"/>
      <c r="D294" s="1083"/>
      <c r="E294" s="1083"/>
      <c r="F294" s="1083"/>
      <c r="G294" s="1083"/>
      <c r="H294" s="1083"/>
      <c r="I294" s="1083"/>
      <c r="J294" s="1083"/>
      <c r="K294" s="1083"/>
      <c r="L294" s="517"/>
      <c r="M294" s="511"/>
    </row>
    <row r="295" spans="1:13" ht="32.25" customHeight="1">
      <c r="A295" s="1026" t="s">
        <v>110</v>
      </c>
      <c r="B295" s="1083" t="s">
        <v>936</v>
      </c>
      <c r="C295" s="1083"/>
      <c r="D295" s="1083"/>
      <c r="E295" s="1083"/>
      <c r="F295" s="1083"/>
      <c r="G295" s="1083"/>
      <c r="H295" s="1083"/>
      <c r="I295" s="1083"/>
      <c r="J295" s="1083"/>
      <c r="K295" s="1083"/>
      <c r="L295" s="517"/>
      <c r="M295" s="511"/>
    </row>
    <row r="296" spans="1:13" ht="78" customHeight="1">
      <c r="A296" s="1026" t="s">
        <v>111</v>
      </c>
      <c r="B296" s="1083" t="s">
        <v>1159</v>
      </c>
      <c r="C296" s="1083"/>
      <c r="D296" s="1083"/>
      <c r="E296" s="1083"/>
      <c r="F296" s="1083"/>
      <c r="G296" s="1083"/>
      <c r="H296" s="1083"/>
      <c r="I296" s="1083"/>
      <c r="J296" s="1083"/>
      <c r="K296" s="1083"/>
      <c r="L296" s="517"/>
      <c r="M296" s="511"/>
    </row>
    <row r="297" spans="1:13">
      <c r="A297" s="615" t="s">
        <v>3</v>
      </c>
      <c r="B297" s="616" t="s">
        <v>134</v>
      </c>
      <c r="C297" s="617" t="s">
        <v>113</v>
      </c>
      <c r="D297" s="618">
        <f>'Attachment 18 - Tax Rates'!D6</f>
        <v>0.21</v>
      </c>
      <c r="E297" s="1084"/>
      <c r="F297" s="1084"/>
      <c r="G297" s="1084"/>
      <c r="H297" s="1084"/>
      <c r="I297" s="1084"/>
      <c r="J297" s="1084"/>
      <c r="K297" s="1084"/>
      <c r="L297" s="517"/>
      <c r="M297" s="511"/>
    </row>
    <row r="298" spans="1:13">
      <c r="A298" s="615"/>
      <c r="B298" s="617"/>
      <c r="C298" s="617" t="s">
        <v>114</v>
      </c>
      <c r="D298" s="618">
        <f>'Attachment 18 - Tax Rates'!G16</f>
        <v>6.0761415000000006E-2</v>
      </c>
      <c r="E298" s="1084" t="s">
        <v>250</v>
      </c>
      <c r="F298" s="1084"/>
      <c r="G298" s="1084"/>
      <c r="H298" s="1084"/>
      <c r="I298" s="1084"/>
      <c r="J298" s="1084"/>
      <c r="K298" s="1084"/>
      <c r="L298" s="517"/>
      <c r="M298" s="511"/>
    </row>
    <row r="299" spans="1:13">
      <c r="A299" s="615"/>
      <c r="B299" s="617"/>
      <c r="C299" s="617" t="s">
        <v>115</v>
      </c>
      <c r="D299" s="619"/>
      <c r="E299" s="1084" t="s">
        <v>251</v>
      </c>
      <c r="F299" s="1084"/>
      <c r="G299" s="1084"/>
      <c r="H299" s="1084"/>
      <c r="I299" s="1084"/>
      <c r="J299" s="1084"/>
      <c r="K299" s="1084"/>
      <c r="L299" s="517"/>
      <c r="M299" s="511"/>
    </row>
    <row r="300" spans="1:13" ht="36.75" customHeight="1">
      <c r="A300" s="1026" t="s">
        <v>112</v>
      </c>
      <c r="B300" s="1084" t="s">
        <v>572</v>
      </c>
      <c r="C300" s="1084"/>
      <c r="D300" s="1084"/>
      <c r="E300" s="1084"/>
      <c r="F300" s="1084"/>
      <c r="G300" s="1084"/>
      <c r="H300" s="1084"/>
      <c r="I300" s="1084"/>
      <c r="J300" s="1084"/>
      <c r="K300" s="1084"/>
      <c r="L300" s="517"/>
      <c r="M300" s="511"/>
    </row>
    <row r="301" spans="1:13" ht="32.25" customHeight="1">
      <c r="A301" s="1026" t="s">
        <v>116</v>
      </c>
      <c r="B301" s="1084" t="s">
        <v>570</v>
      </c>
      <c r="C301" s="1084"/>
      <c r="D301" s="1084"/>
      <c r="E301" s="1084"/>
      <c r="F301" s="1084"/>
      <c r="G301" s="1084"/>
      <c r="H301" s="1084"/>
      <c r="I301" s="1084"/>
      <c r="J301" s="1084"/>
      <c r="K301" s="1084"/>
      <c r="L301" s="517"/>
      <c r="M301" s="511"/>
    </row>
    <row r="302" spans="1:13" ht="48" customHeight="1">
      <c r="A302" s="1026" t="s">
        <v>117</v>
      </c>
      <c r="B302" s="1084" t="s">
        <v>256</v>
      </c>
      <c r="C302" s="1084"/>
      <c r="D302" s="1084"/>
      <c r="E302" s="1084"/>
      <c r="F302" s="1084"/>
      <c r="G302" s="1084"/>
      <c r="H302" s="1084"/>
      <c r="I302" s="1084"/>
      <c r="J302" s="1084"/>
      <c r="K302" s="1084"/>
      <c r="L302" s="517"/>
      <c r="M302" s="511"/>
    </row>
    <row r="303" spans="1:13">
      <c r="A303" s="1026" t="s">
        <v>118</v>
      </c>
      <c r="B303" s="1084" t="s">
        <v>120</v>
      </c>
      <c r="C303" s="1084"/>
      <c r="D303" s="1084"/>
      <c r="E303" s="1084"/>
      <c r="F303" s="1084"/>
      <c r="G303" s="1084"/>
      <c r="H303" s="1084"/>
      <c r="I303" s="1084"/>
      <c r="J303" s="1084"/>
      <c r="K303" s="1084"/>
      <c r="L303" s="517"/>
      <c r="M303" s="511"/>
    </row>
    <row r="304" spans="1:13" ht="32.25" customHeight="1">
      <c r="A304" s="1026" t="s">
        <v>119</v>
      </c>
      <c r="B304" s="1083" t="s">
        <v>1263</v>
      </c>
      <c r="C304" s="1084"/>
      <c r="D304" s="1084"/>
      <c r="E304" s="1084"/>
      <c r="F304" s="1084"/>
      <c r="G304" s="1084"/>
      <c r="H304" s="1084"/>
      <c r="I304" s="1084"/>
      <c r="J304" s="1084"/>
      <c r="K304" s="1084"/>
      <c r="L304" s="512"/>
      <c r="M304" s="511"/>
    </row>
    <row r="305" spans="1:13" ht="23.25" customHeight="1">
      <c r="A305" s="1026" t="s">
        <v>121</v>
      </c>
      <c r="B305" s="1083" t="s">
        <v>1160</v>
      </c>
      <c r="C305" s="1084"/>
      <c r="D305" s="1084"/>
      <c r="E305" s="1084"/>
      <c r="F305" s="1084"/>
      <c r="G305" s="1084"/>
      <c r="H305" s="1084"/>
      <c r="I305" s="1084"/>
      <c r="J305" s="1084"/>
      <c r="K305" s="1084"/>
      <c r="L305" s="517"/>
      <c r="M305" s="511"/>
    </row>
    <row r="306" spans="1:13">
      <c r="A306" s="1026" t="s">
        <v>1124</v>
      </c>
      <c r="B306" s="1084" t="s">
        <v>122</v>
      </c>
      <c r="C306" s="1084"/>
      <c r="D306" s="1084"/>
      <c r="E306" s="1084"/>
      <c r="F306" s="1084"/>
      <c r="G306" s="1084"/>
      <c r="H306" s="1084"/>
      <c r="I306" s="1084"/>
      <c r="J306" s="1084"/>
      <c r="K306" s="1084"/>
      <c r="L306" s="517"/>
      <c r="M306" s="511"/>
    </row>
    <row r="307" spans="1:13" ht="20.25" customHeight="1">
      <c r="A307" s="1026" t="s">
        <v>1125</v>
      </c>
      <c r="B307" s="1084" t="s">
        <v>262</v>
      </c>
      <c r="C307" s="1084"/>
      <c r="D307" s="1084"/>
      <c r="E307" s="1084"/>
      <c r="F307" s="1084"/>
      <c r="G307" s="1084"/>
      <c r="H307" s="1084"/>
      <c r="I307" s="1084"/>
      <c r="J307" s="1084"/>
      <c r="K307" s="1084"/>
      <c r="L307" s="517"/>
      <c r="M307" s="511"/>
    </row>
    <row r="308" spans="1:13" ht="24.75" customHeight="1">
      <c r="A308" s="1026" t="s">
        <v>1126</v>
      </c>
      <c r="B308" s="1083" t="s">
        <v>1087</v>
      </c>
      <c r="C308" s="1083"/>
      <c r="D308" s="1083"/>
      <c r="E308" s="1083"/>
      <c r="F308" s="1083"/>
      <c r="G308" s="1083"/>
      <c r="H308" s="1083"/>
      <c r="I308" s="1083"/>
      <c r="J308" s="1083"/>
      <c r="K308" s="1083"/>
      <c r="L308" s="511"/>
      <c r="M308" s="511"/>
    </row>
    <row r="309" spans="1:13" ht="15.75" customHeight="1">
      <c r="A309" s="1026" t="s">
        <v>1127</v>
      </c>
      <c r="B309" s="1083" t="s">
        <v>1200</v>
      </c>
      <c r="C309" s="1084"/>
      <c r="D309" s="1084"/>
      <c r="E309" s="1084"/>
      <c r="F309" s="1084"/>
      <c r="G309" s="1084"/>
      <c r="H309" s="1084"/>
      <c r="I309" s="1084"/>
      <c r="J309" s="1084"/>
      <c r="K309" s="1084"/>
      <c r="L309" s="511"/>
      <c r="M309" s="511"/>
    </row>
    <row r="310" spans="1:13" ht="33" customHeight="1">
      <c r="A310" s="1026" t="s">
        <v>1128</v>
      </c>
      <c r="B310" s="1083" t="s">
        <v>1091</v>
      </c>
      <c r="C310" s="1084"/>
      <c r="D310" s="1084"/>
      <c r="E310" s="1084"/>
      <c r="F310" s="1084"/>
      <c r="G310" s="1084"/>
      <c r="H310" s="1084"/>
      <c r="I310" s="1084"/>
      <c r="J310" s="1084"/>
      <c r="K310" s="1084"/>
      <c r="L310" s="708"/>
    </row>
    <row r="311" spans="1:13" ht="15.75" customHeight="1">
      <c r="A311" s="1026" t="s">
        <v>1129</v>
      </c>
      <c r="B311" s="1083" t="s">
        <v>1093</v>
      </c>
      <c r="C311" s="1084"/>
      <c r="D311" s="1084"/>
      <c r="E311" s="1084"/>
      <c r="F311" s="1084"/>
      <c r="G311" s="1084"/>
      <c r="H311" s="1084"/>
      <c r="I311" s="1084"/>
      <c r="J311" s="1084"/>
      <c r="K311" s="1084"/>
    </row>
    <row r="312" spans="1:13" ht="19.5" customHeight="1">
      <c r="A312" s="1026" t="s">
        <v>123</v>
      </c>
      <c r="B312" s="1085" t="s">
        <v>480</v>
      </c>
      <c r="C312" s="1085"/>
      <c r="D312" s="1085"/>
      <c r="E312" s="1085"/>
      <c r="F312" s="1085"/>
      <c r="G312" s="1085"/>
      <c r="H312" s="1085"/>
      <c r="I312" s="1085"/>
      <c r="J312" s="1085"/>
      <c r="K312" s="1085"/>
    </row>
    <row r="313" spans="1:13">
      <c r="A313" s="1026" t="s">
        <v>1130</v>
      </c>
      <c r="B313" s="1086" t="s">
        <v>937</v>
      </c>
      <c r="C313" s="1087"/>
      <c r="D313" s="1087"/>
      <c r="E313" s="1087"/>
      <c r="F313" s="1087"/>
      <c r="G313" s="1087"/>
      <c r="H313" s="1087"/>
      <c r="I313" s="1087"/>
      <c r="J313" s="1087"/>
      <c r="K313" s="1087"/>
    </row>
    <row r="314" spans="1:13" s="877" customFormat="1" ht="14.45" customHeight="1">
      <c r="A314" s="1026" t="s">
        <v>1131</v>
      </c>
      <c r="B314" s="1089" t="s">
        <v>917</v>
      </c>
      <c r="C314" s="1090"/>
      <c r="D314" s="1090"/>
      <c r="E314" s="1090"/>
      <c r="F314" s="1090"/>
      <c r="G314" s="1090"/>
      <c r="H314" s="1090"/>
      <c r="I314" s="1090"/>
      <c r="J314" s="1090"/>
      <c r="K314" s="1090"/>
      <c r="L314" s="876"/>
    </row>
    <row r="315" spans="1:13">
      <c r="A315" s="1026" t="s">
        <v>1132</v>
      </c>
      <c r="B315" s="2" t="s">
        <v>963</v>
      </c>
      <c r="C315" s="511"/>
      <c r="D315" s="512"/>
      <c r="E315" s="511"/>
      <c r="F315" s="511"/>
      <c r="G315" s="511"/>
      <c r="H315" s="511"/>
      <c r="I315" s="511"/>
    </row>
    <row r="316" spans="1:13" ht="33.75" customHeight="1">
      <c r="A316" s="1027" t="s">
        <v>1133</v>
      </c>
      <c r="B316" s="1088" t="s">
        <v>1201</v>
      </c>
      <c r="C316" s="1088"/>
      <c r="D316" s="1088"/>
      <c r="E316" s="1088"/>
      <c r="F316" s="1088"/>
      <c r="G316" s="1088"/>
      <c r="H316" s="1088"/>
      <c r="I316" s="1088"/>
      <c r="J316" s="1088"/>
      <c r="K316" s="1088"/>
    </row>
    <row r="317" spans="1:13" ht="26.25" customHeight="1">
      <c r="A317" s="17" t="s">
        <v>1092</v>
      </c>
      <c r="B317" s="1083" t="s">
        <v>1299</v>
      </c>
      <c r="C317" s="1084"/>
      <c r="D317" s="1084"/>
      <c r="E317" s="1084"/>
      <c r="F317" s="1084"/>
      <c r="G317" s="1084"/>
      <c r="H317" s="1084"/>
      <c r="I317" s="1084"/>
      <c r="J317" s="1084"/>
      <c r="K317" s="1084"/>
    </row>
    <row r="318" spans="1:13">
      <c r="A318" s="517"/>
      <c r="C318" s="622"/>
      <c r="D318" s="1055" t="s">
        <v>1300</v>
      </c>
      <c r="E318" s="1057">
        <f>IFERROR(SUM(D246+D247)/D248,0)</f>
        <v>0.47433425336973495</v>
      </c>
      <c r="F318" s="1086" t="str">
        <f>IF(E318&lt;=0.56,"Equity Cap Not Triggered", "Equity Cap Triggered")</f>
        <v>Equity Cap Not Triggered</v>
      </c>
      <c r="G318" s="1086"/>
      <c r="H318" s="511"/>
      <c r="I318" s="511"/>
    </row>
    <row r="319" spans="1:13">
      <c r="A319" s="517"/>
      <c r="C319" s="511"/>
      <c r="D319" s="518"/>
      <c r="E319" s="511"/>
      <c r="F319" s="511"/>
      <c r="G319" s="511"/>
      <c r="H319" s="511"/>
      <c r="I319" s="511"/>
    </row>
    <row r="320" spans="1:13">
      <c r="A320" s="517"/>
      <c r="B320" s="1091"/>
      <c r="C320" s="1091"/>
      <c r="D320" s="1091"/>
      <c r="E320" s="1091"/>
      <c r="F320" s="1091"/>
      <c r="G320" s="1091"/>
      <c r="H320" s="1091"/>
      <c r="I320" s="1091"/>
      <c r="J320" s="1091"/>
      <c r="K320" s="1091"/>
    </row>
    <row r="321" spans="1:11">
      <c r="A321" s="517"/>
      <c r="B321" s="1091"/>
      <c r="C321" s="1091"/>
      <c r="D321" s="1091"/>
      <c r="E321" s="1091"/>
      <c r="F321" s="1091"/>
      <c r="G321" s="1091"/>
      <c r="H321" s="1091"/>
      <c r="I321" s="1091"/>
      <c r="J321" s="1091"/>
      <c r="K321" s="1091"/>
    </row>
    <row r="322" spans="1:11">
      <c r="A322" s="517"/>
      <c r="B322" s="1091"/>
      <c r="C322" s="1091"/>
      <c r="D322" s="1091"/>
      <c r="E322" s="1091"/>
      <c r="F322" s="1091"/>
      <c r="G322" s="1091"/>
      <c r="H322" s="1091"/>
      <c r="I322" s="1091"/>
      <c r="J322" s="1091"/>
      <c r="K322" s="1091"/>
    </row>
    <row r="323" spans="1:11">
      <c r="A323" s="517"/>
      <c r="B323" s="1091"/>
      <c r="C323" s="1091"/>
      <c r="D323" s="1091"/>
      <c r="E323" s="1091"/>
      <c r="F323" s="1091"/>
      <c r="G323" s="1091"/>
      <c r="H323" s="1091"/>
      <c r="I323" s="1091"/>
      <c r="J323" s="1091"/>
      <c r="K323" s="1091"/>
    </row>
    <row r="324" spans="1:11">
      <c r="A324" s="517"/>
      <c r="C324" s="511"/>
      <c r="D324" s="518"/>
      <c r="E324" s="511"/>
      <c r="F324" s="511"/>
      <c r="G324" s="511"/>
      <c r="H324" s="511"/>
      <c r="I324" s="511"/>
    </row>
    <row r="325" spans="1:11">
      <c r="A325" s="517"/>
      <c r="B325" s="1091"/>
      <c r="C325" s="1091"/>
      <c r="D325" s="1091"/>
      <c r="E325" s="1091"/>
      <c r="F325" s="1091"/>
      <c r="G325" s="1091"/>
      <c r="H325" s="1091"/>
      <c r="I325" s="1091"/>
      <c r="J325" s="1091"/>
      <c r="K325" s="1091"/>
    </row>
    <row r="326" spans="1:11">
      <c r="A326" s="517"/>
      <c r="B326" s="1091"/>
      <c r="C326" s="1091"/>
      <c r="D326" s="1091"/>
      <c r="E326" s="1091"/>
      <c r="F326" s="1091"/>
      <c r="G326" s="1091"/>
      <c r="H326" s="1091"/>
      <c r="I326" s="1091"/>
      <c r="J326" s="1091"/>
      <c r="K326" s="1091"/>
    </row>
    <row r="327" spans="1:11">
      <c r="A327" s="517"/>
      <c r="B327" s="1091"/>
      <c r="C327" s="1091"/>
      <c r="D327" s="1091"/>
      <c r="E327" s="1091"/>
      <c r="F327" s="1091"/>
      <c r="G327" s="1091"/>
      <c r="H327" s="1091"/>
      <c r="I327" s="1091"/>
      <c r="J327" s="1091"/>
      <c r="K327" s="1091"/>
    </row>
    <row r="328" spans="1:11">
      <c r="A328" s="517"/>
      <c r="C328" s="511"/>
      <c r="D328" s="518"/>
      <c r="E328" s="511"/>
      <c r="F328" s="511"/>
      <c r="G328" s="511"/>
      <c r="H328" s="511"/>
      <c r="I328" s="511"/>
    </row>
    <row r="329" spans="1:11">
      <c r="A329" s="517"/>
      <c r="C329" s="511"/>
      <c r="D329" s="518"/>
      <c r="E329" s="511"/>
      <c r="F329" s="511"/>
      <c r="G329" s="511"/>
      <c r="H329" s="511"/>
      <c r="I329" s="511"/>
    </row>
    <row r="330" spans="1:11">
      <c r="A330" s="517"/>
      <c r="C330" s="511"/>
      <c r="D330" s="518"/>
      <c r="E330" s="511"/>
      <c r="F330" s="511"/>
      <c r="G330" s="511"/>
      <c r="H330" s="511"/>
      <c r="I330" s="517"/>
    </row>
    <row r="331" spans="1:11">
      <c r="A331" s="517"/>
      <c r="C331" s="511"/>
      <c r="D331" s="511"/>
      <c r="E331" s="511"/>
      <c r="F331" s="511"/>
      <c r="G331" s="517"/>
      <c r="H331" s="511"/>
      <c r="I331" s="517"/>
    </row>
    <row r="332" spans="1:11">
      <c r="A332" s="517"/>
      <c r="C332" s="511"/>
      <c r="D332" s="516"/>
      <c r="E332" s="511"/>
      <c r="F332" s="511"/>
      <c r="G332" s="511"/>
      <c r="H332" s="511"/>
      <c r="I332" s="522"/>
    </row>
    <row r="333" spans="1:11">
      <c r="C333" s="517"/>
      <c r="D333" s="517"/>
      <c r="E333" s="516"/>
      <c r="F333" s="516"/>
      <c r="G333" s="519"/>
      <c r="H333" s="516"/>
      <c r="I333" s="520"/>
    </row>
    <row r="334" spans="1:11">
      <c r="C334" s="588"/>
      <c r="D334" s="516"/>
      <c r="E334" s="516"/>
      <c r="F334" s="516"/>
      <c r="G334" s="517"/>
      <c r="H334" s="516"/>
      <c r="I334" s="551"/>
    </row>
    <row r="335" spans="1:11">
      <c r="A335" s="517"/>
      <c r="B335" s="511"/>
      <c r="C335" s="550"/>
      <c r="D335" s="551"/>
      <c r="E335" s="553"/>
      <c r="F335" s="551"/>
      <c r="H335" s="553"/>
      <c r="I335" s="517"/>
    </row>
    <row r="336" spans="1:11">
      <c r="A336" s="517"/>
      <c r="B336" s="555"/>
      <c r="C336" s="516"/>
      <c r="D336" s="516"/>
      <c r="E336" s="516"/>
      <c r="F336" s="516"/>
      <c r="G336" s="516"/>
      <c r="H336" s="516"/>
      <c r="I336" s="516"/>
    </row>
    <row r="337" spans="1:9">
      <c r="A337" s="517"/>
      <c r="B337" s="511"/>
      <c r="C337" s="516"/>
      <c r="D337" s="516"/>
      <c r="E337" s="516"/>
      <c r="F337" s="516"/>
      <c r="G337" s="516"/>
      <c r="H337" s="516"/>
      <c r="I337" s="516"/>
    </row>
    <row r="338" spans="1:9">
      <c r="A338" s="517"/>
      <c r="B338" s="511"/>
      <c r="C338" s="516"/>
      <c r="D338" s="516"/>
      <c r="E338" s="516"/>
      <c r="F338" s="516"/>
      <c r="G338" s="516"/>
      <c r="H338" s="516"/>
      <c r="I338" s="516"/>
    </row>
    <row r="339" spans="1:9">
      <c r="A339" s="517"/>
      <c r="B339" s="566"/>
      <c r="D339" s="516"/>
      <c r="E339" s="516"/>
      <c r="F339" s="516"/>
      <c r="G339" s="577"/>
      <c r="H339" s="516"/>
      <c r="I339" s="516"/>
    </row>
    <row r="340" spans="1:9">
      <c r="A340" s="517"/>
      <c r="B340" s="511"/>
      <c r="D340" s="516"/>
      <c r="E340" s="516"/>
      <c r="F340" s="516"/>
      <c r="G340" s="577"/>
      <c r="H340" s="516"/>
      <c r="I340" s="516"/>
    </row>
    <row r="341" spans="1:9">
      <c r="A341" s="517"/>
      <c r="B341" s="511"/>
      <c r="C341" s="516"/>
      <c r="D341" s="516"/>
      <c r="E341" s="516"/>
      <c r="F341" s="516"/>
      <c r="G341" s="516"/>
      <c r="H341" s="516"/>
      <c r="I341" s="516"/>
    </row>
    <row r="342" spans="1:9">
      <c r="A342" s="517"/>
      <c r="B342" s="511"/>
      <c r="C342" s="516"/>
      <c r="D342" s="516"/>
      <c r="E342" s="516"/>
      <c r="F342" s="516"/>
      <c r="G342" s="516"/>
      <c r="H342" s="516"/>
      <c r="I342" s="516"/>
    </row>
    <row r="343" spans="1:9">
      <c r="A343" s="517"/>
      <c r="B343" s="511"/>
      <c r="C343" s="511"/>
      <c r="D343" s="516"/>
      <c r="E343" s="516"/>
      <c r="F343" s="516"/>
      <c r="G343" s="516"/>
      <c r="H343" s="511"/>
      <c r="I343" s="516"/>
    </row>
    <row r="344" spans="1:9">
      <c r="A344" s="517"/>
      <c r="B344" s="511"/>
      <c r="C344" s="511"/>
      <c r="D344" s="516"/>
      <c r="E344" s="516"/>
      <c r="F344" s="516"/>
      <c r="G344" s="516"/>
      <c r="H344" s="511"/>
      <c r="I344" s="516"/>
    </row>
    <row r="345" spans="1:9">
      <c r="A345" s="517"/>
      <c r="B345" s="511"/>
      <c r="C345" s="511"/>
      <c r="D345" s="511"/>
      <c r="E345" s="511"/>
      <c r="F345" s="511"/>
      <c r="G345" s="511"/>
      <c r="H345" s="511"/>
      <c r="I345" s="511"/>
    </row>
    <row r="346" spans="1:9">
      <c r="A346" s="517"/>
      <c r="B346" s="511"/>
      <c r="C346" s="511"/>
      <c r="D346" s="511"/>
      <c r="E346" s="511"/>
      <c r="F346" s="511"/>
      <c r="G346" s="511"/>
      <c r="H346" s="511"/>
      <c r="I346" s="511"/>
    </row>
    <row r="347" spans="1:9">
      <c r="A347" s="517"/>
      <c r="B347" s="511"/>
      <c r="C347" s="511"/>
      <c r="D347" s="511"/>
      <c r="E347" s="511"/>
      <c r="F347" s="511"/>
      <c r="G347" s="511"/>
      <c r="H347" s="511"/>
      <c r="I347" s="511"/>
    </row>
    <row r="348" spans="1:9">
      <c r="A348" s="517"/>
      <c r="B348" s="623"/>
      <c r="C348" s="511"/>
      <c r="D348" s="511"/>
      <c r="E348" s="511"/>
      <c r="F348" s="511"/>
      <c r="G348" s="511"/>
      <c r="H348" s="511"/>
      <c r="I348" s="511"/>
    </row>
    <row r="349" spans="1:9">
      <c r="A349" s="517"/>
      <c r="B349" s="623"/>
      <c r="C349" s="511"/>
      <c r="D349" s="511"/>
      <c r="E349" s="511"/>
      <c r="F349" s="511"/>
      <c r="G349" s="511"/>
      <c r="H349" s="511"/>
      <c r="I349" s="511"/>
    </row>
    <row r="350" spans="1:9">
      <c r="A350" s="517"/>
      <c r="B350" s="623"/>
      <c r="C350" s="511"/>
      <c r="D350" s="511"/>
      <c r="E350" s="511"/>
      <c r="F350" s="511"/>
      <c r="G350" s="511"/>
      <c r="H350" s="511"/>
      <c r="I350" s="511"/>
    </row>
    <row r="351" spans="1:9">
      <c r="A351" s="517"/>
      <c r="B351" s="623"/>
      <c r="C351" s="511"/>
      <c r="D351" s="511"/>
      <c r="E351" s="511"/>
      <c r="F351" s="511"/>
      <c r="G351" s="511"/>
      <c r="H351" s="511"/>
      <c r="I351" s="511"/>
    </row>
    <row r="352" spans="1:9">
      <c r="A352" s="517"/>
      <c r="B352" s="623"/>
      <c r="C352" s="511"/>
      <c r="D352" s="511"/>
      <c r="E352" s="511"/>
      <c r="F352" s="511"/>
      <c r="G352" s="511"/>
      <c r="H352" s="511"/>
      <c r="I352" s="511"/>
    </row>
    <row r="353" spans="1:12">
      <c r="A353" s="517"/>
      <c r="B353" s="623"/>
      <c r="C353" s="511"/>
      <c r="D353" s="511"/>
      <c r="E353" s="511"/>
      <c r="F353" s="511"/>
      <c r="G353" s="511"/>
      <c r="H353" s="511"/>
      <c r="I353" s="511"/>
    </row>
    <row r="354" spans="1:12">
      <c r="A354" s="517"/>
      <c r="B354" s="623"/>
      <c r="C354" s="511"/>
      <c r="D354" s="511"/>
      <c r="E354" s="511"/>
      <c r="F354" s="511"/>
      <c r="G354" s="511"/>
      <c r="H354" s="511"/>
      <c r="I354" s="511"/>
    </row>
    <row r="355" spans="1:12">
      <c r="A355" s="517"/>
      <c r="B355" s="511"/>
      <c r="C355" s="511"/>
      <c r="D355" s="511"/>
      <c r="E355" s="511"/>
      <c r="F355" s="511"/>
      <c r="G355" s="511"/>
      <c r="H355" s="511"/>
      <c r="I355" s="511"/>
    </row>
    <row r="356" spans="1:12">
      <c r="A356" s="517"/>
      <c r="B356" s="511"/>
      <c r="C356" s="511"/>
      <c r="D356" s="511"/>
      <c r="E356" s="511"/>
      <c r="F356" s="511"/>
      <c r="G356" s="511"/>
      <c r="H356" s="511"/>
      <c r="I356" s="511"/>
    </row>
    <row r="357" spans="1:12">
      <c r="A357" s="621"/>
      <c r="B357" s="512"/>
    </row>
    <row r="358" spans="1:12">
      <c r="B358" s="512"/>
    </row>
    <row r="359" spans="1:12">
      <c r="B359" s="512"/>
    </row>
    <row r="360" spans="1:12">
      <c r="B360" s="512"/>
    </row>
    <row r="361" spans="1:12">
      <c r="B361" s="512"/>
    </row>
    <row r="362" spans="1:12">
      <c r="B362" s="512"/>
    </row>
    <row r="363" spans="1:12">
      <c r="B363" s="512"/>
    </row>
    <row r="364" spans="1:12">
      <c r="B364" s="512"/>
    </row>
    <row r="366" spans="1:12">
      <c r="A366" s="511"/>
      <c r="B366" s="516"/>
      <c r="C366" s="516"/>
      <c r="D366" s="516"/>
      <c r="E366" s="516"/>
      <c r="F366" s="560"/>
      <c r="G366" s="516"/>
      <c r="H366" s="516"/>
      <c r="I366" s="516"/>
      <c r="K366" s="554"/>
      <c r="L366" s="510"/>
    </row>
    <row r="367" spans="1:12">
      <c r="A367" s="511"/>
      <c r="B367" s="516"/>
      <c r="C367" s="516"/>
      <c r="D367" s="516"/>
      <c r="E367" s="516"/>
      <c r="F367" s="560"/>
      <c r="G367" s="516"/>
      <c r="H367" s="516"/>
      <c r="I367" s="516"/>
      <c r="K367" s="554"/>
      <c r="L367" s="510"/>
    </row>
    <row r="368" spans="1:12">
      <c r="A368" s="511"/>
      <c r="B368" s="516"/>
      <c r="C368" s="516"/>
      <c r="D368" s="516"/>
      <c r="E368" s="516"/>
      <c r="F368" s="560"/>
      <c r="G368" s="516"/>
      <c r="H368" s="516"/>
      <c r="I368" s="516"/>
      <c r="J368" s="560"/>
      <c r="K368" s="560"/>
      <c r="L368" s="510"/>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39">
    <mergeCell ref="M222:R222"/>
    <mergeCell ref="E298:K298"/>
    <mergeCell ref="B289:K289"/>
    <mergeCell ref="B288:K288"/>
    <mergeCell ref="B292:K292"/>
    <mergeCell ref="B287:K287"/>
    <mergeCell ref="E297:K297"/>
    <mergeCell ref="B294:K294"/>
    <mergeCell ref="B295:K295"/>
    <mergeCell ref="B296:K296"/>
    <mergeCell ref="B290:K290"/>
    <mergeCell ref="B293:K293"/>
    <mergeCell ref="B291:K291"/>
    <mergeCell ref="B316:K316"/>
    <mergeCell ref="B314:K314"/>
    <mergeCell ref="B327:K327"/>
    <mergeCell ref="B326:K326"/>
    <mergeCell ref="B325:K325"/>
    <mergeCell ref="B323:K323"/>
    <mergeCell ref="B322:K322"/>
    <mergeCell ref="B317:K317"/>
    <mergeCell ref="B321:K321"/>
    <mergeCell ref="B320:K320"/>
    <mergeCell ref="F318:G318"/>
    <mergeCell ref="B310:K310"/>
    <mergeCell ref="B312:K312"/>
    <mergeCell ref="B313:K313"/>
    <mergeCell ref="E299:K299"/>
    <mergeCell ref="B309:K309"/>
    <mergeCell ref="B308:K308"/>
    <mergeCell ref="B307:K307"/>
    <mergeCell ref="B306:K306"/>
    <mergeCell ref="B305:K305"/>
    <mergeCell ref="B301:K301"/>
    <mergeCell ref="B304:K304"/>
    <mergeCell ref="B303:K303"/>
    <mergeCell ref="B302:K302"/>
    <mergeCell ref="B300:K300"/>
    <mergeCell ref="B311:K311"/>
  </mergeCells>
  <phoneticPr fontId="0" type="noConversion"/>
  <conditionalFormatting sqref="E245:E247">
    <cfRule type="expression" dxfId="1" priority="2">
      <formula>$E$318&gt;0.56</formula>
    </cfRule>
  </conditionalFormatting>
  <conditionalFormatting sqref="F318:G318">
    <cfRule type="expression" dxfId="0" priority="1">
      <formula>$E$318&gt;0.56</formula>
    </cfRule>
  </conditionalFormatting>
  <printOptions horizontalCentered="1"/>
  <pageMargins left="0.7" right="0.7" top="0.75" bottom="0.75" header="0.3" footer="0.3"/>
  <pageSetup scale="24" fitToWidth="0" fitToHeight="0" orientation="portrait" r:id="rId2"/>
  <headerFooter alignWithMargins="0"/>
  <rowBreaks count="4" manualBreakCount="4">
    <brk id="29" max="10" man="1"/>
    <brk id="103" max="10" man="1"/>
    <brk id="181" max="10" man="1"/>
    <brk id="274" max="10" man="1"/>
  </rowBreaks>
  <ignoredErrors>
    <ignoredError sqref="I261 I267" unlockedFormula="1"/>
    <ignoredError sqref="C111" numberStoredAsText="1"/>
    <ignoredError sqref="D85 D123" evalError="1"/>
  </ignoredError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5"/>
  <sheetViews>
    <sheetView view="pageBreakPreview" zoomScale="60" zoomScaleNormal="100" workbookViewId="0"/>
  </sheetViews>
  <sheetFormatPr defaultColWidth="8.88671875" defaultRowHeight="15"/>
  <cols>
    <col min="1" max="1" width="8.88671875" style="265"/>
    <col min="2" max="2" width="9" style="265" customWidth="1"/>
    <col min="3" max="3" width="27.109375" style="265" customWidth="1"/>
    <col min="4" max="4" width="3.109375" style="265" customWidth="1"/>
    <col min="5" max="5" width="14.88671875" style="265" customWidth="1"/>
    <col min="6" max="6" width="15.33203125" style="265" customWidth="1"/>
    <col min="7" max="8" width="13.88671875" style="265" customWidth="1"/>
    <col min="9" max="9" width="13.5546875" style="265" customWidth="1"/>
    <col min="10" max="10" width="16.5546875" style="265" customWidth="1"/>
    <col min="11" max="11" width="15.33203125" style="265" customWidth="1"/>
    <col min="12" max="12" width="12.88671875" style="265" customWidth="1"/>
    <col min="13" max="13" width="15.33203125" style="265" customWidth="1"/>
    <col min="14" max="16384" width="8.88671875" style="265"/>
  </cols>
  <sheetData>
    <row r="1" spans="1:13" ht="15.75">
      <c r="M1" s="3" t="str">
        <f>'Attachment H-11A '!K1&amp;""&amp;", Attachment 5b"</f>
        <v>Attachment H -11A, Attachment 5b</v>
      </c>
    </row>
    <row r="2" spans="1:13" ht="15.75">
      <c r="M2" s="3" t="s">
        <v>168</v>
      </c>
    </row>
    <row r="3" spans="1:13" ht="15.75">
      <c r="M3" s="3" t="str">
        <f>'Attachment 1 - Sched 1A'!$J$3</f>
        <v>For the 12 months ended 12/31/2023</v>
      </c>
    </row>
    <row r="4" spans="1:13" ht="15.75">
      <c r="C4" s="42"/>
    </row>
    <row r="5" spans="1:13" ht="15.75" thickBot="1">
      <c r="C5" s="627" t="s">
        <v>101</v>
      </c>
      <c r="D5" s="270"/>
      <c r="E5" s="627" t="s">
        <v>102</v>
      </c>
      <c r="F5" s="627" t="s">
        <v>103</v>
      </c>
      <c r="G5" s="627" t="s">
        <v>104</v>
      </c>
      <c r="H5" s="627" t="s">
        <v>105</v>
      </c>
      <c r="I5" s="627" t="s">
        <v>106</v>
      </c>
      <c r="J5" s="627" t="s">
        <v>107</v>
      </c>
      <c r="K5" s="627" t="s">
        <v>109</v>
      </c>
      <c r="L5" s="627" t="s">
        <v>110</v>
      </c>
    </row>
    <row r="6" spans="1:13" ht="15.75" thickBot="1">
      <c r="A6" s="628" t="s">
        <v>5</v>
      </c>
      <c r="B6" s="628"/>
      <c r="C6" s="629"/>
      <c r="D6" s="630"/>
      <c r="E6" s="1128" t="str">
        <f>MID(M3:M3,31,10)&amp;" "&amp;"Quarterly Activity and Balances"</f>
        <v>2023 Quarterly Activity and Balances</v>
      </c>
      <c r="F6" s="1128"/>
      <c r="G6" s="1128"/>
      <c r="H6" s="1128"/>
      <c r="I6" s="1128"/>
      <c r="J6" s="1128"/>
      <c r="K6" s="1128"/>
      <c r="L6" s="1129"/>
    </row>
    <row r="7" spans="1:13">
      <c r="C7" s="267"/>
      <c r="E7" s="268"/>
      <c r="F7" s="268"/>
      <c r="G7" s="268"/>
      <c r="H7" s="268"/>
      <c r="I7" s="268"/>
      <c r="J7" s="268"/>
      <c r="K7" s="268"/>
      <c r="L7" s="269"/>
    </row>
    <row r="8" spans="1:13" ht="30">
      <c r="C8" s="631" t="s">
        <v>613</v>
      </c>
      <c r="D8" s="632"/>
      <c r="E8" s="633" t="s">
        <v>556</v>
      </c>
      <c r="F8" s="634" t="s">
        <v>557</v>
      </c>
      <c r="G8" s="633" t="s">
        <v>558</v>
      </c>
      <c r="H8" s="634" t="s">
        <v>559</v>
      </c>
      <c r="I8" s="633" t="s">
        <v>560</v>
      </c>
      <c r="J8" s="634" t="s">
        <v>561</v>
      </c>
      <c r="K8" s="633" t="s">
        <v>562</v>
      </c>
      <c r="L8" s="635" t="s">
        <v>563</v>
      </c>
    </row>
    <row r="9" spans="1:13">
      <c r="A9" s="636">
        <v>1</v>
      </c>
      <c r="B9" s="627" t="s">
        <v>583</v>
      </c>
      <c r="C9" s="637"/>
      <c r="D9" s="270"/>
      <c r="E9" s="638"/>
      <c r="F9" s="270">
        <f>SUM(C9:E9)</f>
        <v>0</v>
      </c>
      <c r="G9" s="638"/>
      <c r="H9" s="270">
        <f>SUM(F9:G9)</f>
        <v>0</v>
      </c>
      <c r="I9" s="638"/>
      <c r="J9" s="270">
        <f>SUM(H9:I9)</f>
        <v>0</v>
      </c>
      <c r="K9" s="638"/>
      <c r="L9" s="273">
        <f>SUM(J9:K9)</f>
        <v>0</v>
      </c>
    </row>
    <row r="10" spans="1:13">
      <c r="C10" s="274"/>
      <c r="D10" s="270"/>
      <c r="E10" s="270"/>
      <c r="F10" s="270"/>
      <c r="G10" s="270"/>
      <c r="H10" s="270"/>
      <c r="I10" s="270"/>
      <c r="J10" s="270"/>
      <c r="K10" s="270"/>
      <c r="L10" s="273"/>
    </row>
    <row r="11" spans="1:13" ht="30">
      <c r="C11" s="639" t="str">
        <f>C8</f>
        <v>Beginning 190 (including adjustments)</v>
      </c>
      <c r="D11" s="270"/>
      <c r="E11" s="271" t="s">
        <v>425</v>
      </c>
      <c r="F11" s="270"/>
      <c r="G11" s="271" t="s">
        <v>426</v>
      </c>
      <c r="H11" s="270"/>
      <c r="I11" s="271" t="s">
        <v>427</v>
      </c>
      <c r="J11" s="270"/>
      <c r="K11" s="271" t="s">
        <v>428</v>
      </c>
      <c r="L11" s="273"/>
    </row>
    <row r="12" spans="1:13">
      <c r="A12" s="636">
        <v>2</v>
      </c>
      <c r="B12" s="627" t="s">
        <v>583</v>
      </c>
      <c r="C12" s="272">
        <f>C9</f>
        <v>0</v>
      </c>
      <c r="D12" s="270"/>
      <c r="E12" s="271">
        <f>(276/365)*E9</f>
        <v>0</v>
      </c>
      <c r="F12" s="270"/>
      <c r="G12" s="271">
        <f>(185/365)*G9</f>
        <v>0</v>
      </c>
      <c r="H12" s="270"/>
      <c r="I12" s="271">
        <f>(93/365)*I9</f>
        <v>0</v>
      </c>
      <c r="J12" s="270"/>
      <c r="K12" s="271">
        <f>(1/365)*K9</f>
        <v>0</v>
      </c>
      <c r="L12" s="273"/>
      <c r="M12" s="640"/>
    </row>
    <row r="13" spans="1:13">
      <c r="C13" s="272"/>
      <c r="D13" s="270"/>
      <c r="E13" s="271"/>
      <c r="F13" s="270"/>
      <c r="G13" s="271"/>
      <c r="H13" s="270"/>
      <c r="I13" s="271"/>
      <c r="J13" s="270"/>
      <c r="K13" s="271"/>
      <c r="L13" s="273"/>
      <c r="M13" s="640"/>
    </row>
    <row r="14" spans="1:13" ht="30">
      <c r="C14" s="639" t="s">
        <v>614</v>
      </c>
      <c r="D14" s="270"/>
      <c r="E14" s="633" t="s">
        <v>556</v>
      </c>
      <c r="F14" s="634" t="s">
        <v>557</v>
      </c>
      <c r="G14" s="633" t="s">
        <v>558</v>
      </c>
      <c r="H14" s="634" t="s">
        <v>559</v>
      </c>
      <c r="I14" s="633" t="s">
        <v>560</v>
      </c>
      <c r="J14" s="634" t="s">
        <v>561</v>
      </c>
      <c r="K14" s="633" t="s">
        <v>562</v>
      </c>
      <c r="L14" s="635" t="s">
        <v>563</v>
      </c>
      <c r="M14" s="640"/>
    </row>
    <row r="15" spans="1:13">
      <c r="A15" s="636">
        <v>3</v>
      </c>
      <c r="B15" s="627" t="s">
        <v>583</v>
      </c>
      <c r="C15" s="637"/>
      <c r="D15" s="270"/>
      <c r="E15" s="638"/>
      <c r="F15" s="270">
        <f>SUM(C15:E15)</f>
        <v>0</v>
      </c>
      <c r="G15" s="638"/>
      <c r="H15" s="270">
        <f>SUM(F15:G15)</f>
        <v>0</v>
      </c>
      <c r="I15" s="638"/>
      <c r="J15" s="270">
        <f>SUM(H15:I15)</f>
        <v>0</v>
      </c>
      <c r="K15" s="638"/>
      <c r="L15" s="273">
        <f>SUM(J15:K15)</f>
        <v>0</v>
      </c>
      <c r="M15" s="640"/>
    </row>
    <row r="16" spans="1:13">
      <c r="C16" s="274"/>
      <c r="D16" s="270"/>
      <c r="E16" s="270"/>
      <c r="F16" s="270"/>
      <c r="G16" s="270"/>
      <c r="H16" s="270"/>
      <c r="I16" s="270"/>
      <c r="J16" s="270"/>
      <c r="K16" s="270"/>
      <c r="L16" s="273"/>
      <c r="M16" s="640"/>
    </row>
    <row r="17" spans="1:13" ht="30">
      <c r="C17" s="639" t="str">
        <f>C14</f>
        <v xml:space="preserve">Beginning 282 (including adjustments) </v>
      </c>
      <c r="D17" s="270"/>
      <c r="E17" s="271" t="s">
        <v>425</v>
      </c>
      <c r="F17" s="270"/>
      <c r="G17" s="271" t="s">
        <v>426</v>
      </c>
      <c r="H17" s="270"/>
      <c r="I17" s="271" t="s">
        <v>427</v>
      </c>
      <c r="J17" s="270"/>
      <c r="K17" s="271" t="s">
        <v>428</v>
      </c>
      <c r="L17" s="273"/>
      <c r="M17" s="640"/>
    </row>
    <row r="18" spans="1:13">
      <c r="A18" s="636">
        <v>4</v>
      </c>
      <c r="B18" s="627" t="s">
        <v>583</v>
      </c>
      <c r="C18" s="272">
        <f>C15</f>
        <v>0</v>
      </c>
      <c r="D18" s="270"/>
      <c r="E18" s="271">
        <f>(276/365)*E15</f>
        <v>0</v>
      </c>
      <c r="F18" s="270"/>
      <c r="G18" s="271">
        <f>(185/365)*G15</f>
        <v>0</v>
      </c>
      <c r="H18" s="270"/>
      <c r="I18" s="271">
        <f>(93/365)*I15</f>
        <v>0</v>
      </c>
      <c r="J18" s="270"/>
      <c r="K18" s="271">
        <f>(1/365)*K15</f>
        <v>0</v>
      </c>
      <c r="L18" s="273"/>
      <c r="M18" s="640"/>
    </row>
    <row r="19" spans="1:13">
      <c r="C19" s="272"/>
      <c r="D19" s="270"/>
      <c r="E19" s="271"/>
      <c r="F19" s="270"/>
      <c r="G19" s="271"/>
      <c r="H19" s="270"/>
      <c r="I19" s="271"/>
      <c r="J19" s="270"/>
      <c r="K19" s="271"/>
      <c r="L19" s="273"/>
      <c r="M19" s="640"/>
    </row>
    <row r="20" spans="1:13" ht="30">
      <c r="C20" s="639" t="s">
        <v>615</v>
      </c>
      <c r="D20" s="270"/>
      <c r="E20" s="633" t="s">
        <v>556</v>
      </c>
      <c r="F20" s="634" t="s">
        <v>557</v>
      </c>
      <c r="G20" s="633" t="s">
        <v>558</v>
      </c>
      <c r="H20" s="634" t="s">
        <v>559</v>
      </c>
      <c r="I20" s="633" t="s">
        <v>560</v>
      </c>
      <c r="J20" s="634" t="s">
        <v>561</v>
      </c>
      <c r="K20" s="633" t="s">
        <v>562</v>
      </c>
      <c r="L20" s="635" t="s">
        <v>563</v>
      </c>
      <c r="M20" s="640"/>
    </row>
    <row r="21" spans="1:13">
      <c r="A21" s="636">
        <v>5</v>
      </c>
      <c r="B21" s="627" t="s">
        <v>583</v>
      </c>
      <c r="C21" s="637"/>
      <c r="D21" s="270"/>
      <c r="E21" s="638"/>
      <c r="F21" s="270">
        <f>SUM(C21:E21)</f>
        <v>0</v>
      </c>
      <c r="G21" s="638"/>
      <c r="H21" s="270">
        <f>SUM(F21:G21)</f>
        <v>0</v>
      </c>
      <c r="I21" s="638"/>
      <c r="J21" s="270">
        <f>SUM(H21:I21)</f>
        <v>0</v>
      </c>
      <c r="K21" s="638"/>
      <c r="L21" s="273">
        <f>SUM(J21:K21)</f>
        <v>0</v>
      </c>
      <c r="M21" s="640"/>
    </row>
    <row r="22" spans="1:13">
      <c r="C22" s="274"/>
      <c r="D22" s="270"/>
      <c r="E22" s="270"/>
      <c r="F22" s="270"/>
      <c r="G22" s="270"/>
      <c r="H22" s="270"/>
      <c r="I22" s="270"/>
      <c r="J22" s="270"/>
      <c r="K22" s="270"/>
      <c r="L22" s="273"/>
      <c r="M22" s="640"/>
    </row>
    <row r="23" spans="1:13" ht="30">
      <c r="B23" s="641"/>
      <c r="C23" s="639" t="s">
        <v>555</v>
      </c>
      <c r="D23" s="270"/>
      <c r="E23" s="271" t="s">
        <v>425</v>
      </c>
      <c r="F23" s="270"/>
      <c r="G23" s="271" t="s">
        <v>426</v>
      </c>
      <c r="H23" s="270"/>
      <c r="I23" s="271" t="s">
        <v>427</v>
      </c>
      <c r="J23" s="270"/>
      <c r="K23" s="271" t="s">
        <v>428</v>
      </c>
      <c r="L23" s="273"/>
      <c r="M23" s="640"/>
    </row>
    <row r="24" spans="1:13" ht="15.75" thickBot="1">
      <c r="A24" s="636">
        <v>6</v>
      </c>
      <c r="B24" s="627" t="s">
        <v>583</v>
      </c>
      <c r="C24" s="407">
        <f>C21</f>
        <v>0</v>
      </c>
      <c r="D24" s="381"/>
      <c r="E24" s="497">
        <f>(276/365)*E21</f>
        <v>0</v>
      </c>
      <c r="F24" s="381"/>
      <c r="G24" s="497">
        <f>(185/365)*G21</f>
        <v>0</v>
      </c>
      <c r="H24" s="381"/>
      <c r="I24" s="497">
        <f>(93/365)*I21</f>
        <v>0</v>
      </c>
      <c r="J24" s="381"/>
      <c r="K24" s="497">
        <f>(1/365)*K21</f>
        <v>0</v>
      </c>
      <c r="L24" s="408"/>
      <c r="M24" s="640"/>
    </row>
    <row r="31" spans="1:13" ht="15.75">
      <c r="M31" s="3"/>
    </row>
    <row r="32" spans="1:13" ht="15.75">
      <c r="M32" s="3"/>
    </row>
    <row r="33" spans="1:13" ht="15.75">
      <c r="G33" s="1130" t="str">
        <f>MID(M3:M3,31,10)&amp;" "&amp;"PTRR"</f>
        <v>2023 PTRR</v>
      </c>
      <c r="H33" s="1131"/>
      <c r="M33" s="3"/>
    </row>
    <row r="35" spans="1:13">
      <c r="E35" s="657" t="s">
        <v>111</v>
      </c>
      <c r="F35" s="657" t="s">
        <v>112</v>
      </c>
      <c r="G35" s="657" t="s">
        <v>116</v>
      </c>
      <c r="H35" s="657" t="s">
        <v>117</v>
      </c>
      <c r="I35" s="657" t="s">
        <v>118</v>
      </c>
      <c r="J35" s="657" t="s">
        <v>119</v>
      </c>
      <c r="K35" s="657" t="s">
        <v>121</v>
      </c>
      <c r="L35" s="627"/>
      <c r="M35" s="627"/>
    </row>
    <row r="36" spans="1:13" ht="51" customHeight="1">
      <c r="E36" s="1056" t="s">
        <v>1202</v>
      </c>
      <c r="F36" s="633" t="s">
        <v>584</v>
      </c>
      <c r="G36" s="658" t="s">
        <v>609</v>
      </c>
      <c r="H36" s="657" t="s">
        <v>610</v>
      </c>
      <c r="I36" s="1051" t="s">
        <v>1203</v>
      </c>
      <c r="J36" s="657" t="s">
        <v>611</v>
      </c>
      <c r="K36" s="658" t="s">
        <v>612</v>
      </c>
      <c r="L36" s="627"/>
      <c r="M36" s="627"/>
    </row>
    <row r="37" spans="1:13" ht="61.5" customHeight="1">
      <c r="A37" s="628" t="s">
        <v>5</v>
      </c>
      <c r="B37" s="628"/>
      <c r="C37" s="642" t="s">
        <v>588</v>
      </c>
      <c r="E37" s="906" t="s">
        <v>960</v>
      </c>
      <c r="F37" s="643" t="s">
        <v>589</v>
      </c>
      <c r="G37" s="644" t="s">
        <v>590</v>
      </c>
      <c r="H37" s="644" t="s">
        <v>591</v>
      </c>
      <c r="I37" s="644" t="s">
        <v>592</v>
      </c>
      <c r="J37" s="644" t="s">
        <v>684</v>
      </c>
      <c r="K37" s="644" t="s">
        <v>683</v>
      </c>
    </row>
    <row r="39" spans="1:13">
      <c r="A39" s="636">
        <v>7</v>
      </c>
      <c r="B39" s="636" t="s">
        <v>583</v>
      </c>
      <c r="C39" s="645" t="s">
        <v>593</v>
      </c>
      <c r="E39" s="651">
        <f>'Attachment 5 - ADIT Summary'!H15</f>
        <v>25830190.002220109</v>
      </c>
      <c r="F39" s="270">
        <f>E9+G9+I9+K9</f>
        <v>0</v>
      </c>
      <c r="G39" s="270">
        <f>C12+E12+G12+I12+K12</f>
        <v>0</v>
      </c>
      <c r="H39" s="385">
        <f>E39-G39</f>
        <v>25830190.002220109</v>
      </c>
      <c r="I39" s="651">
        <f>SUM('Attachment 5 - ADIT Summary'!F32:J32)</f>
        <v>2489720.0022201096</v>
      </c>
      <c r="J39" s="647">
        <f>H39-I39</f>
        <v>23340470</v>
      </c>
      <c r="K39" s="647">
        <f>E39-I39-J39</f>
        <v>0</v>
      </c>
    </row>
    <row r="40" spans="1:13">
      <c r="H40" s="385"/>
      <c r="I40" s="648"/>
      <c r="J40" s="385"/>
      <c r="K40" s="385"/>
    </row>
    <row r="41" spans="1:13">
      <c r="A41" s="636">
        <v>8</v>
      </c>
      <c r="B41" s="636" t="s">
        <v>583</v>
      </c>
      <c r="C41" s="645" t="s">
        <v>594</v>
      </c>
      <c r="E41" s="651">
        <f>'Attachment 5 - ADIT Summary'!F15</f>
        <v>94757611.549086094</v>
      </c>
      <c r="F41" s="270">
        <f>E15+G15+I15+K15</f>
        <v>0</v>
      </c>
      <c r="G41" s="270">
        <f>C18+E18+G18+I18+K18</f>
        <v>0</v>
      </c>
      <c r="H41" s="385">
        <f>E41-G41</f>
        <v>94757611.549086094</v>
      </c>
      <c r="I41" s="651">
        <f>SUM('Attachment 5 - ADIT Summary'!F24:J24)</f>
        <v>-17386037.450913899</v>
      </c>
      <c r="J41" s="647">
        <f>H41-I41</f>
        <v>112143649</v>
      </c>
      <c r="K41" s="647">
        <f>-E41+I41+J41</f>
        <v>0</v>
      </c>
    </row>
    <row r="42" spans="1:13">
      <c r="A42" s="636"/>
      <c r="B42" s="636"/>
      <c r="H42" s="385"/>
      <c r="I42" s="648"/>
      <c r="J42" s="385"/>
      <c r="K42" s="385"/>
    </row>
    <row r="43" spans="1:13">
      <c r="A43" s="636">
        <v>9</v>
      </c>
      <c r="B43" s="636" t="s">
        <v>583</v>
      </c>
      <c r="C43" s="645" t="s">
        <v>595</v>
      </c>
      <c r="E43" s="651">
        <f>'Attachment 5 - ADIT Summary'!G15</f>
        <v>-3803590.8209697763</v>
      </c>
      <c r="F43" s="270">
        <f>E21+G21+I21+K21</f>
        <v>0</v>
      </c>
      <c r="G43" s="270">
        <f>C24+E24+G24+I24+K24</f>
        <v>0</v>
      </c>
      <c r="H43" s="385">
        <f>E43-G43</f>
        <v>-3803590.8209697763</v>
      </c>
      <c r="I43" s="651">
        <f>SUM('Attachment 5 - ADIT Summary'!F28:J28)</f>
        <v>-6196935.8209697763</v>
      </c>
      <c r="J43" s="647">
        <f>H43-I43</f>
        <v>2393345</v>
      </c>
      <c r="K43" s="647">
        <f>-E43+I43+J43</f>
        <v>0</v>
      </c>
    </row>
    <row r="44" spans="1:13">
      <c r="A44" s="636"/>
      <c r="B44" s="636"/>
      <c r="H44" s="385"/>
      <c r="I44" s="648"/>
      <c r="J44" s="385"/>
      <c r="K44" s="385"/>
    </row>
    <row r="45" spans="1:13">
      <c r="A45" s="636">
        <v>10</v>
      </c>
      <c r="B45" s="636" t="s">
        <v>583</v>
      </c>
      <c r="C45" s="645" t="s">
        <v>596</v>
      </c>
      <c r="E45" s="385">
        <f>E39-E41-E43</f>
        <v>-65123830.725896209</v>
      </c>
      <c r="F45" s="385">
        <f>F39-F41-F43</f>
        <v>0</v>
      </c>
      <c r="G45" s="385">
        <f>G39-G41-G43</f>
        <v>0</v>
      </c>
      <c r="H45" s="385">
        <f>H39-H41-H43</f>
        <v>-65123830.725896209</v>
      </c>
      <c r="I45" s="385">
        <f>I39+I41+I43</f>
        <v>-21093253.269663565</v>
      </c>
      <c r="J45" s="385">
        <f>J39+J41+J43</f>
        <v>137877464</v>
      </c>
      <c r="K45" s="385">
        <f>K39+K41+K43</f>
        <v>0</v>
      </c>
    </row>
    <row r="46" spans="1:13">
      <c r="A46" s="636"/>
      <c r="B46" s="636"/>
    </row>
    <row r="47" spans="1:13">
      <c r="A47" s="636"/>
      <c r="B47" s="636"/>
    </row>
    <row r="48" spans="1:13">
      <c r="A48" s="636"/>
      <c r="B48" s="636"/>
    </row>
    <row r="49" spans="1:13">
      <c r="A49" s="636"/>
      <c r="B49" s="636"/>
      <c r="K49" s="385"/>
      <c r="M49" s="385"/>
    </row>
    <row r="50" spans="1:13">
      <c r="A50" s="636"/>
      <c r="B50" s="266" t="s">
        <v>597</v>
      </c>
    </row>
    <row r="51" spans="1:13">
      <c r="A51" s="636"/>
      <c r="B51" s="1133" t="s">
        <v>628</v>
      </c>
      <c r="C51" s="1133"/>
      <c r="D51" s="1133"/>
      <c r="E51" s="1133"/>
      <c r="F51" s="1133"/>
      <c r="G51" s="1133"/>
    </row>
    <row r="52" spans="1:13">
      <c r="A52" s="636"/>
      <c r="B52" s="1132"/>
      <c r="C52" s="1132"/>
      <c r="D52" s="1132"/>
      <c r="E52" s="1132"/>
      <c r="F52" s="1132"/>
      <c r="G52" s="1132"/>
    </row>
    <row r="53" spans="1:13">
      <c r="A53" s="636"/>
    </row>
    <row r="54" spans="1:13">
      <c r="A54" s="636"/>
    </row>
    <row r="55" spans="1:13">
      <c r="A55" s="636"/>
    </row>
  </sheetData>
  <mergeCells count="4">
    <mergeCell ref="E6:L6"/>
    <mergeCell ref="G33:H33"/>
    <mergeCell ref="B52:G52"/>
    <mergeCell ref="B51:G51"/>
  </mergeCells>
  <pageMargins left="0.7" right="0.7" top="0.75" bottom="0.75" header="0.3" footer="0.3"/>
  <pageSetup scale="53" orientation="landscape" r:id="rId1"/>
  <colBreaks count="1" manualBreakCount="1">
    <brk id="13" max="3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sheetPr codeName="Sheet14"/>
  <dimension ref="A1:O77"/>
  <sheetViews>
    <sheetView view="pageBreakPreview" zoomScale="60" zoomScaleNormal="100" workbookViewId="0"/>
  </sheetViews>
  <sheetFormatPr defaultColWidth="8.88671875" defaultRowHeight="15"/>
  <cols>
    <col min="1" max="1" width="9.5546875" style="265" customWidth="1"/>
    <col min="2" max="2" width="9" style="265" customWidth="1"/>
    <col min="3" max="3" width="27.109375" style="265" customWidth="1"/>
    <col min="4" max="4" width="3.109375" style="265" customWidth="1"/>
    <col min="5" max="5" width="14.88671875" style="265" customWidth="1"/>
    <col min="6" max="6" width="15.33203125" style="265" customWidth="1"/>
    <col min="7" max="8" width="13.88671875" style="265" customWidth="1"/>
    <col min="9" max="9" width="13.5546875" style="265" customWidth="1"/>
    <col min="10" max="10" width="16.5546875" style="265" customWidth="1"/>
    <col min="11" max="11" width="15.33203125" style="265" customWidth="1"/>
    <col min="12" max="12" width="12.88671875" style="265" customWidth="1"/>
    <col min="13" max="13" width="17.109375" style="265" customWidth="1"/>
    <col min="14" max="14" width="9.5546875" style="265" bestFit="1" customWidth="1"/>
    <col min="15" max="15" width="10.77734375" style="265" bestFit="1" customWidth="1"/>
    <col min="16" max="16384" width="8.88671875" style="265"/>
  </cols>
  <sheetData>
    <row r="1" spans="1:15" ht="15.75">
      <c r="M1" s="3" t="str">
        <f>'Attachment H-11A '!K1&amp;""&amp;", Attachment 5c"</f>
        <v>Attachment H -11A, Attachment 5c</v>
      </c>
    </row>
    <row r="2" spans="1:15" ht="15.75">
      <c r="M2" s="3" t="s">
        <v>171</v>
      </c>
    </row>
    <row r="3" spans="1:15" ht="15.75">
      <c r="M3" s="3" t="str">
        <f>'Attachment H-11A '!K4</f>
        <v>For the 12 months ended 12/31/2023</v>
      </c>
    </row>
    <row r="4" spans="1:15" ht="15.75">
      <c r="C4" s="42"/>
    </row>
    <row r="5" spans="1:15" ht="15.75" thickBot="1">
      <c r="C5" s="627" t="s">
        <v>101</v>
      </c>
      <c r="D5" s="270"/>
      <c r="E5" s="627" t="s">
        <v>102</v>
      </c>
      <c r="F5" s="627" t="s">
        <v>103</v>
      </c>
      <c r="G5" s="627" t="s">
        <v>104</v>
      </c>
      <c r="H5" s="627" t="s">
        <v>105</v>
      </c>
      <c r="I5" s="627" t="s">
        <v>106</v>
      </c>
      <c r="J5" s="627" t="s">
        <v>107</v>
      </c>
      <c r="K5" s="627" t="s">
        <v>109</v>
      </c>
      <c r="L5" s="627" t="s">
        <v>110</v>
      </c>
    </row>
    <row r="6" spans="1:15" ht="15.75" thickBot="1">
      <c r="A6" s="628" t="s">
        <v>5</v>
      </c>
      <c r="B6" s="628"/>
      <c r="C6" s="629"/>
      <c r="D6" s="630"/>
      <c r="E6" s="1128" t="str">
        <f>MID(M3:M3,31,10)&amp;" "&amp;"Quarterly Activity and Balances"</f>
        <v>2023 Quarterly Activity and Balances</v>
      </c>
      <c r="F6" s="1128"/>
      <c r="G6" s="1128"/>
      <c r="H6" s="1128"/>
      <c r="I6" s="1128"/>
      <c r="J6" s="1128"/>
      <c r="K6" s="1128"/>
      <c r="L6" s="1129"/>
      <c r="M6" s="1070"/>
    </row>
    <row r="7" spans="1:15">
      <c r="C7" s="267"/>
      <c r="E7" s="268"/>
      <c r="F7" s="268"/>
      <c r="G7" s="268"/>
      <c r="H7" s="268"/>
      <c r="I7" s="268"/>
      <c r="J7" s="268"/>
      <c r="K7" s="268"/>
      <c r="L7" s="269"/>
    </row>
    <row r="8" spans="1:15" ht="30">
      <c r="C8" s="631" t="s">
        <v>616</v>
      </c>
      <c r="D8" s="632"/>
      <c r="E8" s="633" t="s">
        <v>556</v>
      </c>
      <c r="F8" s="634" t="s">
        <v>557</v>
      </c>
      <c r="G8" s="633" t="s">
        <v>558</v>
      </c>
      <c r="H8" s="634" t="s">
        <v>559</v>
      </c>
      <c r="I8" s="633" t="s">
        <v>560</v>
      </c>
      <c r="J8" s="634" t="s">
        <v>561</v>
      </c>
      <c r="K8" s="633" t="s">
        <v>562</v>
      </c>
      <c r="L8" s="635" t="s">
        <v>563</v>
      </c>
    </row>
    <row r="9" spans="1:15">
      <c r="A9" s="636">
        <v>1</v>
      </c>
      <c r="B9" s="627" t="s">
        <v>583</v>
      </c>
      <c r="C9" s="637">
        <v>8572487.9759463873</v>
      </c>
      <c r="D9" s="270"/>
      <c r="E9" s="638">
        <v>-1429385.3139128943</v>
      </c>
      <c r="F9" s="270">
        <f>SUM(C9:E9)</f>
        <v>7143102.6620334927</v>
      </c>
      <c r="G9" s="638">
        <v>-277362.7765878925</v>
      </c>
      <c r="H9" s="270">
        <f>SUM(F9:G9)</f>
        <v>6865739.8854456004</v>
      </c>
      <c r="I9" s="638">
        <v>-849886.41201524506</v>
      </c>
      <c r="J9" s="270">
        <f>SUM(H9:I9)</f>
        <v>6015853.4734303551</v>
      </c>
      <c r="K9" s="638">
        <v>-1032605.2567027574</v>
      </c>
      <c r="L9" s="273">
        <f>SUM(J9:K9)</f>
        <v>4983248.2167275976</v>
      </c>
    </row>
    <row r="10" spans="1:15">
      <c r="A10" s="636">
        <v>2</v>
      </c>
      <c r="B10" s="627" t="s">
        <v>598</v>
      </c>
      <c r="C10" s="637">
        <v>22856876.445091713</v>
      </c>
      <c r="D10" s="270"/>
      <c r="E10" s="638">
        <v>9953.7027370586111</v>
      </c>
      <c r="F10" s="270">
        <f>SUM(C10:E10)</f>
        <v>22866830.147828773</v>
      </c>
      <c r="G10" s="638">
        <v>6070.8672764002577</v>
      </c>
      <c r="H10" s="270">
        <f>SUM(F10:G10)</f>
        <v>22872901.015105173</v>
      </c>
      <c r="I10" s="638">
        <v>285590.50720081839</v>
      </c>
      <c r="J10" s="270">
        <f>SUM(H10:I10)</f>
        <v>23158491.522305992</v>
      </c>
      <c r="K10" s="638">
        <v>181978.79736987228</v>
      </c>
      <c r="L10" s="273">
        <f>SUM(J10:K10)</f>
        <v>23340470.319675863</v>
      </c>
      <c r="M10" s="1071"/>
    </row>
    <row r="11" spans="1:15">
      <c r="C11" s="274"/>
      <c r="D11" s="270"/>
      <c r="E11" s="270"/>
      <c r="F11" s="270"/>
      <c r="G11" s="270"/>
      <c r="H11" s="270"/>
      <c r="I11" s="270"/>
      <c r="J11" s="270"/>
      <c r="K11" s="270"/>
      <c r="L11" s="273"/>
    </row>
    <row r="12" spans="1:15" ht="30">
      <c r="C12" s="639" t="str">
        <f>C8</f>
        <v xml:space="preserve">Beginning 190 (including adjustments) </v>
      </c>
      <c r="D12" s="270"/>
      <c r="E12" s="271" t="s">
        <v>425</v>
      </c>
      <c r="F12" s="270"/>
      <c r="G12" s="271" t="s">
        <v>426</v>
      </c>
      <c r="H12" s="270"/>
      <c r="I12" s="271" t="s">
        <v>427</v>
      </c>
      <c r="J12" s="270"/>
      <c r="K12" s="271" t="s">
        <v>428</v>
      </c>
      <c r="L12" s="273"/>
    </row>
    <row r="13" spans="1:15">
      <c r="A13" s="636">
        <v>3</v>
      </c>
      <c r="B13" s="627" t="s">
        <v>583</v>
      </c>
      <c r="C13" s="272">
        <f>C9</f>
        <v>8572487.9759463873</v>
      </c>
      <c r="D13" s="270"/>
      <c r="E13" s="271">
        <f>(276/365)*E9</f>
        <v>-1080850.2647670105</v>
      </c>
      <c r="F13" s="270"/>
      <c r="G13" s="271">
        <f>(185/365)*G9</f>
        <v>-140581.13333906879</v>
      </c>
      <c r="H13" s="270"/>
      <c r="I13" s="271">
        <f>(93/365)*I9</f>
        <v>-216546.40086963779</v>
      </c>
      <c r="J13" s="270"/>
      <c r="K13" s="271">
        <f>(1/365)*K9</f>
        <v>-2829.0554978157738</v>
      </c>
      <c r="L13" s="273"/>
      <c r="M13" s="680"/>
      <c r="N13" s="385"/>
      <c r="O13" s="385"/>
    </row>
    <row r="14" spans="1:15">
      <c r="A14" s="636">
        <v>4</v>
      </c>
      <c r="B14" s="627" t="s">
        <v>598</v>
      </c>
      <c r="C14" s="272">
        <f>C10</f>
        <v>22856876.445091713</v>
      </c>
      <c r="D14" s="270"/>
      <c r="E14" s="271">
        <f>(276/365)*E10</f>
        <v>7526.635494323772</v>
      </c>
      <c r="F14" s="270"/>
      <c r="G14" s="271">
        <f>(185/365)*G10</f>
        <v>3077.0149209151991</v>
      </c>
      <c r="H14" s="270"/>
      <c r="I14" s="271">
        <f>(93/365)*I10</f>
        <v>72766.896355277015</v>
      </c>
      <c r="J14" s="270"/>
      <c r="K14" s="271">
        <f>(1/365)*K10</f>
        <v>498.57204758869119</v>
      </c>
      <c r="L14" s="273"/>
      <c r="M14" s="680"/>
      <c r="N14" s="1072"/>
      <c r="O14" s="1072"/>
    </row>
    <row r="15" spans="1:15">
      <c r="C15" s="272"/>
      <c r="D15" s="270"/>
      <c r="E15" s="271"/>
      <c r="F15" s="270"/>
      <c r="G15" s="271"/>
      <c r="H15" s="270"/>
      <c r="I15" s="271"/>
      <c r="J15" s="270"/>
      <c r="K15" s="271"/>
      <c r="L15" s="273"/>
      <c r="M15" s="680"/>
    </row>
    <row r="16" spans="1:15" ht="30">
      <c r="C16" s="639" t="s">
        <v>614</v>
      </c>
      <c r="D16" s="270"/>
      <c r="E16" s="633" t="s">
        <v>556</v>
      </c>
      <c r="F16" s="634" t="s">
        <v>557</v>
      </c>
      <c r="G16" s="633" t="s">
        <v>558</v>
      </c>
      <c r="H16" s="634" t="s">
        <v>559</v>
      </c>
      <c r="I16" s="633" t="s">
        <v>560</v>
      </c>
      <c r="J16" s="634" t="s">
        <v>561</v>
      </c>
      <c r="K16" s="633" t="s">
        <v>562</v>
      </c>
      <c r="L16" s="635" t="s">
        <v>563</v>
      </c>
      <c r="M16" s="680"/>
    </row>
    <row r="17" spans="1:13">
      <c r="A17" s="636">
        <v>5</v>
      </c>
      <c r="B17" s="627" t="s">
        <v>583</v>
      </c>
      <c r="C17" s="637">
        <v>91174060.738479689</v>
      </c>
      <c r="D17" s="270"/>
      <c r="E17" s="638">
        <v>1178911.4583967694</v>
      </c>
      <c r="F17" s="270">
        <f>SUM(C17:E17)</f>
        <v>92352972.196876451</v>
      </c>
      <c r="G17" s="638">
        <v>1188372.0154992666</v>
      </c>
      <c r="H17" s="270">
        <f>SUM(F17:G17)</f>
        <v>93541344.212375715</v>
      </c>
      <c r="I17" s="638">
        <v>1189060.0972129398</v>
      </c>
      <c r="J17" s="270">
        <f>SUM(H17:I17)</f>
        <v>94730404.309588656</v>
      </c>
      <c r="K17" s="638">
        <v>1286903.4514358104</v>
      </c>
      <c r="L17" s="273">
        <f>SUM(J17:K17)</f>
        <v>96017307.76102446</v>
      </c>
      <c r="M17" s="680"/>
    </row>
    <row r="18" spans="1:13">
      <c r="A18" s="636">
        <v>6</v>
      </c>
      <c r="B18" s="627" t="s">
        <v>598</v>
      </c>
      <c r="C18" s="637">
        <v>106134065.00367326</v>
      </c>
      <c r="D18" s="270"/>
      <c r="E18" s="638">
        <v>886593.87860669894</v>
      </c>
      <c r="F18" s="270">
        <f>SUM(C18:E18)</f>
        <v>107020658.88227995</v>
      </c>
      <c r="G18" s="638">
        <v>897191.56632330827</v>
      </c>
      <c r="H18" s="270">
        <f>SUM(F18:G18)</f>
        <v>107917850.44860326</v>
      </c>
      <c r="I18" s="638">
        <v>2260795.110969713</v>
      </c>
      <c r="J18" s="270">
        <f>SUM(H18:I18)</f>
        <v>110178645.55957296</v>
      </c>
      <c r="K18" s="638">
        <v>1965003.8715016437</v>
      </c>
      <c r="L18" s="273">
        <f>SUM(J18:K18)</f>
        <v>112143649.4310746</v>
      </c>
      <c r="M18" s="1071"/>
    </row>
    <row r="19" spans="1:13">
      <c r="C19" s="274"/>
      <c r="D19" s="270"/>
      <c r="E19" s="270"/>
      <c r="F19" s="270"/>
      <c r="G19" s="270"/>
      <c r="H19" s="270"/>
      <c r="I19" s="270"/>
      <c r="J19" s="270"/>
      <c r="K19" s="270"/>
      <c r="L19" s="273"/>
      <c r="M19" s="680"/>
    </row>
    <row r="20" spans="1:13" ht="30">
      <c r="C20" s="639" t="str">
        <f>C16</f>
        <v xml:space="preserve">Beginning 282 (including adjustments) </v>
      </c>
      <c r="D20" s="270"/>
      <c r="E20" s="271" t="s">
        <v>425</v>
      </c>
      <c r="F20" s="270"/>
      <c r="G20" s="271" t="s">
        <v>426</v>
      </c>
      <c r="H20" s="270"/>
      <c r="I20" s="271" t="s">
        <v>427</v>
      </c>
      <c r="J20" s="270"/>
      <c r="K20" s="271" t="s">
        <v>428</v>
      </c>
      <c r="L20" s="273"/>
      <c r="M20" s="680"/>
    </row>
    <row r="21" spans="1:13">
      <c r="A21" s="636">
        <v>7</v>
      </c>
      <c r="B21" s="627" t="s">
        <v>583</v>
      </c>
      <c r="C21" s="272">
        <f>C17</f>
        <v>91174060.738479689</v>
      </c>
      <c r="D21" s="270"/>
      <c r="E21" s="271">
        <f>(276/365)*E17</f>
        <v>891450.85621235159</v>
      </c>
      <c r="F21" s="270"/>
      <c r="G21" s="271">
        <f>(185/365)*G17</f>
        <v>602325.54210236797</v>
      </c>
      <c r="H21" s="270"/>
      <c r="I21" s="271">
        <f>(93/365)*I17</f>
        <v>302965.9973720641</v>
      </c>
      <c r="J21" s="270"/>
      <c r="K21" s="271">
        <f>(1/365)*K17</f>
        <v>3525.7628806460561</v>
      </c>
      <c r="L21" s="273"/>
      <c r="M21" s="680"/>
    </row>
    <row r="22" spans="1:13">
      <c r="A22" s="636">
        <v>8</v>
      </c>
      <c r="B22" s="627" t="s">
        <v>598</v>
      </c>
      <c r="C22" s="272">
        <f>C18</f>
        <v>106134065.00367326</v>
      </c>
      <c r="D22" s="270"/>
      <c r="E22" s="271">
        <f>(276/365)*E18</f>
        <v>670410.71368616144</v>
      </c>
      <c r="F22" s="270"/>
      <c r="G22" s="271">
        <f>(185/365)*G18</f>
        <v>454740.93087619735</v>
      </c>
      <c r="H22" s="270"/>
      <c r="I22" s="271">
        <f>(93/365)*I18</f>
        <v>576038.20635666663</v>
      </c>
      <c r="J22" s="270"/>
      <c r="K22" s="271">
        <f>(1/365)*K18</f>
        <v>5383.5722506894344</v>
      </c>
      <c r="L22" s="273"/>
      <c r="M22" s="680"/>
    </row>
    <row r="23" spans="1:13">
      <c r="C23" s="272"/>
      <c r="D23" s="270"/>
      <c r="E23" s="271"/>
      <c r="F23" s="270"/>
      <c r="G23" s="271"/>
      <c r="H23" s="270"/>
      <c r="I23" s="271"/>
      <c r="J23" s="270"/>
      <c r="K23" s="271"/>
      <c r="L23" s="273"/>
      <c r="M23" s="680"/>
    </row>
    <row r="24" spans="1:13" ht="30">
      <c r="C24" s="639" t="s">
        <v>615</v>
      </c>
      <c r="D24" s="270"/>
      <c r="E24" s="633" t="s">
        <v>556</v>
      </c>
      <c r="F24" s="634" t="s">
        <v>557</v>
      </c>
      <c r="G24" s="633" t="s">
        <v>558</v>
      </c>
      <c r="H24" s="634" t="s">
        <v>559</v>
      </c>
      <c r="I24" s="633" t="s">
        <v>560</v>
      </c>
      <c r="J24" s="634" t="s">
        <v>561</v>
      </c>
      <c r="K24" s="633" t="s">
        <v>562</v>
      </c>
      <c r="L24" s="635" t="s">
        <v>563</v>
      </c>
      <c r="M24" s="680"/>
    </row>
    <row r="25" spans="1:13">
      <c r="A25" s="636">
        <v>9</v>
      </c>
      <c r="B25" s="627" t="s">
        <v>583</v>
      </c>
      <c r="C25" s="637">
        <v>5005741.1436469899</v>
      </c>
      <c r="D25" s="270"/>
      <c r="E25" s="638">
        <v>-379851.40032096533</v>
      </c>
      <c r="F25" s="270">
        <f>SUM(C25:E25)</f>
        <v>4625889.7433260251</v>
      </c>
      <c r="G25" s="638">
        <v>25236.382820160528</v>
      </c>
      <c r="H25" s="270">
        <f>SUM(F25:G25)</f>
        <v>4651126.1261461852</v>
      </c>
      <c r="I25" s="638">
        <v>146402.8993188423</v>
      </c>
      <c r="J25" s="270">
        <f>SUM(H25:I25)</f>
        <v>4797529.0254650274</v>
      </c>
      <c r="K25" s="638">
        <v>-298945.40673880646</v>
      </c>
      <c r="L25" s="273">
        <f>SUM(J25:K25)</f>
        <v>4498583.6187262209</v>
      </c>
      <c r="M25" s="680"/>
    </row>
    <row r="26" spans="1:13">
      <c r="A26" s="636">
        <v>10</v>
      </c>
      <c r="B26" s="627" t="s">
        <v>598</v>
      </c>
      <c r="C26" s="637">
        <v>1206529.5563681456</v>
      </c>
      <c r="D26" s="270"/>
      <c r="E26" s="638">
        <v>6106.0242173490633</v>
      </c>
      <c r="F26" s="270">
        <f>SUM(C26:E26)</f>
        <v>1212635.5805854946</v>
      </c>
      <c r="G26" s="649">
        <v>5304.7519524565441</v>
      </c>
      <c r="H26" s="270">
        <f>SUM(F26:G26)</f>
        <v>1217940.3325379512</v>
      </c>
      <c r="I26" s="638">
        <v>-27298.594519873383</v>
      </c>
      <c r="J26" s="270">
        <f>SUM(H26:I26)</f>
        <v>1190641.7380180778</v>
      </c>
      <c r="K26" s="638">
        <v>-50307.090640921895</v>
      </c>
      <c r="L26" s="273">
        <f>SUM(J26:K26)</f>
        <v>1140334.647377156</v>
      </c>
      <c r="M26" s="1071"/>
    </row>
    <row r="27" spans="1:13">
      <c r="C27" s="274"/>
      <c r="D27" s="270"/>
      <c r="E27" s="270"/>
      <c r="F27" s="270"/>
      <c r="G27" s="270"/>
      <c r="H27" s="270"/>
      <c r="I27" s="270"/>
      <c r="J27" s="270"/>
      <c r="K27" s="270"/>
      <c r="L27" s="273"/>
      <c r="M27" s="680"/>
    </row>
    <row r="28" spans="1:13" ht="30">
      <c r="B28" s="641"/>
      <c r="C28" s="639" t="s">
        <v>555</v>
      </c>
      <c r="D28" s="270"/>
      <c r="E28" s="271" t="s">
        <v>425</v>
      </c>
      <c r="F28" s="270"/>
      <c r="G28" s="271" t="s">
        <v>426</v>
      </c>
      <c r="H28" s="270"/>
      <c r="I28" s="271" t="s">
        <v>427</v>
      </c>
      <c r="J28" s="270"/>
      <c r="K28" s="271" t="s">
        <v>428</v>
      </c>
      <c r="L28" s="273"/>
      <c r="M28" s="680"/>
    </row>
    <row r="29" spans="1:13">
      <c r="A29" s="636">
        <v>11</v>
      </c>
      <c r="B29" s="627" t="s">
        <v>583</v>
      </c>
      <c r="C29" s="272">
        <f>C25</f>
        <v>5005741.1436469899</v>
      </c>
      <c r="D29" s="270"/>
      <c r="E29" s="271">
        <f>(276/365)*E25</f>
        <v>-287230.09996872995</v>
      </c>
      <c r="F29" s="270"/>
      <c r="G29" s="271">
        <f>(185/365)*G25</f>
        <v>12791.043347204652</v>
      </c>
      <c r="H29" s="270"/>
      <c r="I29" s="271">
        <f>(93/365)*I25</f>
        <v>37302.656538773517</v>
      </c>
      <c r="J29" s="270"/>
      <c r="K29" s="271">
        <f>(1/365)*K25</f>
        <v>-819.02851161316835</v>
      </c>
      <c r="L29" s="273"/>
      <c r="M29" s="680"/>
    </row>
    <row r="30" spans="1:13" ht="15.75" thickBot="1">
      <c r="A30" s="636">
        <v>12</v>
      </c>
      <c r="B30" s="627" t="s">
        <v>598</v>
      </c>
      <c r="C30" s="407">
        <f>C26</f>
        <v>1206529.5563681456</v>
      </c>
      <c r="D30" s="381"/>
      <c r="E30" s="497">
        <f>(276/365)*E26</f>
        <v>4617.1580383242235</v>
      </c>
      <c r="F30" s="381"/>
      <c r="G30" s="497">
        <f>(185/365)*G26</f>
        <v>2688.7098937108512</v>
      </c>
      <c r="H30" s="381"/>
      <c r="I30" s="497">
        <f>(93/365)*I26</f>
        <v>-6955.5323023239034</v>
      </c>
      <c r="J30" s="381"/>
      <c r="K30" s="497">
        <f>(1/365)*K26</f>
        <v>-137.82764559156684</v>
      </c>
      <c r="L30" s="650"/>
    </row>
    <row r="35" spans="1:13" ht="15.75">
      <c r="M35" s="3" t="str">
        <f>'Attachment H-11A '!K1&amp;""&amp;", Attachment 5c"</f>
        <v>Attachment H -11A, Attachment 5c</v>
      </c>
    </row>
    <row r="36" spans="1:13" ht="15.75">
      <c r="M36" s="3" t="s">
        <v>174</v>
      </c>
    </row>
    <row r="37" spans="1:13" ht="15.75">
      <c r="M37" s="3" t="str">
        <f>'Attachment H-11A '!K4</f>
        <v>For the 12 months ended 12/31/2023</v>
      </c>
    </row>
    <row r="40" spans="1:13" ht="15.75">
      <c r="M40" s="3"/>
    </row>
    <row r="41" spans="1:13" ht="15.75">
      <c r="M41" s="3"/>
    </row>
    <row r="42" spans="1:13" ht="15.75">
      <c r="G42" s="1134" t="str">
        <f>'Attachment 5b - ADIT Norm PTRR'!G33:H33</f>
        <v>2023 PTRR</v>
      </c>
      <c r="H42" s="1131"/>
      <c r="M42" s="3"/>
    </row>
    <row r="44" spans="1:13">
      <c r="E44" s="627" t="s">
        <v>101</v>
      </c>
      <c r="F44" s="627" t="s">
        <v>102</v>
      </c>
      <c r="G44" s="627" t="s">
        <v>103</v>
      </c>
      <c r="H44" s="627" t="s">
        <v>104</v>
      </c>
      <c r="I44" s="627" t="s">
        <v>105</v>
      </c>
      <c r="J44" s="627" t="s">
        <v>106</v>
      </c>
      <c r="K44" s="627" t="s">
        <v>107</v>
      </c>
      <c r="L44" s="627"/>
      <c r="M44" s="627"/>
    </row>
    <row r="45" spans="1:13" ht="42.95" customHeight="1">
      <c r="E45" s="627"/>
      <c r="F45" s="633" t="s">
        <v>584</v>
      </c>
      <c r="G45" s="633" t="s">
        <v>585</v>
      </c>
      <c r="H45" s="627" t="s">
        <v>586</v>
      </c>
      <c r="I45" s="627"/>
      <c r="J45" s="627" t="s">
        <v>587</v>
      </c>
      <c r="K45" s="688" t="s">
        <v>639</v>
      </c>
      <c r="L45" s="627"/>
      <c r="M45" s="627"/>
    </row>
    <row r="46" spans="1:13" ht="61.5" customHeight="1">
      <c r="A46" s="628" t="s">
        <v>5</v>
      </c>
      <c r="B46" s="628"/>
      <c r="C46" s="642" t="s">
        <v>588</v>
      </c>
      <c r="E46" s="906" t="s">
        <v>960</v>
      </c>
      <c r="F46" s="643" t="s">
        <v>589</v>
      </c>
      <c r="G46" s="644" t="s">
        <v>590</v>
      </c>
      <c r="H46" s="644" t="s">
        <v>591</v>
      </c>
      <c r="I46" s="644" t="s">
        <v>592</v>
      </c>
      <c r="J46" s="644" t="s">
        <v>684</v>
      </c>
      <c r="K46" s="644" t="s">
        <v>683</v>
      </c>
    </row>
    <row r="48" spans="1:13">
      <c r="A48" s="636">
        <v>1</v>
      </c>
      <c r="B48" s="636" t="s">
        <v>583</v>
      </c>
      <c r="C48" s="645" t="s">
        <v>593</v>
      </c>
      <c r="E48" s="646">
        <v>7205838.527855386</v>
      </c>
      <c r="F48" s="270">
        <f>E9+G9+I9+K9</f>
        <v>-3589239.7592187896</v>
      </c>
      <c r="G48" s="270">
        <f>C13+E13+G13+I13+K13</f>
        <v>7131681.1214728542</v>
      </c>
      <c r="H48" s="385">
        <f>E48-G48</f>
        <v>74157.406382531859</v>
      </c>
      <c r="I48" s="646">
        <v>2222590.3111277884</v>
      </c>
      <c r="J48" s="647">
        <f>H48-I48</f>
        <v>-2148432.9047452565</v>
      </c>
      <c r="K48" s="647">
        <f>E48-I48-J48</f>
        <v>7131681.1214728542</v>
      </c>
    </row>
    <row r="49" spans="1:13">
      <c r="H49" s="385"/>
      <c r="I49" s="648"/>
      <c r="J49" s="385"/>
      <c r="K49" s="385"/>
    </row>
    <row r="50" spans="1:13">
      <c r="A50" s="636">
        <v>2</v>
      </c>
      <c r="B50" s="636" t="s">
        <v>583</v>
      </c>
      <c r="C50" s="645" t="s">
        <v>594</v>
      </c>
      <c r="E50" s="646">
        <v>77500507.046202868</v>
      </c>
      <c r="F50" s="270">
        <f>E17+G17+I17+K17</f>
        <v>4843247.0225447863</v>
      </c>
      <c r="G50" s="270">
        <f>C21+E21+G21+I21+K21</f>
        <v>92974328.897047117</v>
      </c>
      <c r="H50" s="385">
        <f>E50-G50</f>
        <v>-15473821.850844249</v>
      </c>
      <c r="I50" s="646">
        <v>-18516800.755230654</v>
      </c>
      <c r="J50" s="647">
        <f>H50-I50</f>
        <v>3042978.9043864049</v>
      </c>
      <c r="K50" s="647">
        <f>-E50+I50+J50</f>
        <v>-92974328.897047117</v>
      </c>
    </row>
    <row r="51" spans="1:13">
      <c r="A51" s="636"/>
      <c r="B51" s="636"/>
      <c r="H51" s="385"/>
      <c r="I51" s="648"/>
      <c r="J51" s="385"/>
      <c r="K51" s="385"/>
    </row>
    <row r="52" spans="1:13">
      <c r="A52" s="636">
        <v>3</v>
      </c>
      <c r="B52" s="636" t="s">
        <v>583</v>
      </c>
      <c r="C52" s="645" t="s">
        <v>595</v>
      </c>
      <c r="E52" s="646">
        <v>-4084900.8058581548</v>
      </c>
      <c r="F52" s="270">
        <f>E25+G25+I25+K25</f>
        <v>-507157.52492076892</v>
      </c>
      <c r="G52" s="270">
        <f>C29+E29+G29+I29+K29</f>
        <v>4767785.7150526252</v>
      </c>
      <c r="H52" s="385">
        <f>E52-G52</f>
        <v>-8852686.5209107809</v>
      </c>
      <c r="I52" s="646">
        <v>-8583484.4245220125</v>
      </c>
      <c r="J52" s="647">
        <f>H52-I52</f>
        <v>-269202.0963887684</v>
      </c>
      <c r="K52" s="647">
        <f>-E52+I52+J52</f>
        <v>-4767785.7150526261</v>
      </c>
    </row>
    <row r="53" spans="1:13">
      <c r="A53" s="636"/>
      <c r="B53" s="636"/>
      <c r="H53" s="385"/>
      <c r="I53" s="648"/>
      <c r="J53" s="385"/>
      <c r="K53" s="385"/>
    </row>
    <row r="54" spans="1:13">
      <c r="A54" s="636">
        <v>4</v>
      </c>
      <c r="B54" s="636" t="s">
        <v>583</v>
      </c>
      <c r="C54" s="645" t="s">
        <v>596</v>
      </c>
      <c r="E54" s="385">
        <f>E48-E50-E52</f>
        <v>-66209767.712489329</v>
      </c>
      <c r="F54" s="385">
        <f>F48-F50-F52</f>
        <v>-7925329.2568428069</v>
      </c>
      <c r="G54" s="385">
        <f>G48-G50-G52</f>
        <v>-90610433.490626886</v>
      </c>
      <c r="H54" s="385">
        <f>H48-H50-H52</f>
        <v>24400665.778137561</v>
      </c>
      <c r="I54" s="385">
        <f>I48+I50+I52</f>
        <v>-24877694.868624877</v>
      </c>
      <c r="J54" s="385">
        <f>J48+J50+J52</f>
        <v>625343.90325237997</v>
      </c>
      <c r="K54" s="385">
        <f>K48+K50+K52</f>
        <v>-90610433.490626886</v>
      </c>
    </row>
    <row r="55" spans="1:13">
      <c r="A55" s="636"/>
      <c r="B55" s="636"/>
    </row>
    <row r="56" spans="1:13">
      <c r="A56" s="636"/>
      <c r="B56" s="636"/>
    </row>
    <row r="57" spans="1:13">
      <c r="A57" s="636"/>
      <c r="B57" s="636"/>
    </row>
    <row r="58" spans="1:13">
      <c r="A58" s="636"/>
      <c r="B58" s="636"/>
      <c r="K58" s="385"/>
      <c r="M58" s="385"/>
    </row>
    <row r="59" spans="1:13">
      <c r="A59" s="636"/>
      <c r="B59" s="636"/>
      <c r="G59" s="1134" t="str">
        <f>MID(M3:M3,31,10)&amp;" "&amp;"ATRR"</f>
        <v>2023 ATRR</v>
      </c>
      <c r="H59" s="1131"/>
    </row>
    <row r="60" spans="1:13">
      <c r="A60" s="636"/>
      <c r="B60" s="636"/>
    </row>
    <row r="61" spans="1:13">
      <c r="A61" s="636"/>
      <c r="B61" s="636"/>
      <c r="E61" s="627" t="s">
        <v>109</v>
      </c>
      <c r="F61" s="627" t="s">
        <v>110</v>
      </c>
      <c r="G61" s="627" t="s">
        <v>111</v>
      </c>
      <c r="H61" s="627" t="s">
        <v>112</v>
      </c>
      <c r="I61" s="627" t="s">
        <v>116</v>
      </c>
      <c r="J61" s="627" t="s">
        <v>117</v>
      </c>
      <c r="K61" s="627" t="s">
        <v>118</v>
      </c>
      <c r="L61" s="627" t="s">
        <v>119</v>
      </c>
      <c r="M61" s="627" t="s">
        <v>121</v>
      </c>
    </row>
    <row r="62" spans="1:13" ht="45" customHeight="1">
      <c r="A62" s="636"/>
      <c r="B62" s="636"/>
      <c r="E62" s="633" t="s">
        <v>1202</v>
      </c>
      <c r="F62" s="633" t="s">
        <v>584</v>
      </c>
      <c r="G62" s="633" t="s">
        <v>599</v>
      </c>
      <c r="H62" s="627" t="s">
        <v>600</v>
      </c>
      <c r="I62" s="633" t="s">
        <v>601</v>
      </c>
      <c r="J62" s="633" t="s">
        <v>1203</v>
      </c>
      <c r="K62" s="627" t="s">
        <v>602</v>
      </c>
      <c r="L62" s="627" t="s">
        <v>603</v>
      </c>
      <c r="M62" s="688" t="s">
        <v>640</v>
      </c>
    </row>
    <row r="63" spans="1:13" ht="59.45" customHeight="1">
      <c r="A63" s="636"/>
      <c r="B63" s="636"/>
      <c r="C63" s="642" t="s">
        <v>588</v>
      </c>
      <c r="E63" s="906" t="s">
        <v>961</v>
      </c>
      <c r="F63" s="644" t="s">
        <v>604</v>
      </c>
      <c r="G63" s="644" t="s">
        <v>590</v>
      </c>
      <c r="H63" s="644" t="s">
        <v>605</v>
      </c>
      <c r="I63" s="644" t="s">
        <v>606</v>
      </c>
      <c r="J63" s="644" t="s">
        <v>592</v>
      </c>
      <c r="K63" s="644" t="s">
        <v>607</v>
      </c>
      <c r="L63" s="644" t="s">
        <v>684</v>
      </c>
      <c r="M63" s="644" t="s">
        <v>683</v>
      </c>
    </row>
    <row r="64" spans="1:13">
      <c r="A64" s="636"/>
      <c r="B64" s="636"/>
    </row>
    <row r="65" spans="1:13">
      <c r="A65" s="636">
        <v>5</v>
      </c>
      <c r="B65" s="636" t="s">
        <v>598</v>
      </c>
      <c r="C65" s="645" t="s">
        <v>593</v>
      </c>
      <c r="E65" s="651">
        <f>'Attachment 5 - ADIT Summary'!H15</f>
        <v>25830190.002220109</v>
      </c>
      <c r="F65" s="270">
        <f>E10+G10+I10+K10</f>
        <v>483593.87458414951</v>
      </c>
      <c r="G65" s="270">
        <f>C14+E14+G14+I14+K14</f>
        <v>22940745.563909821</v>
      </c>
      <c r="H65" s="385">
        <f>E65-G65</f>
        <v>2889444.4383102879</v>
      </c>
      <c r="I65" s="651">
        <f>H48-H65</f>
        <v>-2815287.031927756</v>
      </c>
      <c r="J65" s="651">
        <f>SUM('Attachment 5 - ADIT Summary'!F32:J32)</f>
        <v>2489720.0022201096</v>
      </c>
      <c r="K65" s="385">
        <f>I48-J65</f>
        <v>-267129.69109232118</v>
      </c>
      <c r="L65" s="647">
        <f>H65+I65-J65-K65</f>
        <v>-2148432.9047452565</v>
      </c>
      <c r="M65" s="647">
        <f>E65-J65-L65</f>
        <v>25488902.904745258</v>
      </c>
    </row>
    <row r="66" spans="1:13">
      <c r="A66" s="636"/>
      <c r="B66" s="636"/>
      <c r="H66" s="385"/>
      <c r="I66" s="648"/>
      <c r="J66" s="648"/>
      <c r="L66" s="385"/>
      <c r="M66" s="647"/>
    </row>
    <row r="67" spans="1:13">
      <c r="A67" s="636">
        <v>6</v>
      </c>
      <c r="B67" s="636" t="s">
        <v>598</v>
      </c>
      <c r="C67" s="645" t="s">
        <v>594</v>
      </c>
      <c r="E67" s="651">
        <f>'Attachment 5 - ADIT Summary'!F15</f>
        <v>94757611.549086094</v>
      </c>
      <c r="F67" s="270">
        <f>E18+G18+I18+K18</f>
        <v>6009584.4274013638</v>
      </c>
      <c r="G67" s="270">
        <f>C22+E22+G22+I22+K22</f>
        <v>107840638.42684297</v>
      </c>
      <c r="H67" s="385">
        <f>E67-G67</f>
        <v>-13083026.877756879</v>
      </c>
      <c r="I67" s="651">
        <f>H50-H67</f>
        <v>-2390794.9730873704</v>
      </c>
      <c r="J67" s="651">
        <f>SUM('Attachment 5 - ADIT Summary'!F24:J24)</f>
        <v>-17386037.450913899</v>
      </c>
      <c r="K67" s="385">
        <f>I50-J67</f>
        <v>-1130763.3043167554</v>
      </c>
      <c r="L67" s="647">
        <f>H67+I67-J67-K67</f>
        <v>3042978.9043864049</v>
      </c>
      <c r="M67" s="647">
        <f>-E67+J67+L67</f>
        <v>-109100670.0956136</v>
      </c>
    </row>
    <row r="68" spans="1:13">
      <c r="A68" s="636"/>
      <c r="B68" s="636"/>
      <c r="H68" s="385"/>
      <c r="I68" s="648"/>
      <c r="J68" s="648"/>
      <c r="L68" s="385"/>
      <c r="M68" s="647"/>
    </row>
    <row r="69" spans="1:13">
      <c r="A69" s="636">
        <v>7</v>
      </c>
      <c r="B69" s="636" t="s">
        <v>598</v>
      </c>
      <c r="C69" s="645" t="s">
        <v>595</v>
      </c>
      <c r="E69" s="651">
        <f>'Attachment 5 - ADIT Summary'!G15</f>
        <v>-3803590.8209697763</v>
      </c>
      <c r="F69" s="270">
        <f>E26+G26+I26+K26</f>
        <v>-66194.908990989672</v>
      </c>
      <c r="G69" s="270">
        <f>C30+E30+G30+I30+K30</f>
        <v>1206742.0643522653</v>
      </c>
      <c r="H69" s="385">
        <f>E69-G69</f>
        <v>-5010332.8853220418</v>
      </c>
      <c r="I69" s="651">
        <f>H52-H69</f>
        <v>-3842353.6355887391</v>
      </c>
      <c r="J69" s="651">
        <f>SUM('Attachment 5 - ADIT Summary'!F28:J28)</f>
        <v>-6196935.8209697763</v>
      </c>
      <c r="K69" s="385">
        <f>I52-J69</f>
        <v>-2386548.6035522362</v>
      </c>
      <c r="L69" s="647">
        <f>H69+I69-J69-K69</f>
        <v>-269202.0963887684</v>
      </c>
      <c r="M69" s="647">
        <f>-E69+J69+L69</f>
        <v>-2662547.0963887684</v>
      </c>
    </row>
    <row r="70" spans="1:13">
      <c r="A70" s="636"/>
      <c r="B70" s="636"/>
      <c r="H70" s="385"/>
      <c r="I70" s="648"/>
      <c r="J70" s="648"/>
      <c r="L70" s="385"/>
      <c r="M70" s="385"/>
    </row>
    <row r="71" spans="1:13">
      <c r="A71" s="636">
        <v>8</v>
      </c>
      <c r="B71" s="636" t="s">
        <v>598</v>
      </c>
      <c r="C71" s="645" t="s">
        <v>596</v>
      </c>
      <c r="E71" s="385">
        <f>E65-E67-E69</f>
        <v>-65123830.725896209</v>
      </c>
      <c r="F71" s="385">
        <f>F65-F67-F69</f>
        <v>-5459795.6438262248</v>
      </c>
      <c r="G71" s="385">
        <f>G65-G67-G69</f>
        <v>-86106634.927285418</v>
      </c>
      <c r="H71" s="385">
        <f>H65-H67-H69</f>
        <v>20982804.201389208</v>
      </c>
      <c r="I71" s="385">
        <f>I65+I67+I69</f>
        <v>-9048435.6406038664</v>
      </c>
      <c r="J71" s="385">
        <f>J65+J67+J69</f>
        <v>-21093253.269663565</v>
      </c>
      <c r="K71" s="385">
        <f>K65+K67+K69</f>
        <v>-3784441.5989613128</v>
      </c>
      <c r="L71" s="385">
        <f>L65+L67+L69</f>
        <v>625343.90325237997</v>
      </c>
      <c r="M71" s="385">
        <f>M65+M67+M69</f>
        <v>-86274314.28725712</v>
      </c>
    </row>
    <row r="72" spans="1:13">
      <c r="A72" s="636"/>
      <c r="B72" s="636"/>
    </row>
    <row r="73" spans="1:13">
      <c r="A73" s="636"/>
      <c r="B73" s="636"/>
    </row>
    <row r="74" spans="1:13">
      <c r="A74" s="636"/>
      <c r="B74" s="636"/>
    </row>
    <row r="75" spans="1:13">
      <c r="A75" s="636"/>
      <c r="B75" s="266" t="s">
        <v>597</v>
      </c>
    </row>
    <row r="76" spans="1:13" ht="14.45" customHeight="1">
      <c r="A76" s="636"/>
      <c r="B76" s="1132" t="s">
        <v>608</v>
      </c>
      <c r="C76" s="1132"/>
      <c r="D76" s="1132"/>
      <c r="E76" s="1132"/>
      <c r="F76" s="1132"/>
      <c r="G76" s="1132"/>
      <c r="K76" s="652"/>
    </row>
    <row r="77" spans="1:13">
      <c r="B77" s="1132"/>
      <c r="C77" s="1132"/>
      <c r="D77" s="1132"/>
      <c r="E77" s="1132"/>
      <c r="F77" s="1132"/>
      <c r="G77" s="1132"/>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J23"/>
  <sheetViews>
    <sheetView view="pageBreakPreview" zoomScale="60" zoomScaleNormal="100" workbookViewId="0"/>
  </sheetViews>
  <sheetFormatPr defaultRowHeight="15"/>
  <cols>
    <col min="1" max="1" width="3" customWidth="1"/>
    <col min="2" max="2" width="1.88671875" customWidth="1"/>
    <col min="3" max="3" width="47.88671875" customWidth="1"/>
    <col min="5" max="7" width="14" customWidth="1"/>
    <col min="8" max="8" width="5.109375" customWidth="1"/>
  </cols>
  <sheetData>
    <row r="1" spans="1:10" ht="15.75">
      <c r="H1" s="3" t="str">
        <f>'Attachment H-11A '!K1&amp;""&amp;", Attachment 6"</f>
        <v>Attachment H -11A, Attachment 6</v>
      </c>
    </row>
    <row r="2" spans="1:10" ht="15.75">
      <c r="H2" s="3" t="s">
        <v>168</v>
      </c>
    </row>
    <row r="3" spans="1:10" ht="15.75">
      <c r="A3" s="42"/>
      <c r="B3" s="95"/>
      <c r="F3" s="95"/>
      <c r="G3" s="95"/>
      <c r="H3" s="3" t="str">
        <f>'Attachment H-11A '!K4</f>
        <v>For the 12 months ended 12/31/2023</v>
      </c>
    </row>
    <row r="4" spans="1:10" ht="15.75">
      <c r="A4" s="42"/>
      <c r="B4" s="95"/>
      <c r="D4" s="95"/>
      <c r="E4" s="95"/>
      <c r="F4" s="95"/>
      <c r="G4" s="95"/>
    </row>
    <row r="5" spans="1:10">
      <c r="A5" s="187">
        <v>1</v>
      </c>
      <c r="B5" s="185"/>
      <c r="C5" s="186" t="s">
        <v>292</v>
      </c>
      <c r="D5" s="185"/>
      <c r="E5" s="187"/>
      <c r="F5" s="187"/>
      <c r="G5" s="187"/>
    </row>
    <row r="6" spans="1:10">
      <c r="A6" s="187"/>
      <c r="B6" s="185"/>
      <c r="C6" s="186"/>
      <c r="D6" s="185"/>
      <c r="E6" s="187"/>
      <c r="F6" s="187"/>
      <c r="G6" s="187"/>
    </row>
    <row r="7" spans="1:10">
      <c r="A7" s="187">
        <f>+A5+1</f>
        <v>2</v>
      </c>
      <c r="B7" s="185"/>
      <c r="C7" s="908"/>
      <c r="D7" s="188"/>
      <c r="E7" s="625" t="s">
        <v>8</v>
      </c>
      <c r="F7" s="624" t="s">
        <v>280</v>
      </c>
    </row>
    <row r="8" spans="1:10">
      <c r="A8" s="187">
        <f>+A7+1</f>
        <v>3</v>
      </c>
      <c r="B8" s="185"/>
      <c r="C8" s="189" t="s">
        <v>623</v>
      </c>
      <c r="D8" s="189"/>
      <c r="E8" s="278">
        <f>'Attach 9 - Stated-value Inputs'!C17</f>
        <v>-15646300</v>
      </c>
      <c r="F8" s="189" t="s">
        <v>801</v>
      </c>
    </row>
    <row r="9" spans="1:10">
      <c r="A9" s="187">
        <f>+A8+1</f>
        <v>4</v>
      </c>
      <c r="B9" s="185"/>
      <c r="C9" s="189" t="s">
        <v>546</v>
      </c>
      <c r="D9" s="189"/>
      <c r="E9" s="278">
        <f>'Attach 9 - Stated-value Inputs'!C18</f>
        <v>2161999525</v>
      </c>
      <c r="F9" s="189" t="s">
        <v>802</v>
      </c>
    </row>
    <row r="10" spans="1:10">
      <c r="A10" s="187">
        <f t="shared" ref="A10:A12" si="0">+A9+1</f>
        <v>5</v>
      </c>
      <c r="B10" s="187"/>
      <c r="C10" s="189" t="s">
        <v>529</v>
      </c>
      <c r="D10" s="189"/>
      <c r="E10" s="194">
        <f>'Attach 9 - Stated-value Inputs'!C19</f>
        <v>-7.2369581117276149E-3</v>
      </c>
      <c r="F10" s="189"/>
    </row>
    <row r="11" spans="1:10">
      <c r="A11" s="187">
        <f t="shared" si="0"/>
        <v>6</v>
      </c>
      <c r="B11" s="187"/>
      <c r="C11" s="189" t="s">
        <v>622</v>
      </c>
      <c r="D11" s="189"/>
      <c r="E11" s="279">
        <v>3040834</v>
      </c>
      <c r="F11" s="857" t="s">
        <v>965</v>
      </c>
      <c r="G11" s="857"/>
      <c r="H11" s="857"/>
      <c r="I11" s="857"/>
    </row>
    <row r="12" spans="1:10">
      <c r="A12" s="187">
        <f t="shared" si="0"/>
        <v>7</v>
      </c>
      <c r="B12" s="187"/>
      <c r="C12" s="189" t="s">
        <v>530</v>
      </c>
      <c r="D12" s="190"/>
      <c r="E12" s="191">
        <f>E10*E11</f>
        <v>-22006.388282717129</v>
      </c>
    </row>
    <row r="14" spans="1:10">
      <c r="A14" s="187">
        <f>+A12+1</f>
        <v>8</v>
      </c>
      <c r="B14" s="187"/>
      <c r="C14" s="189" t="s">
        <v>624</v>
      </c>
      <c r="D14" s="189"/>
      <c r="E14" s="279">
        <v>-991325</v>
      </c>
      <c r="F14" s="857" t="s">
        <v>966</v>
      </c>
      <c r="G14" s="857"/>
      <c r="H14" s="857"/>
      <c r="I14" s="857"/>
      <c r="J14" s="857"/>
    </row>
    <row r="15" spans="1:10">
      <c r="A15" s="187">
        <f>+A14+1</f>
        <v>9</v>
      </c>
      <c r="B15" s="187"/>
      <c r="C15" s="189" t="s">
        <v>625</v>
      </c>
      <c r="D15" s="189"/>
      <c r="E15" s="681">
        <f>'Attachment H-11A '!I213</f>
        <v>3.3119630600369813E-2</v>
      </c>
    </row>
    <row r="16" spans="1:10">
      <c r="A16" s="187">
        <v>10</v>
      </c>
      <c r="B16" s="187"/>
      <c r="C16" s="189" t="s">
        <v>626</v>
      </c>
      <c r="D16" s="189"/>
      <c r="E16" s="193">
        <f>E14*E15</f>
        <v>-32832.317804911603</v>
      </c>
    </row>
    <row r="17" spans="1:7">
      <c r="D17" s="189"/>
      <c r="E17" s="193"/>
    </row>
    <row r="18" spans="1:7">
      <c r="A18" s="187">
        <v>11</v>
      </c>
      <c r="B18" s="187"/>
      <c r="C18" s="189" t="s">
        <v>1146</v>
      </c>
      <c r="D18" s="189"/>
      <c r="E18" s="193">
        <f>E12-E16</f>
        <v>10825.929522194474</v>
      </c>
    </row>
    <row r="19" spans="1:7">
      <c r="A19" s="187"/>
      <c r="B19" s="187"/>
      <c r="D19" s="189"/>
      <c r="E19" s="193"/>
    </row>
    <row r="20" spans="1:7">
      <c r="A20" s="187"/>
      <c r="B20" s="187"/>
      <c r="C20" s="189"/>
      <c r="D20" s="189"/>
      <c r="E20" s="193"/>
    </row>
    <row r="21" spans="1:7">
      <c r="A21" s="187"/>
      <c r="B21" s="187"/>
      <c r="C21" s="189"/>
      <c r="D21" s="189"/>
      <c r="E21" s="195"/>
      <c r="F21" s="195"/>
      <c r="G21" s="195"/>
    </row>
    <row r="22" spans="1:7">
      <c r="A22" s="187"/>
      <c r="B22" s="187"/>
      <c r="C22" s="189"/>
      <c r="D22" s="189"/>
      <c r="E22" s="193"/>
      <c r="F22" s="193"/>
      <c r="G22" s="193"/>
    </row>
    <row r="23" spans="1:7">
      <c r="A23" s="187">
        <v>12</v>
      </c>
      <c r="B23" s="187"/>
      <c r="C23" s="189" t="s">
        <v>573</v>
      </c>
      <c r="D23" s="189"/>
      <c r="E23" s="189"/>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G49"/>
  <sheetViews>
    <sheetView view="pageBreakPreview" zoomScale="60" zoomScaleNormal="90" workbookViewId="0"/>
  </sheetViews>
  <sheetFormatPr defaultColWidth="8.88671875" defaultRowHeight="20.100000000000001" customHeight="1"/>
  <cols>
    <col min="1" max="1" width="3.88671875" style="39" customWidth="1"/>
    <col min="2" max="2" width="71.44140625" style="839" customWidth="1"/>
    <col min="3" max="3" width="10.88671875" style="38" customWidth="1"/>
    <col min="4" max="4" width="16.109375" style="48" customWidth="1"/>
    <col min="5" max="5" width="12.88671875" style="39" customWidth="1"/>
    <col min="6" max="16384" width="8.88671875" style="33"/>
  </cols>
  <sheetData>
    <row r="1" spans="1:7" ht="20.100000000000001" customHeight="1">
      <c r="D1" s="3" t="str">
        <f>'Attachment H-11A '!K1&amp;""&amp;", Attachment 7"</f>
        <v>Attachment H -11A, Attachment 7</v>
      </c>
    </row>
    <row r="2" spans="1:7" ht="20.100000000000001" customHeight="1">
      <c r="B2" s="690"/>
      <c r="D2" s="3" t="s">
        <v>168</v>
      </c>
    </row>
    <row r="3" spans="1:7" ht="20.100000000000001" customHeight="1">
      <c r="D3" s="3" t="str">
        <f>'Attachment H-11A '!K4</f>
        <v>For the 12 months ended 12/31/2023</v>
      </c>
    </row>
    <row r="4" spans="1:7" ht="20.100000000000001" customHeight="1">
      <c r="A4" s="42"/>
      <c r="B4" s="867" t="s">
        <v>498</v>
      </c>
    </row>
    <row r="6" spans="1:7" ht="20.100000000000001" customHeight="1">
      <c r="B6" s="868"/>
      <c r="C6" s="40" t="s">
        <v>205</v>
      </c>
      <c r="D6" s="858" t="str">
        <f>MID(D3:D3,25,10)</f>
        <v>12/31/2023</v>
      </c>
      <c r="E6" s="41"/>
      <c r="G6" s="41"/>
    </row>
    <row r="7" spans="1:7" ht="20.100000000000001" customHeight="1">
      <c r="A7" s="51">
        <v>1</v>
      </c>
      <c r="B7" s="869" t="s">
        <v>221</v>
      </c>
      <c r="C7" s="48"/>
      <c r="D7" s="41"/>
      <c r="E7" s="41"/>
    </row>
    <row r="8" spans="1:7" ht="20.100000000000001" customHeight="1">
      <c r="A8" s="838" t="s">
        <v>464</v>
      </c>
      <c r="B8" s="870" t="s">
        <v>1303</v>
      </c>
      <c r="C8" s="48" t="s">
        <v>55</v>
      </c>
      <c r="D8" s="86">
        <v>4800551</v>
      </c>
      <c r="E8" s="41"/>
    </row>
    <row r="9" spans="1:7" ht="20.100000000000001" customHeight="1">
      <c r="A9" s="838" t="s">
        <v>465</v>
      </c>
      <c r="B9" s="870" t="s">
        <v>1304</v>
      </c>
      <c r="C9" s="48" t="s">
        <v>55</v>
      </c>
      <c r="D9" s="86">
        <f>48347</f>
        <v>48347</v>
      </c>
      <c r="E9" s="41"/>
    </row>
    <row r="10" spans="1:7" ht="20.100000000000001" customHeight="1">
      <c r="A10" s="838" t="s">
        <v>466</v>
      </c>
      <c r="B10" s="870" t="s">
        <v>1305</v>
      </c>
      <c r="C10" s="48" t="s">
        <v>55</v>
      </c>
      <c r="D10" s="86">
        <v>41</v>
      </c>
      <c r="E10" s="41"/>
    </row>
    <row r="11" spans="1:7" ht="20.100000000000001" customHeight="1">
      <c r="A11" s="838" t="s">
        <v>509</v>
      </c>
      <c r="B11" s="870" t="s">
        <v>1306</v>
      </c>
      <c r="C11" s="48" t="s">
        <v>55</v>
      </c>
      <c r="D11" s="89">
        <v>150066</v>
      </c>
      <c r="E11" s="40"/>
    </row>
    <row r="12" spans="1:7" ht="20.100000000000001" customHeight="1" thickBot="1">
      <c r="A12" s="838" t="s">
        <v>769</v>
      </c>
      <c r="B12" s="870" t="s">
        <v>1401</v>
      </c>
      <c r="C12" s="48" t="s">
        <v>55</v>
      </c>
      <c r="D12" s="92">
        <v>4783</v>
      </c>
      <c r="E12" s="40"/>
    </row>
    <row r="13" spans="1:7" ht="20.100000000000001" customHeight="1">
      <c r="A13" s="51" t="s">
        <v>473</v>
      </c>
      <c r="B13" s="871" t="s">
        <v>223</v>
      </c>
      <c r="C13" s="48"/>
      <c r="D13" s="93">
        <f>SUM(D8:D12)</f>
        <v>5003788</v>
      </c>
      <c r="G13" s="34"/>
    </row>
    <row r="14" spans="1:7" ht="20.100000000000001" customHeight="1">
      <c r="A14" s="51"/>
      <c r="B14" s="869"/>
      <c r="C14" s="48"/>
      <c r="D14" s="93"/>
    </row>
    <row r="15" spans="1:7" ht="20.100000000000001" customHeight="1">
      <c r="A15" s="51" t="s">
        <v>467</v>
      </c>
      <c r="B15" s="869" t="s">
        <v>220</v>
      </c>
      <c r="C15" s="48"/>
      <c r="D15" s="93"/>
      <c r="E15" s="45"/>
      <c r="F15" s="45"/>
      <c r="G15" s="45"/>
    </row>
    <row r="16" spans="1:7" ht="20.100000000000001" customHeight="1">
      <c r="A16" s="838" t="s">
        <v>433</v>
      </c>
      <c r="B16" s="870" t="s">
        <v>1307</v>
      </c>
      <c r="C16" s="48" t="s">
        <v>55</v>
      </c>
      <c r="D16" s="86">
        <v>11370</v>
      </c>
      <c r="E16" s="45"/>
      <c r="F16" s="45"/>
      <c r="G16" s="45"/>
    </row>
    <row r="17" spans="1:7" ht="20.100000000000001" customHeight="1" thickBot="1">
      <c r="A17" s="838" t="s">
        <v>434</v>
      </c>
      <c r="B17" s="873" t="s">
        <v>1308</v>
      </c>
      <c r="C17" s="48" t="s">
        <v>55</v>
      </c>
      <c r="D17" s="92">
        <v>1038</v>
      </c>
      <c r="E17" s="45"/>
      <c r="F17" s="45"/>
      <c r="G17" s="45"/>
    </row>
    <row r="18" spans="1:7" ht="20.100000000000001" customHeight="1">
      <c r="A18" s="51" t="s">
        <v>474</v>
      </c>
      <c r="B18" s="872" t="s">
        <v>220</v>
      </c>
      <c r="C18" s="48"/>
      <c r="D18" s="93">
        <f>SUM(D16:D17)</f>
        <v>12408</v>
      </c>
      <c r="E18" s="45"/>
      <c r="F18" s="45"/>
      <c r="G18" s="45"/>
    </row>
    <row r="19" spans="1:7" ht="20.100000000000001" customHeight="1">
      <c r="A19" s="51"/>
      <c r="B19" s="869"/>
      <c r="C19" s="48"/>
      <c r="D19" s="93"/>
      <c r="E19" s="45"/>
      <c r="F19" s="45"/>
      <c r="G19" s="45"/>
    </row>
    <row r="20" spans="1:7" ht="20.100000000000001" customHeight="1">
      <c r="A20" s="51" t="s">
        <v>191</v>
      </c>
      <c r="B20" s="869" t="s">
        <v>219</v>
      </c>
      <c r="C20" s="48"/>
      <c r="D20" s="93"/>
      <c r="E20" s="45"/>
      <c r="F20" s="45"/>
      <c r="G20" s="45"/>
    </row>
    <row r="21" spans="1:7" ht="20.100000000000001" customHeight="1">
      <c r="A21" s="838" t="s">
        <v>507</v>
      </c>
      <c r="B21" s="870" t="s">
        <v>1309</v>
      </c>
      <c r="C21" s="48" t="s">
        <v>55</v>
      </c>
      <c r="D21" s="380">
        <v>506</v>
      </c>
      <c r="E21" s="45"/>
      <c r="F21" s="45"/>
      <c r="G21" s="45"/>
    </row>
    <row r="22" spans="1:7" ht="20.100000000000001" customHeight="1">
      <c r="A22" s="838" t="s">
        <v>468</v>
      </c>
      <c r="B22" s="870" t="s">
        <v>1310</v>
      </c>
      <c r="C22" s="48" t="s">
        <v>55</v>
      </c>
      <c r="D22" s="86">
        <v>5301</v>
      </c>
      <c r="E22" s="45"/>
      <c r="F22" s="45"/>
      <c r="G22" s="45"/>
    </row>
    <row r="23" spans="1:7" ht="20.100000000000001" customHeight="1" thickBot="1">
      <c r="A23" s="838" t="s">
        <v>469</v>
      </c>
      <c r="B23" s="870" t="s">
        <v>1311</v>
      </c>
      <c r="C23" s="48" t="s">
        <v>55</v>
      </c>
      <c r="D23" s="92">
        <f>12103091+13388090+36810+36063</f>
        <v>25564054</v>
      </c>
      <c r="E23" s="45"/>
      <c r="F23" s="45"/>
      <c r="G23" s="45"/>
    </row>
    <row r="24" spans="1:7" ht="20.100000000000001" customHeight="1">
      <c r="A24" s="51" t="s">
        <v>475</v>
      </c>
      <c r="B24" s="872" t="s">
        <v>219</v>
      </c>
      <c r="C24" s="48"/>
      <c r="D24" s="93">
        <f>SUM(D21:D23)</f>
        <v>25569861</v>
      </c>
      <c r="E24" s="45"/>
      <c r="F24" s="45"/>
      <c r="G24" s="45"/>
    </row>
    <row r="25" spans="1:7" ht="20.100000000000001" customHeight="1">
      <c r="A25" s="51"/>
      <c r="B25" s="869"/>
      <c r="C25" s="48"/>
      <c r="D25" s="93"/>
      <c r="E25" s="45"/>
      <c r="F25" s="45"/>
      <c r="G25" s="45"/>
    </row>
    <row r="26" spans="1:7" ht="30.75" customHeight="1">
      <c r="A26" s="51" t="s">
        <v>192</v>
      </c>
      <c r="B26" s="869" t="s">
        <v>872</v>
      </c>
      <c r="C26" s="33"/>
      <c r="D26" s="93"/>
      <c r="E26" s="45"/>
      <c r="F26" s="45"/>
      <c r="G26" s="45"/>
    </row>
    <row r="27" spans="1:7" ht="20.100000000000001" customHeight="1">
      <c r="A27" s="51"/>
      <c r="B27" s="869" t="s">
        <v>867</v>
      </c>
      <c r="C27" s="33"/>
      <c r="D27" s="93"/>
      <c r="E27" s="45"/>
      <c r="F27" s="45"/>
      <c r="G27" s="45"/>
    </row>
    <row r="28" spans="1:7" ht="20.100000000000001" customHeight="1">
      <c r="A28" s="838" t="s">
        <v>439</v>
      </c>
      <c r="B28" s="870" t="s">
        <v>1312</v>
      </c>
      <c r="C28" s="48" t="s">
        <v>55</v>
      </c>
      <c r="D28" s="390">
        <f>8511602-238235</f>
        <v>8273367</v>
      </c>
      <c r="E28" s="45"/>
      <c r="F28" s="45"/>
      <c r="G28" s="45"/>
    </row>
    <row r="29" spans="1:7" ht="20.100000000000001" customHeight="1">
      <c r="A29" s="43"/>
      <c r="B29" s="869" t="s">
        <v>870</v>
      </c>
      <c r="C29" s="48"/>
      <c r="D29" s="865"/>
      <c r="E29" s="866"/>
      <c r="F29" s="866"/>
      <c r="G29" s="866"/>
    </row>
    <row r="30" spans="1:7" ht="20.100000000000001" customHeight="1">
      <c r="A30" s="838" t="s">
        <v>868</v>
      </c>
      <c r="B30" s="870" t="s">
        <v>1313</v>
      </c>
      <c r="C30" s="48" t="s">
        <v>55</v>
      </c>
      <c r="D30" s="89">
        <f>12040079-385124</f>
        <v>11654955</v>
      </c>
      <c r="E30" s="45"/>
      <c r="F30" s="45"/>
      <c r="G30" s="45"/>
    </row>
    <row r="31" spans="1:7" ht="20.100000000000001" customHeight="1" thickBot="1">
      <c r="A31" s="838" t="s">
        <v>869</v>
      </c>
      <c r="B31" s="870"/>
      <c r="C31" s="48" t="s">
        <v>55</v>
      </c>
      <c r="D31" s="92"/>
      <c r="E31" s="45"/>
      <c r="F31" s="45"/>
      <c r="G31" s="45"/>
    </row>
    <row r="32" spans="1:7" ht="20.100000000000001" customHeight="1">
      <c r="A32" s="43" t="s">
        <v>476</v>
      </c>
      <c r="B32" s="872" t="s">
        <v>872</v>
      </c>
      <c r="C32" s="33"/>
      <c r="D32" s="87">
        <f>SUM(D28:D28,D30:D31)</f>
        <v>19928322</v>
      </c>
      <c r="E32" s="45"/>
      <c r="F32" s="45"/>
      <c r="G32" s="45"/>
    </row>
    <row r="33" spans="1:7" ht="20.100000000000001" customHeight="1">
      <c r="A33" s="51"/>
      <c r="B33" s="869"/>
      <c r="C33" s="48"/>
      <c r="D33" s="93"/>
      <c r="E33" s="45"/>
      <c r="F33" s="45"/>
      <c r="G33" s="45"/>
    </row>
    <row r="34" spans="1:7" ht="20.100000000000001" customHeight="1">
      <c r="A34" s="51" t="s">
        <v>144</v>
      </c>
      <c r="B34" s="869" t="s">
        <v>222</v>
      </c>
      <c r="C34" s="48"/>
      <c r="D34" s="93"/>
      <c r="E34" s="45"/>
      <c r="F34" s="45"/>
      <c r="G34" s="45"/>
    </row>
    <row r="35" spans="1:7" ht="20.100000000000001" customHeight="1">
      <c r="A35" s="838" t="s">
        <v>470</v>
      </c>
      <c r="B35" s="873" t="s">
        <v>1314</v>
      </c>
      <c r="C35" s="48" t="s">
        <v>55</v>
      </c>
      <c r="D35" s="86">
        <v>-188658</v>
      </c>
      <c r="E35" s="45"/>
      <c r="F35" s="45"/>
      <c r="G35" s="45"/>
    </row>
    <row r="36" spans="1:7" ht="20.100000000000001" customHeight="1">
      <c r="A36" s="838" t="s">
        <v>471</v>
      </c>
      <c r="B36" s="873" t="s">
        <v>1315</v>
      </c>
      <c r="C36" s="48" t="s">
        <v>55</v>
      </c>
      <c r="D36" s="86">
        <v>16213</v>
      </c>
      <c r="E36" s="45"/>
      <c r="F36" s="45"/>
      <c r="G36" s="45"/>
    </row>
    <row r="37" spans="1:7" ht="20.100000000000001" customHeight="1">
      <c r="A37" s="838" t="s">
        <v>472</v>
      </c>
      <c r="B37" s="873" t="s">
        <v>222</v>
      </c>
      <c r="C37" s="48" t="s">
        <v>55</v>
      </c>
      <c r="D37" s="86">
        <f>21+68+1855+632</f>
        <v>2576</v>
      </c>
      <c r="E37" s="45"/>
      <c r="F37" s="45"/>
      <c r="G37" s="45"/>
    </row>
    <row r="38" spans="1:7" ht="20.100000000000001" customHeight="1" thickBot="1">
      <c r="A38" s="838" t="s">
        <v>1363</v>
      </c>
      <c r="B38" s="873" t="s">
        <v>1364</v>
      </c>
      <c r="C38" s="48" t="s">
        <v>55</v>
      </c>
      <c r="D38" s="92">
        <v>46164</v>
      </c>
      <c r="E38" s="45"/>
      <c r="F38" s="45"/>
      <c r="G38" s="45"/>
    </row>
    <row r="39" spans="1:7" ht="20.100000000000001" customHeight="1">
      <c r="A39" s="51" t="s">
        <v>477</v>
      </c>
      <c r="B39" s="872" t="s">
        <v>222</v>
      </c>
      <c r="C39" s="48"/>
      <c r="D39" s="93">
        <f>SUM(D35:D38)</f>
        <v>-123705</v>
      </c>
    </row>
    <row r="40" spans="1:7" ht="20.100000000000001" customHeight="1">
      <c r="A40" s="51"/>
      <c r="B40" s="868"/>
      <c r="C40" s="48"/>
      <c r="D40" s="93"/>
    </row>
    <row r="41" spans="1:7" ht="20.100000000000001" customHeight="1">
      <c r="A41" s="51" t="s">
        <v>478</v>
      </c>
      <c r="B41" s="869" t="s">
        <v>224</v>
      </c>
      <c r="C41" s="48"/>
      <c r="D41" s="86"/>
    </row>
    <row r="43" spans="1:7" ht="31.5" customHeight="1">
      <c r="A43" s="51" t="s">
        <v>147</v>
      </c>
      <c r="B43" s="1135" t="s">
        <v>479</v>
      </c>
      <c r="C43" s="1135"/>
      <c r="D43" s="37">
        <f>D13+D18+D24+D32+D39+D41</f>
        <v>50390674</v>
      </c>
    </row>
    <row r="47" spans="1:7" ht="20.100000000000001" customHeight="1">
      <c r="A47" s="33" t="s">
        <v>206</v>
      </c>
      <c r="B47" s="868"/>
    </row>
    <row r="48" spans="1:7" s="48" customFormat="1" ht="20.100000000000001" customHeight="1">
      <c r="A48" s="39" t="s">
        <v>205</v>
      </c>
      <c r="B48" s="839" t="s">
        <v>207</v>
      </c>
      <c r="E48" s="39"/>
      <c r="F48" s="33"/>
      <c r="G48" s="33"/>
    </row>
    <row r="49" spans="1:2" ht="20.100000000000001" customHeight="1">
      <c r="A49" s="39" t="s">
        <v>218</v>
      </c>
      <c r="B49" s="839" t="s">
        <v>871</v>
      </c>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43:C43"/>
  </mergeCells>
  <pageMargins left="0.7" right="0.7" top="0.75" bottom="0.75" header="0.3" footer="0.3"/>
  <pageSetup scale="60" orientation="portrait" r:id="rId2"/>
  <headerFooter alignWithMargins="0"/>
  <ignoredErrors>
    <ignoredError sqref="A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O29"/>
  <sheetViews>
    <sheetView view="pageBreakPreview" zoomScale="60" zoomScaleNormal="100" workbookViewId="0"/>
  </sheetViews>
  <sheetFormatPr defaultColWidth="8.88671875" defaultRowHeight="20.100000000000001" customHeight="1"/>
  <cols>
    <col min="1" max="1" width="2.88671875" style="39" customWidth="1"/>
    <col min="2" max="2" width="11.33203125" style="33" customWidth="1"/>
    <col min="3" max="3" width="6.44140625" style="33" customWidth="1"/>
    <col min="4" max="4" width="2.88671875" style="33" customWidth="1"/>
    <col min="5" max="5" width="12.88671875" style="39" customWidth="1"/>
    <col min="6" max="6" width="17.33203125" style="39" customWidth="1"/>
    <col min="7" max="7" width="17.6640625" style="39" customWidth="1"/>
    <col min="8" max="8" width="16.5546875" style="39" bestFit="1" customWidth="1"/>
    <col min="9" max="9" width="16.5546875" style="39" customWidth="1"/>
    <col min="10" max="10" width="14.88671875" style="39" customWidth="1"/>
    <col min="11" max="11" width="11.44140625" style="39" customWidth="1"/>
    <col min="12" max="12" width="21.88671875" style="39" customWidth="1"/>
    <col min="13" max="13" width="17.6640625" style="39" customWidth="1"/>
    <col min="14" max="14" width="16.88671875" style="33" bestFit="1" customWidth="1"/>
    <col min="15" max="15" width="8.88671875" style="33"/>
    <col min="16" max="17" width="13.5546875" style="33" bestFit="1" customWidth="1"/>
    <col min="18" max="16384" width="8.88671875" style="33"/>
  </cols>
  <sheetData>
    <row r="1" spans="1:15" ht="20.100000000000001" customHeight="1">
      <c r="O1" s="3" t="str">
        <f>'Attachment H-11A '!K1&amp;""&amp;", Attachment 8"</f>
        <v>Attachment H -11A, Attachment 8</v>
      </c>
    </row>
    <row r="2" spans="1:15" ht="20.100000000000001" customHeight="1">
      <c r="O2" s="3" t="s">
        <v>168</v>
      </c>
    </row>
    <row r="3" spans="1:15" ht="20.100000000000001" customHeight="1">
      <c r="I3" s="41" t="s">
        <v>499</v>
      </c>
      <c r="O3" s="3" t="str">
        <f>'Attachment H-11A '!K4</f>
        <v>For the 12 months ended 12/31/2023</v>
      </c>
    </row>
    <row r="4" spans="1:15" ht="20.100000000000001" customHeight="1">
      <c r="A4" s="42"/>
    </row>
    <row r="5" spans="1:15" ht="20.100000000000001" customHeight="1">
      <c r="E5" s="50" t="s">
        <v>457</v>
      </c>
      <c r="F5" s="50" t="s">
        <v>458</v>
      </c>
      <c r="G5" s="50" t="s">
        <v>459</v>
      </c>
      <c r="H5" s="50" t="s">
        <v>460</v>
      </c>
      <c r="I5" s="50" t="s">
        <v>461</v>
      </c>
      <c r="J5" s="50" t="s">
        <v>462</v>
      </c>
      <c r="K5" s="50" t="s">
        <v>463</v>
      </c>
      <c r="L5" s="50" t="s">
        <v>765</v>
      </c>
      <c r="M5" s="50" t="s">
        <v>925</v>
      </c>
    </row>
    <row r="6" spans="1:15" ht="24" customHeight="1">
      <c r="E6" s="41" t="s">
        <v>225</v>
      </c>
      <c r="F6" s="41" t="s">
        <v>924</v>
      </c>
      <c r="G6" s="41" t="s">
        <v>227</v>
      </c>
      <c r="H6" s="41" t="s">
        <v>228</v>
      </c>
      <c r="I6" s="41" t="s">
        <v>228</v>
      </c>
      <c r="J6" s="41" t="s">
        <v>420</v>
      </c>
      <c r="K6" s="41" t="s">
        <v>445</v>
      </c>
      <c r="L6" s="41" t="s">
        <v>88</v>
      </c>
      <c r="M6" s="41" t="s">
        <v>229</v>
      </c>
    </row>
    <row r="7" spans="1:15" ht="20.100000000000001" customHeight="1">
      <c r="E7" s="41" t="s">
        <v>226</v>
      </c>
      <c r="F7" s="41" t="s">
        <v>926</v>
      </c>
      <c r="G7" s="41"/>
      <c r="H7" s="41"/>
      <c r="I7" s="41" t="s">
        <v>927</v>
      </c>
      <c r="J7" s="41"/>
      <c r="K7" s="41"/>
      <c r="L7" s="41"/>
      <c r="M7" s="41"/>
    </row>
    <row r="8" spans="1:15" ht="20.100000000000001" customHeight="1">
      <c r="D8" s="37" t="s">
        <v>205</v>
      </c>
      <c r="E8" s="40" t="s">
        <v>230</v>
      </c>
      <c r="F8" s="40" t="s">
        <v>547</v>
      </c>
      <c r="G8" s="40" t="s">
        <v>510</v>
      </c>
      <c r="H8" s="40" t="s">
        <v>231</v>
      </c>
      <c r="I8" s="40" t="s">
        <v>547</v>
      </c>
      <c r="J8" s="40" t="s">
        <v>419</v>
      </c>
      <c r="K8" s="40" t="s">
        <v>446</v>
      </c>
      <c r="L8" s="40" t="s">
        <v>928</v>
      </c>
      <c r="M8" s="43" t="s">
        <v>1264</v>
      </c>
    </row>
    <row r="9" spans="1:15" ht="20.100000000000001" customHeight="1">
      <c r="A9" s="43">
        <v>1</v>
      </c>
      <c r="B9" s="33" t="str">
        <f>'Attachment 3 - Gross Plant'!B8</f>
        <v>December</v>
      </c>
      <c r="C9" s="35">
        <f>'Attachment 3 - Gross Plant'!C8</f>
        <v>2022</v>
      </c>
      <c r="D9" s="37"/>
      <c r="E9" s="86">
        <v>1610502672</v>
      </c>
      <c r="F9" s="86">
        <v>42532599.090000004</v>
      </c>
      <c r="G9" s="86"/>
      <c r="H9" s="86">
        <v>186441924</v>
      </c>
      <c r="I9" s="86">
        <v>-178079348</v>
      </c>
      <c r="J9" s="86">
        <v>-264242.59999999998</v>
      </c>
      <c r="K9" s="86"/>
      <c r="L9" s="93">
        <f>E9-G9-H9-J9-K9-F9-I9</f>
        <v>1559871739.51</v>
      </c>
      <c r="M9" s="86">
        <v>1650000000</v>
      </c>
      <c r="N9" s="509"/>
    </row>
    <row r="10" spans="1:15" ht="20.100000000000001" customHeight="1">
      <c r="A10" s="43">
        <v>2</v>
      </c>
      <c r="B10" s="33" t="str">
        <f>'Attachment 3 - Gross Plant'!B9</f>
        <v>January</v>
      </c>
      <c r="C10" s="35">
        <f>C9+1</f>
        <v>2023</v>
      </c>
      <c r="E10" s="86">
        <v>1622905178.3399999</v>
      </c>
      <c r="F10" s="86">
        <v>43455605.359999999</v>
      </c>
      <c r="G10" s="86"/>
      <c r="H10" s="86">
        <v>186441924</v>
      </c>
      <c r="I10" s="86">
        <v>-178079348</v>
      </c>
      <c r="J10" s="86">
        <v>-257420.6</v>
      </c>
      <c r="K10" s="86"/>
      <c r="L10" s="93">
        <f t="shared" ref="L10:L21" si="0">E10-G10-H10-J10-K10-F10-I10</f>
        <v>1571344417.5799999</v>
      </c>
      <c r="M10" s="86">
        <v>1650000000</v>
      </c>
      <c r="N10" s="509"/>
    </row>
    <row r="11" spans="1:15" ht="20.100000000000001" customHeight="1">
      <c r="A11" s="43">
        <v>3</v>
      </c>
      <c r="B11" s="33" t="str">
        <f>'Attachment 3 - Gross Plant'!B10</f>
        <v>February</v>
      </c>
      <c r="C11" s="35">
        <f>C10</f>
        <v>2023</v>
      </c>
      <c r="E11" s="86">
        <v>1635960336.25001</v>
      </c>
      <c r="F11" s="86">
        <v>43949655.509999998</v>
      </c>
      <c r="G11" s="86"/>
      <c r="H11" s="86">
        <v>186441924</v>
      </c>
      <c r="I11" s="86">
        <v>-178079348</v>
      </c>
      <c r="J11" s="86">
        <v>-254099.6</v>
      </c>
      <c r="K11" s="86"/>
      <c r="L11" s="93">
        <f t="shared" si="0"/>
        <v>1583902204.3400099</v>
      </c>
      <c r="M11" s="86">
        <v>1649999999.99999</v>
      </c>
      <c r="N11" s="509"/>
    </row>
    <row r="12" spans="1:15" ht="20.100000000000001" customHeight="1">
      <c r="A12" s="43">
        <v>4</v>
      </c>
      <c r="B12" s="33" t="str">
        <f>'Attachment 3 - Gross Plant'!B11</f>
        <v>March</v>
      </c>
      <c r="C12" s="35">
        <f t="shared" ref="C12:C21" si="1">C11</f>
        <v>2023</v>
      </c>
      <c r="E12" s="86">
        <v>1647078502</v>
      </c>
      <c r="F12" s="86">
        <v>42532599.270000003</v>
      </c>
      <c r="G12" s="86"/>
      <c r="H12" s="86">
        <v>191645520</v>
      </c>
      <c r="I12" s="86">
        <v>-183234980</v>
      </c>
      <c r="J12" s="86">
        <v>-249028.09</v>
      </c>
      <c r="K12" s="86"/>
      <c r="L12" s="93">
        <f t="shared" si="0"/>
        <v>1596384390.8199999</v>
      </c>
      <c r="M12" s="86">
        <v>1650000000.0000002</v>
      </c>
      <c r="N12" s="509"/>
    </row>
    <row r="13" spans="1:15" ht="20.100000000000001" customHeight="1">
      <c r="A13" s="43">
        <v>5</v>
      </c>
      <c r="B13" s="33" t="str">
        <f>'Attachment 3 - Gross Plant'!B12</f>
        <v>April</v>
      </c>
      <c r="C13" s="35">
        <f t="shared" si="1"/>
        <v>2023</v>
      </c>
      <c r="E13" s="86">
        <v>1653877861.8000002</v>
      </c>
      <c r="F13" s="86">
        <v>43160074.159999996</v>
      </c>
      <c r="G13" s="86"/>
      <c r="H13" s="86">
        <v>191645520</v>
      </c>
      <c r="I13" s="86">
        <v>-183234980</v>
      </c>
      <c r="J13" s="86">
        <v>-243956.59</v>
      </c>
      <c r="K13" s="86"/>
      <c r="L13" s="93">
        <f t="shared" si="0"/>
        <v>1602551204.23</v>
      </c>
      <c r="M13" s="86">
        <v>1650000000</v>
      </c>
      <c r="N13" s="509"/>
    </row>
    <row r="14" spans="1:15" ht="20.100000000000001" customHeight="1">
      <c r="A14" s="43">
        <v>6</v>
      </c>
      <c r="B14" s="33" t="str">
        <f>'Attachment 3 - Gross Plant'!B13</f>
        <v>May</v>
      </c>
      <c r="C14" s="35">
        <f t="shared" si="1"/>
        <v>2023</v>
      </c>
      <c r="E14" s="86">
        <v>1626350849.2499902</v>
      </c>
      <c r="F14" s="86">
        <v>43801604.439999998</v>
      </c>
      <c r="G14" s="86"/>
      <c r="H14" s="86">
        <v>191645520</v>
      </c>
      <c r="I14" s="86">
        <v>-183234980</v>
      </c>
      <c r="J14" s="86">
        <v>-238885.09</v>
      </c>
      <c r="K14" s="86"/>
      <c r="L14" s="93">
        <f t="shared" si="0"/>
        <v>1574377589.8999901</v>
      </c>
      <c r="M14" s="86">
        <v>1650000000</v>
      </c>
      <c r="N14" s="509"/>
    </row>
    <row r="15" spans="1:15" ht="20.100000000000001" customHeight="1">
      <c r="A15" s="43">
        <v>7</v>
      </c>
      <c r="B15" s="33" t="str">
        <f>'Attachment 3 - Gross Plant'!B14</f>
        <v>June</v>
      </c>
      <c r="C15" s="35">
        <f t="shared" si="1"/>
        <v>2023</v>
      </c>
      <c r="E15" s="86">
        <v>1637667714</v>
      </c>
      <c r="F15" s="86">
        <v>42532598.439999998</v>
      </c>
      <c r="G15" s="86"/>
      <c r="H15" s="86">
        <v>197667271</v>
      </c>
      <c r="I15" s="86">
        <v>-187364060</v>
      </c>
      <c r="J15" s="86">
        <v>-233813.59</v>
      </c>
      <c r="K15" s="86"/>
      <c r="L15" s="93">
        <f t="shared" si="0"/>
        <v>1585065718.1499999</v>
      </c>
      <c r="M15" s="86">
        <v>1650000000</v>
      </c>
      <c r="N15" s="509"/>
    </row>
    <row r="16" spans="1:15" ht="20.100000000000001" customHeight="1">
      <c r="A16" s="43">
        <v>8</v>
      </c>
      <c r="B16" s="33" t="str">
        <f>'Attachment 3 - Gross Plant'!B15</f>
        <v>July</v>
      </c>
      <c r="C16" s="35">
        <f t="shared" si="1"/>
        <v>2023</v>
      </c>
      <c r="E16" s="86">
        <v>1638888310.6100099</v>
      </c>
      <c r="F16" s="86">
        <v>43199346.43</v>
      </c>
      <c r="G16" s="86"/>
      <c r="H16" s="86">
        <v>197667271</v>
      </c>
      <c r="I16" s="86">
        <v>-187364060</v>
      </c>
      <c r="J16" s="86">
        <v>-228742.08</v>
      </c>
      <c r="K16" s="86"/>
      <c r="L16" s="93">
        <f t="shared" si="0"/>
        <v>1585614495.2600098</v>
      </c>
      <c r="M16" s="86">
        <v>1649999999.99999</v>
      </c>
      <c r="N16" s="509"/>
    </row>
    <row r="17" spans="1:14" ht="20.100000000000001" customHeight="1">
      <c r="A17" s="43">
        <v>9</v>
      </c>
      <c r="B17" s="33" t="str">
        <f>'Attachment 3 - Gross Plant'!B16</f>
        <v>August</v>
      </c>
      <c r="C17" s="35">
        <f t="shared" si="1"/>
        <v>2023</v>
      </c>
      <c r="E17" s="86">
        <v>1645721952.3799999</v>
      </c>
      <c r="F17" s="86">
        <v>43785292.049999997</v>
      </c>
      <c r="G17" s="86"/>
      <c r="H17" s="86">
        <v>197667271</v>
      </c>
      <c r="I17" s="86">
        <v>-187364060</v>
      </c>
      <c r="J17" s="86">
        <v>-223670.58</v>
      </c>
      <c r="K17" s="86"/>
      <c r="L17" s="93">
        <f t="shared" si="0"/>
        <v>1591857119.9099998</v>
      </c>
      <c r="M17" s="86">
        <v>1650000000.0000002</v>
      </c>
      <c r="N17" s="509"/>
    </row>
    <row r="18" spans="1:14" ht="20.100000000000001" customHeight="1">
      <c r="A18" s="43">
        <v>10</v>
      </c>
      <c r="B18" s="33" t="str">
        <f>'Attachment 3 - Gross Plant'!B17</f>
        <v>September</v>
      </c>
      <c r="C18" s="35">
        <f t="shared" si="1"/>
        <v>2023</v>
      </c>
      <c r="E18" s="86">
        <v>1684668607</v>
      </c>
      <c r="F18" s="86">
        <v>42532599.420000002</v>
      </c>
      <c r="G18" s="86"/>
      <c r="H18" s="86">
        <v>203398690</v>
      </c>
      <c r="I18" s="86">
        <v>-193267447</v>
      </c>
      <c r="J18" s="86">
        <v>-218599.08</v>
      </c>
      <c r="K18" s="86"/>
      <c r="L18" s="93">
        <f t="shared" si="0"/>
        <v>1632223363.6599998</v>
      </c>
      <c r="M18" s="86">
        <v>2050000000</v>
      </c>
      <c r="N18" s="509"/>
    </row>
    <row r="19" spans="1:14" ht="20.100000000000001" customHeight="1">
      <c r="A19" s="43">
        <v>11</v>
      </c>
      <c r="B19" s="33" t="str">
        <f>'Attachment 3 - Gross Plant'!B18</f>
        <v>October</v>
      </c>
      <c r="C19" s="35">
        <f t="shared" si="1"/>
        <v>2023</v>
      </c>
      <c r="E19" s="86">
        <v>1689063081.3200002</v>
      </c>
      <c r="F19" s="86">
        <v>43209520.68</v>
      </c>
      <c r="G19" s="86"/>
      <c r="H19" s="86">
        <v>203398690</v>
      </c>
      <c r="I19" s="86">
        <v>-193267447</v>
      </c>
      <c r="J19" s="86">
        <v>-213527.58</v>
      </c>
      <c r="K19" s="86"/>
      <c r="L19" s="93">
        <f t="shared" si="0"/>
        <v>1635935845.22</v>
      </c>
      <c r="M19" s="86">
        <v>2050000000</v>
      </c>
      <c r="N19" s="509"/>
    </row>
    <row r="20" spans="1:14" ht="20.100000000000001" customHeight="1">
      <c r="A20" s="43">
        <v>12</v>
      </c>
      <c r="B20" s="33" t="str">
        <f>'Attachment 3 - Gross Plant'!B19</f>
        <v>November</v>
      </c>
      <c r="C20" s="35">
        <f t="shared" si="1"/>
        <v>2023</v>
      </c>
      <c r="E20" s="86">
        <v>1697516717.3000002</v>
      </c>
      <c r="F20" s="86">
        <v>43848837.689999998</v>
      </c>
      <c r="G20" s="86"/>
      <c r="H20" s="86">
        <v>203398690</v>
      </c>
      <c r="I20" s="86">
        <v>-193267447</v>
      </c>
      <c r="J20" s="86">
        <v>-208681.02</v>
      </c>
      <c r="K20" s="86"/>
      <c r="L20" s="93">
        <f t="shared" si="0"/>
        <v>1643745317.6300001</v>
      </c>
      <c r="M20" s="86">
        <v>2050000000</v>
      </c>
      <c r="N20" s="509"/>
    </row>
    <row r="21" spans="1:14" ht="20.100000000000001" customHeight="1">
      <c r="A21" s="43">
        <v>13</v>
      </c>
      <c r="B21" s="33" t="str">
        <f>'Attachment 3 - Gross Plant'!B20</f>
        <v>December</v>
      </c>
      <c r="C21" s="35">
        <f t="shared" si="1"/>
        <v>2023</v>
      </c>
      <c r="E21" s="86">
        <v>1689711428</v>
      </c>
      <c r="F21" s="86">
        <v>42532598.450000003</v>
      </c>
      <c r="G21" s="86"/>
      <c r="H21" s="86">
        <v>210284847</v>
      </c>
      <c r="I21" s="86">
        <v>-199186276</v>
      </c>
      <c r="J21" s="86">
        <v>-203613.91</v>
      </c>
      <c r="K21" s="86"/>
      <c r="L21" s="93">
        <f t="shared" si="0"/>
        <v>1636283872.46</v>
      </c>
      <c r="M21" s="86">
        <v>2049999999.9999998</v>
      </c>
      <c r="N21" s="509"/>
    </row>
    <row r="22" spans="1:14" ht="20.100000000000001" customHeight="1">
      <c r="A22" s="33"/>
      <c r="E22" s="88"/>
      <c r="F22" s="93"/>
      <c r="G22" s="88"/>
      <c r="H22" s="88"/>
      <c r="I22" s="93"/>
      <c r="J22" s="88"/>
      <c r="K22" s="88"/>
      <c r="L22" s="88"/>
      <c r="M22" s="88"/>
    </row>
    <row r="23" spans="1:14" ht="20.100000000000001" customHeight="1">
      <c r="A23" s="43">
        <v>14</v>
      </c>
      <c r="B23" s="33" t="s">
        <v>204</v>
      </c>
      <c r="E23" s="88">
        <f t="shared" ref="E23:M23" si="2">SUM(E9:E21)/13</f>
        <v>1652301016.1730776</v>
      </c>
      <c r="F23" s="93">
        <f t="shared" si="2"/>
        <v>43159456.230000004</v>
      </c>
      <c r="G23" s="88">
        <f t="shared" si="2"/>
        <v>0</v>
      </c>
      <c r="H23" s="88">
        <f t="shared" si="2"/>
        <v>195980389.38461539</v>
      </c>
      <c r="I23" s="93">
        <f t="shared" si="2"/>
        <v>-186540290.84615386</v>
      </c>
      <c r="J23" s="88">
        <f t="shared" si="2"/>
        <v>-233713.87769230775</v>
      </c>
      <c r="K23" s="88">
        <f t="shared" si="2"/>
        <v>0</v>
      </c>
      <c r="L23" s="88">
        <f t="shared" si="2"/>
        <v>1599935175.2823083</v>
      </c>
      <c r="M23" s="88">
        <f t="shared" si="2"/>
        <v>1773076923.0769217</v>
      </c>
    </row>
    <row r="24" spans="1:14" ht="20.100000000000001" customHeight="1">
      <c r="A24" s="43"/>
    </row>
    <row r="25" spans="1:14" ht="20.100000000000001" customHeight="1">
      <c r="K25" s="93"/>
    </row>
    <row r="26" spans="1:14" ht="20.100000000000001" customHeight="1">
      <c r="A26" s="33" t="s">
        <v>206</v>
      </c>
    </row>
    <row r="27" spans="1:14" ht="20.100000000000001" customHeight="1">
      <c r="A27" s="39" t="s">
        <v>205</v>
      </c>
      <c r="B27" s="33" t="s">
        <v>207</v>
      </c>
      <c r="L27" s="52"/>
    </row>
    <row r="28" spans="1:14" ht="20.100000000000001" customHeight="1">
      <c r="A28" s="39" t="s">
        <v>218</v>
      </c>
      <c r="B28" s="33" t="s">
        <v>929</v>
      </c>
      <c r="E28" s="33"/>
      <c r="F28" s="33"/>
      <c r="G28" s="33"/>
    </row>
    <row r="29" spans="1:14" ht="35.25" customHeight="1">
      <c r="A29" s="39" t="s">
        <v>257</v>
      </c>
      <c r="B29" s="1135" t="s">
        <v>930</v>
      </c>
      <c r="C29" s="1135"/>
      <c r="D29" s="1135"/>
      <c r="E29" s="1135"/>
      <c r="F29" s="1135"/>
      <c r="G29" s="1135"/>
      <c r="H29" s="1135"/>
      <c r="I29" s="1135"/>
      <c r="J29" s="1135"/>
      <c r="K29" s="1135"/>
      <c r="L29" s="1135"/>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29:L29"/>
  </mergeCells>
  <pageMargins left="0.7" right="0.7" top="0.75" bottom="0.75" header="0.3" footer="0.3"/>
  <pageSetup scale="37"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N88"/>
  <sheetViews>
    <sheetView view="pageBreakPreview" zoomScale="60" zoomScaleNormal="100" workbookViewId="0"/>
  </sheetViews>
  <sheetFormatPr defaultColWidth="8.88671875" defaultRowHeight="12.75"/>
  <cols>
    <col min="1" max="1" width="12.33203125" style="95" customWidth="1"/>
    <col min="2" max="2" width="36.88671875" style="95" customWidth="1"/>
    <col min="3" max="3" width="11.88671875" style="95" customWidth="1"/>
    <col min="4" max="4" width="10.5546875" style="95" customWidth="1"/>
    <col min="5" max="5" width="10.88671875" style="95" customWidth="1"/>
    <col min="6" max="6" width="13.109375" style="95" customWidth="1"/>
    <col min="7" max="16384" width="8.88671875" style="95"/>
  </cols>
  <sheetData>
    <row r="1" spans="1:8" ht="15.75">
      <c r="A1" s="42"/>
      <c r="H1" s="3" t="str">
        <f>'Attachment H-11A '!K1&amp;""&amp;", Attachment 9"</f>
        <v>Attachment H -11A, Attachment 9</v>
      </c>
    </row>
    <row r="2" spans="1:8" ht="15.75">
      <c r="A2" s="42"/>
      <c r="H2" s="3" t="s">
        <v>168</v>
      </c>
    </row>
    <row r="3" spans="1:8" ht="15.75">
      <c r="A3" s="42"/>
      <c r="D3" s="96" t="s">
        <v>500</v>
      </c>
      <c r="H3" s="3" t="str">
        <f>'Attachment H-11A '!K4</f>
        <v>For the 12 months ended 12/31/2023</v>
      </c>
    </row>
    <row r="4" spans="1:8" ht="15.75">
      <c r="A4" s="42"/>
    </row>
    <row r="5" spans="1:8">
      <c r="A5" s="96"/>
    </row>
    <row r="6" spans="1:8">
      <c r="A6" s="96" t="s">
        <v>258</v>
      </c>
    </row>
    <row r="7" spans="1:8">
      <c r="A7" s="105" t="s">
        <v>270</v>
      </c>
    </row>
    <row r="8" spans="1:8">
      <c r="A8" s="96"/>
    </row>
    <row r="10" spans="1:8">
      <c r="A10" s="96" t="s">
        <v>259</v>
      </c>
    </row>
    <row r="12" spans="1:8" ht="18" customHeight="1">
      <c r="A12" s="1136" t="s">
        <v>943</v>
      </c>
      <c r="B12" s="1136"/>
      <c r="C12" s="1136"/>
      <c r="D12" s="899">
        <f>'Attachment H-11A '!G247</f>
        <v>0.1045</v>
      </c>
      <c r="E12" s="900"/>
      <c r="F12" s="900"/>
      <c r="G12" s="900"/>
      <c r="H12" s="900"/>
    </row>
    <row r="15" spans="1:8">
      <c r="A15" s="96" t="s">
        <v>260</v>
      </c>
    </row>
    <row r="16" spans="1:8">
      <c r="A16" s="96"/>
      <c r="B16" s="406" t="s">
        <v>962</v>
      </c>
    </row>
    <row r="17" spans="1:14" s="97" customFormat="1" ht="15" customHeight="1">
      <c r="A17" s="189" t="s">
        <v>545</v>
      </c>
      <c r="B17" s="189"/>
      <c r="C17" s="278">
        <v>-15646300</v>
      </c>
      <c r="D17" s="189"/>
      <c r="E17" s="189"/>
      <c r="F17" s="189"/>
      <c r="G17" s="189"/>
      <c r="H17" s="278"/>
      <c r="I17" s="98"/>
      <c r="J17" s="98"/>
      <c r="K17" s="114"/>
      <c r="L17" s="98"/>
      <c r="M17" s="98"/>
      <c r="N17" s="98"/>
    </row>
    <row r="18" spans="1:14">
      <c r="A18" s="189" t="s">
        <v>546</v>
      </c>
      <c r="B18" s="189"/>
      <c r="C18" s="278">
        <v>2161999525</v>
      </c>
      <c r="D18" s="189"/>
      <c r="E18" s="189"/>
      <c r="F18" s="189"/>
      <c r="G18" s="189"/>
      <c r="H18" s="278"/>
    </row>
    <row r="19" spans="1:14">
      <c r="A19" s="189" t="s">
        <v>682</v>
      </c>
      <c r="B19" s="189"/>
      <c r="C19" s="875">
        <f>C17/C18</f>
        <v>-7.2369581117276149E-3</v>
      </c>
      <c r="D19" s="189"/>
      <c r="E19" s="189"/>
      <c r="F19" s="189"/>
      <c r="G19" s="189"/>
      <c r="H19" s="278"/>
    </row>
    <row r="21" spans="1:14">
      <c r="A21" s="96" t="s">
        <v>938</v>
      </c>
    </row>
    <row r="22" spans="1:14" ht="6.75" customHeight="1">
      <c r="A22" s="96"/>
    </row>
    <row r="23" spans="1:14" ht="23.25" customHeight="1">
      <c r="A23" s="95" t="s">
        <v>261</v>
      </c>
      <c r="C23" s="903" t="s">
        <v>944</v>
      </c>
    </row>
    <row r="24" spans="1:14">
      <c r="A24" s="376">
        <v>350.2</v>
      </c>
      <c r="B24" s="95" t="s">
        <v>1256</v>
      </c>
      <c r="C24" s="904"/>
      <c r="F24" s="388"/>
      <c r="G24" s="375"/>
    </row>
    <row r="25" spans="1:14">
      <c r="A25" s="376">
        <v>352</v>
      </c>
      <c r="B25" s="95" t="s">
        <v>1232</v>
      </c>
      <c r="C25" s="904">
        <v>2.4E-2</v>
      </c>
      <c r="F25" s="388"/>
      <c r="G25" s="375"/>
    </row>
    <row r="26" spans="1:14">
      <c r="A26" s="376">
        <v>353.1</v>
      </c>
      <c r="B26" s="95" t="s">
        <v>1233</v>
      </c>
      <c r="C26" s="904">
        <v>1.9400000000000001E-2</v>
      </c>
      <c r="F26" s="388"/>
      <c r="G26" s="375"/>
    </row>
    <row r="27" spans="1:14">
      <c r="A27" s="376">
        <v>353.4</v>
      </c>
      <c r="B27" s="95" t="s">
        <v>1234</v>
      </c>
      <c r="C27" s="904">
        <v>9.5000000000000001E-2</v>
      </c>
      <c r="F27" s="388"/>
      <c r="G27" s="375"/>
    </row>
    <row r="28" spans="1:14">
      <c r="A28" s="376">
        <v>354</v>
      </c>
      <c r="B28" s="95" t="s">
        <v>1235</v>
      </c>
      <c r="C28" s="904">
        <v>1.4200000000000001E-2</v>
      </c>
      <c r="F28" s="388"/>
      <c r="G28" s="375"/>
    </row>
    <row r="29" spans="1:14">
      <c r="A29" s="376">
        <v>355</v>
      </c>
      <c r="B29" s="95" t="s">
        <v>1236</v>
      </c>
      <c r="C29" s="904">
        <v>2.3099999999999999E-2</v>
      </c>
      <c r="F29" s="388"/>
      <c r="G29" s="375"/>
    </row>
    <row r="30" spans="1:14">
      <c r="A30" s="376">
        <v>356.1</v>
      </c>
      <c r="B30" s="95" t="s">
        <v>1237</v>
      </c>
      <c r="C30" s="904">
        <v>2.7E-2</v>
      </c>
      <c r="F30" s="388"/>
      <c r="G30" s="375"/>
    </row>
    <row r="31" spans="1:14">
      <c r="A31" s="387">
        <v>356.2</v>
      </c>
      <c r="B31" s="95" t="s">
        <v>1238</v>
      </c>
      <c r="C31" s="904">
        <v>9.4999999999999998E-3</v>
      </c>
      <c r="F31" s="388"/>
      <c r="G31" s="375"/>
    </row>
    <row r="32" spans="1:14">
      <c r="A32" s="387">
        <v>390.1</v>
      </c>
      <c r="B32" s="95" t="s">
        <v>1239</v>
      </c>
      <c r="C32" s="901"/>
    </row>
    <row r="33" spans="1:3">
      <c r="A33" s="387"/>
      <c r="B33" s="387" t="s">
        <v>1269</v>
      </c>
      <c r="C33" s="901">
        <v>5.5500000000000001E-2</v>
      </c>
    </row>
    <row r="34" spans="1:3">
      <c r="A34" s="387"/>
      <c r="B34" s="387" t="s">
        <v>1270</v>
      </c>
      <c r="C34" s="901">
        <v>3.7600000000000001E-2</v>
      </c>
    </row>
    <row r="35" spans="1:3">
      <c r="A35" s="387"/>
      <c r="B35" s="387" t="s">
        <v>1271</v>
      </c>
      <c r="C35" s="901">
        <v>1.5599999999999999E-2</v>
      </c>
    </row>
    <row r="36" spans="1:3">
      <c r="A36" s="387"/>
      <c r="B36" s="387" t="s">
        <v>1272</v>
      </c>
      <c r="C36" s="901">
        <v>7.8200000000000006E-2</v>
      </c>
    </row>
    <row r="37" spans="1:3">
      <c r="A37" s="387"/>
      <c r="B37" s="387" t="s">
        <v>1273</v>
      </c>
      <c r="C37" s="901">
        <v>8.8300000000000003E-2</v>
      </c>
    </row>
    <row r="38" spans="1:3">
      <c r="A38" s="387"/>
      <c r="B38" s="387" t="s">
        <v>1274</v>
      </c>
      <c r="C38" s="901">
        <v>7.3899999999999993E-2</v>
      </c>
    </row>
    <row r="39" spans="1:3">
      <c r="A39" s="387"/>
      <c r="B39" s="387" t="s">
        <v>1275</v>
      </c>
      <c r="C39" s="901">
        <v>6.1800000000000001E-2</v>
      </c>
    </row>
    <row r="40" spans="1:3">
      <c r="A40" s="387"/>
      <c r="B40" s="387" t="s">
        <v>1276</v>
      </c>
      <c r="C40" s="901">
        <v>4.07E-2</v>
      </c>
    </row>
    <row r="41" spans="1:3">
      <c r="A41" s="387"/>
      <c r="B41" s="387" t="s">
        <v>1277</v>
      </c>
      <c r="C41" s="901">
        <v>4.2799999999999998E-2</v>
      </c>
    </row>
    <row r="42" spans="1:3">
      <c r="A42" s="387"/>
      <c r="B42" s="387" t="s">
        <v>1278</v>
      </c>
      <c r="C42" s="901">
        <v>3.9699999999999999E-2</v>
      </c>
    </row>
    <row r="43" spans="1:3">
      <c r="A43" s="387"/>
      <c r="B43" s="387" t="s">
        <v>1279</v>
      </c>
      <c r="C43" s="901">
        <v>2.8000000000000001E-2</v>
      </c>
    </row>
    <row r="44" spans="1:3">
      <c r="A44" s="387"/>
      <c r="B44" s="387" t="s">
        <v>1280</v>
      </c>
      <c r="C44" s="901">
        <v>4.8899999999999999E-2</v>
      </c>
    </row>
    <row r="45" spans="1:3">
      <c r="A45" s="387"/>
      <c r="B45" s="387" t="s">
        <v>1281</v>
      </c>
      <c r="C45" s="901">
        <v>7.7299999999999994E-2</v>
      </c>
    </row>
    <row r="46" spans="1:3">
      <c r="A46" s="387"/>
      <c r="B46" s="387" t="s">
        <v>1282</v>
      </c>
      <c r="C46" s="901">
        <v>6.9500000000000006E-2</v>
      </c>
    </row>
    <row r="47" spans="1:3">
      <c r="A47" s="387"/>
      <c r="B47" s="387" t="s">
        <v>1283</v>
      </c>
      <c r="C47" s="901">
        <v>5.6399999999999999E-2</v>
      </c>
    </row>
    <row r="48" spans="1:3">
      <c r="A48" s="387"/>
      <c r="B48" s="387" t="s">
        <v>1284</v>
      </c>
      <c r="C48" s="901">
        <v>3.7999999999999999E-2</v>
      </c>
    </row>
    <row r="49" spans="1:5">
      <c r="A49" s="387"/>
      <c r="B49" s="387" t="s">
        <v>1285</v>
      </c>
      <c r="C49" s="901">
        <v>3.0599999999999999E-2</v>
      </c>
    </row>
    <row r="50" spans="1:5">
      <c r="A50" s="387"/>
      <c r="B50" s="387" t="s">
        <v>1286</v>
      </c>
      <c r="C50" s="901">
        <v>4.6899999999999997E-2</v>
      </c>
    </row>
    <row r="51" spans="1:5">
      <c r="A51" s="387"/>
      <c r="B51" s="387" t="s">
        <v>1287</v>
      </c>
      <c r="C51" s="901">
        <v>6.3799999999999996E-2</v>
      </c>
    </row>
    <row r="52" spans="1:5">
      <c r="A52" s="387"/>
      <c r="B52" s="387" t="s">
        <v>1288</v>
      </c>
      <c r="C52" s="901">
        <v>0</v>
      </c>
    </row>
    <row r="53" spans="1:5">
      <c r="A53" s="387"/>
      <c r="B53" s="387" t="s">
        <v>1289</v>
      </c>
      <c r="C53" s="901">
        <v>4.0899999999999999E-2</v>
      </c>
    </row>
    <row r="54" spans="1:5">
      <c r="A54" s="387"/>
      <c r="B54" s="387" t="s">
        <v>1290</v>
      </c>
      <c r="C54" s="901">
        <v>4.87E-2</v>
      </c>
    </row>
    <row r="55" spans="1:5">
      <c r="A55" s="387"/>
      <c r="B55" s="387" t="s">
        <v>1291</v>
      </c>
      <c r="C55" s="901">
        <v>6.1600000000000002E-2</v>
      </c>
    </row>
    <row r="56" spans="1:5">
      <c r="A56" s="387"/>
      <c r="B56" s="387" t="s">
        <v>1184</v>
      </c>
      <c r="C56" s="901">
        <v>0</v>
      </c>
    </row>
    <row r="57" spans="1:5" ht="12.75" customHeight="1">
      <c r="A57" s="387">
        <v>390.2</v>
      </c>
      <c r="B57" s="95" t="s">
        <v>1266</v>
      </c>
      <c r="C57" s="902"/>
      <c r="D57" s="409"/>
      <c r="E57" s="409"/>
    </row>
    <row r="58" spans="1:5" ht="12.75" customHeight="1">
      <c r="A58" s="387"/>
      <c r="B58" s="387" t="s">
        <v>1292</v>
      </c>
      <c r="C58" s="902">
        <v>0</v>
      </c>
      <c r="D58" s="409"/>
      <c r="E58" s="409"/>
    </row>
    <row r="59" spans="1:5" ht="12.75" customHeight="1">
      <c r="A59" s="387"/>
      <c r="B59" s="387" t="s">
        <v>1281</v>
      </c>
      <c r="C59" s="902">
        <v>0</v>
      </c>
      <c r="D59" s="409"/>
      <c r="E59" s="409"/>
    </row>
    <row r="60" spans="1:5" ht="12.75" customHeight="1">
      <c r="A60" s="387"/>
      <c r="B60" s="387" t="s">
        <v>1293</v>
      </c>
      <c r="C60" s="902">
        <v>8.0000000000000002E-3</v>
      </c>
      <c r="D60" s="409"/>
      <c r="E60" s="409"/>
    </row>
    <row r="61" spans="1:5" ht="12.75" customHeight="1">
      <c r="A61" s="387"/>
      <c r="B61" s="387" t="s">
        <v>1294</v>
      </c>
      <c r="C61" s="902">
        <v>4.0000000000000001E-3</v>
      </c>
      <c r="D61" s="409"/>
      <c r="E61" s="409"/>
    </row>
    <row r="62" spans="1:5" ht="12.75" customHeight="1">
      <c r="A62" s="387"/>
      <c r="B62" s="387" t="s">
        <v>1295</v>
      </c>
      <c r="C62" s="902">
        <v>3.6400000000000002E-2</v>
      </c>
      <c r="D62" s="409"/>
      <c r="E62" s="409"/>
    </row>
    <row r="63" spans="1:5" ht="12.75" customHeight="1">
      <c r="A63" s="387"/>
      <c r="B63" s="387" t="s">
        <v>1296</v>
      </c>
      <c r="C63" s="902">
        <v>6.4600000000000005E-2</v>
      </c>
      <c r="D63" s="409"/>
      <c r="E63" s="409"/>
    </row>
    <row r="64" spans="1:5" ht="12.75" customHeight="1">
      <c r="A64" s="387"/>
      <c r="B64" s="387" t="s">
        <v>1297</v>
      </c>
      <c r="C64" s="902">
        <v>6.1000000000000004E-3</v>
      </c>
      <c r="D64" s="409"/>
      <c r="E64" s="409"/>
    </row>
    <row r="65" spans="1:5" ht="12.75" customHeight="1">
      <c r="A65" s="387"/>
      <c r="B65" s="387" t="s">
        <v>1298</v>
      </c>
      <c r="C65" s="902">
        <v>0</v>
      </c>
      <c r="D65" s="409"/>
      <c r="E65" s="409"/>
    </row>
    <row r="66" spans="1:5" ht="12.75" customHeight="1">
      <c r="A66" s="410">
        <v>391.1</v>
      </c>
      <c r="B66" s="95" t="s">
        <v>1240</v>
      </c>
      <c r="C66" s="902">
        <v>4.19E-2</v>
      </c>
      <c r="D66" s="409"/>
      <c r="E66" s="409"/>
    </row>
    <row r="67" spans="1:5">
      <c r="A67" s="387">
        <v>391.2</v>
      </c>
      <c r="B67" s="95" t="s">
        <v>1241</v>
      </c>
      <c r="C67" s="904">
        <v>0.1091</v>
      </c>
    </row>
    <row r="68" spans="1:5">
      <c r="A68" s="387">
        <v>391.3</v>
      </c>
      <c r="B68" s="95" t="s">
        <v>1242</v>
      </c>
      <c r="C68" s="904">
        <v>5.0299999999999997E-2</v>
      </c>
    </row>
    <row r="69" spans="1:5">
      <c r="A69" s="387">
        <v>391.4</v>
      </c>
      <c r="B69" s="95" t="s">
        <v>1243</v>
      </c>
      <c r="C69" s="904">
        <v>0.1091</v>
      </c>
    </row>
    <row r="70" spans="1:5">
      <c r="A70" s="387">
        <v>392.1</v>
      </c>
      <c r="B70" s="95" t="s">
        <v>1244</v>
      </c>
      <c r="C70" s="904">
        <v>0.1143</v>
      </c>
    </row>
    <row r="71" spans="1:5">
      <c r="A71" s="387">
        <v>392.2</v>
      </c>
      <c r="B71" s="95" t="s">
        <v>1245</v>
      </c>
      <c r="C71" s="904">
        <v>6.9599999999999995E-2</v>
      </c>
    </row>
    <row r="72" spans="1:5">
      <c r="A72" s="387">
        <v>392.3</v>
      </c>
      <c r="B72" s="95" t="s">
        <v>1246</v>
      </c>
      <c r="C72" s="904">
        <v>1.12E-2</v>
      </c>
    </row>
    <row r="73" spans="1:5">
      <c r="A73" s="387">
        <v>392.4</v>
      </c>
      <c r="B73" s="95" t="s">
        <v>1247</v>
      </c>
      <c r="C73" s="904">
        <v>4.4400000000000002E-2</v>
      </c>
    </row>
    <row r="74" spans="1:5">
      <c r="A74" s="387">
        <v>392.5</v>
      </c>
      <c r="B74" s="95" t="s">
        <v>1248</v>
      </c>
      <c r="C74" s="904" t="s">
        <v>1255</v>
      </c>
    </row>
    <row r="75" spans="1:5">
      <c r="A75" s="387">
        <v>392.6</v>
      </c>
      <c r="B75" s="95" t="s">
        <v>1249</v>
      </c>
      <c r="C75" s="904">
        <v>5.33E-2</v>
      </c>
    </row>
    <row r="76" spans="1:5">
      <c r="A76" s="387">
        <v>393</v>
      </c>
      <c r="B76" s="95" t="s">
        <v>1250</v>
      </c>
      <c r="C76" s="904">
        <v>5.3400000000000003E-2</v>
      </c>
    </row>
    <row r="77" spans="1:5">
      <c r="A77" s="387">
        <v>394</v>
      </c>
      <c r="B77" s="95" t="s">
        <v>1251</v>
      </c>
      <c r="C77" s="904">
        <v>3.8399999999999997E-2</v>
      </c>
    </row>
    <row r="78" spans="1:5">
      <c r="A78" s="387">
        <v>395</v>
      </c>
      <c r="B78" s="95" t="s">
        <v>1261</v>
      </c>
      <c r="C78" s="904">
        <v>3.2300000000000002E-2</v>
      </c>
    </row>
    <row r="79" spans="1:5">
      <c r="A79" s="387">
        <v>396</v>
      </c>
      <c r="B79" s="95" t="s">
        <v>1252</v>
      </c>
      <c r="C79" s="904">
        <v>4.1700000000000001E-2</v>
      </c>
    </row>
    <row r="80" spans="1:5">
      <c r="A80" s="387">
        <v>397</v>
      </c>
      <c r="B80" s="95" t="s">
        <v>1253</v>
      </c>
      <c r="C80" s="904">
        <v>6.88E-2</v>
      </c>
    </row>
    <row r="81" spans="1:8">
      <c r="A81" s="387">
        <v>398</v>
      </c>
      <c r="B81" s="95" t="s">
        <v>1254</v>
      </c>
      <c r="C81" s="904">
        <v>4.8899999999999999E-2</v>
      </c>
    </row>
    <row r="82" spans="1:8">
      <c r="A82" s="387"/>
      <c r="C82" s="901"/>
    </row>
    <row r="83" spans="1:8">
      <c r="A83" s="387"/>
      <c r="C83" s="901"/>
    </row>
    <row r="84" spans="1:8" ht="27.6" customHeight="1">
      <c r="A84" s="1060" t="s">
        <v>681</v>
      </c>
      <c r="B84" s="1137" t="s">
        <v>1301</v>
      </c>
      <c r="C84" s="1137"/>
      <c r="D84" s="1137"/>
      <c r="E84" s="1137"/>
      <c r="F84" s="1137"/>
      <c r="G84" s="1137"/>
      <c r="H84" s="1137"/>
    </row>
    <row r="85" spans="1:8" ht="13.5" customHeight="1">
      <c r="A85" s="905"/>
    </row>
    <row r="88" spans="1:8" ht="15">
      <c r="E88" s="1059"/>
    </row>
  </sheetData>
  <mergeCells count="2">
    <mergeCell ref="A12:C12"/>
    <mergeCell ref="B84:H84"/>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U137"/>
  <sheetViews>
    <sheetView view="pageBreakPreview" zoomScale="60" zoomScaleNormal="80" workbookViewId="0"/>
  </sheetViews>
  <sheetFormatPr defaultColWidth="13.33203125" defaultRowHeight="15"/>
  <cols>
    <col min="1" max="1" width="3.109375" style="411" customWidth="1"/>
    <col min="2" max="2" width="35.88671875" style="411" customWidth="1"/>
    <col min="3" max="3" width="12.33203125" style="411" bestFit="1" customWidth="1"/>
    <col min="4" max="4" width="16.44140625" style="411" customWidth="1"/>
    <col min="5" max="6" width="3.109375" style="411" customWidth="1"/>
    <col min="7" max="7" width="13.5546875" style="411" bestFit="1" customWidth="1"/>
    <col min="8" max="8" width="1.109375" style="411" customWidth="1"/>
    <col min="9" max="9" width="20.33203125" style="411" customWidth="1"/>
    <col min="10" max="10" width="1.44140625" style="411" customWidth="1"/>
    <col min="11" max="11" width="20.88671875" style="411" customWidth="1"/>
    <col min="12" max="12" width="1.88671875" style="411" customWidth="1"/>
    <col min="13" max="13" width="19.88671875" style="411" customWidth="1"/>
    <col min="14" max="14" width="1.88671875" style="411" customWidth="1"/>
    <col min="15" max="15" width="13.5546875" style="411" bestFit="1" customWidth="1"/>
    <col min="16" max="16" width="1.88671875" style="411" customWidth="1"/>
    <col min="17" max="17" width="21.88671875" style="411" customWidth="1"/>
    <col min="18" max="18" width="1.5546875" style="411" customWidth="1"/>
    <col min="19" max="19" width="20.88671875" style="411" customWidth="1"/>
    <col min="20" max="20" width="1.88671875" style="411" customWidth="1"/>
    <col min="21" max="21" width="14.88671875" style="411" customWidth="1"/>
    <col min="22" max="22" width="1.88671875" style="411" customWidth="1"/>
    <col min="23" max="23" width="15.109375" style="411" customWidth="1"/>
    <col min="24" max="24" width="1.44140625" style="411" customWidth="1"/>
    <col min="25" max="25" width="20.109375" style="411" customWidth="1"/>
    <col min="26" max="26" width="4.44140625" style="411" customWidth="1"/>
    <col min="27" max="27" width="19.33203125" style="411" customWidth="1"/>
    <col min="28" max="257" width="13.33203125" style="411"/>
    <col min="258" max="258" width="14.44140625" style="411" customWidth="1"/>
    <col min="259" max="259" width="13.44140625" style="411" bestFit="1" customWidth="1"/>
    <col min="260" max="260" width="14.33203125" style="411" bestFit="1" customWidth="1"/>
    <col min="261" max="262" width="13.33203125" style="411"/>
    <col min="263" max="263" width="13.44140625" style="411" bestFit="1" customWidth="1"/>
    <col min="264" max="264" width="13.33203125" style="411"/>
    <col min="265" max="265" width="13.44140625" style="411" bestFit="1" customWidth="1"/>
    <col min="266" max="266" width="13.33203125" style="411"/>
    <col min="267" max="269" width="13.44140625" style="411" bestFit="1" customWidth="1"/>
    <col min="270" max="270" width="13.33203125" style="411"/>
    <col min="271" max="271" width="13.44140625" style="411" bestFit="1" customWidth="1"/>
    <col min="272" max="272" width="13.33203125" style="411"/>
    <col min="273" max="273" width="14.109375" style="411" bestFit="1" customWidth="1"/>
    <col min="274" max="274" width="13.33203125" style="411"/>
    <col min="275" max="275" width="13.44140625" style="411" bestFit="1" customWidth="1"/>
    <col min="276" max="513" width="13.33203125" style="411"/>
    <col min="514" max="514" width="14.44140625" style="411" customWidth="1"/>
    <col min="515" max="515" width="13.44140625" style="411" bestFit="1" customWidth="1"/>
    <col min="516" max="516" width="14.33203125" style="411" bestFit="1" customWidth="1"/>
    <col min="517" max="518" width="13.33203125" style="411"/>
    <col min="519" max="519" width="13.44140625" style="411" bestFit="1" customWidth="1"/>
    <col min="520" max="520" width="13.33203125" style="411"/>
    <col min="521" max="521" width="13.44140625" style="411" bestFit="1" customWidth="1"/>
    <col min="522" max="522" width="13.33203125" style="411"/>
    <col min="523" max="525" width="13.44140625" style="411" bestFit="1" customWidth="1"/>
    <col min="526" max="526" width="13.33203125" style="411"/>
    <col min="527" max="527" width="13.44140625" style="411" bestFit="1" customWidth="1"/>
    <col min="528" max="528" width="13.33203125" style="411"/>
    <col min="529" max="529" width="14.109375" style="411" bestFit="1" customWidth="1"/>
    <col min="530" max="530" width="13.33203125" style="411"/>
    <col min="531" max="531" width="13.44140625" style="411" bestFit="1" customWidth="1"/>
    <col min="532" max="769" width="13.33203125" style="411"/>
    <col min="770" max="770" width="14.44140625" style="411" customWidth="1"/>
    <col min="771" max="771" width="13.44140625" style="411" bestFit="1" customWidth="1"/>
    <col min="772" max="772" width="14.33203125" style="411" bestFit="1" customWidth="1"/>
    <col min="773" max="774" width="13.33203125" style="411"/>
    <col min="775" max="775" width="13.44140625" style="411" bestFit="1" customWidth="1"/>
    <col min="776" max="776" width="13.33203125" style="411"/>
    <col min="777" max="777" width="13.44140625" style="411" bestFit="1" customWidth="1"/>
    <col min="778" max="778" width="13.33203125" style="411"/>
    <col min="779" max="781" width="13.44140625" style="411" bestFit="1" customWidth="1"/>
    <col min="782" max="782" width="13.33203125" style="411"/>
    <col min="783" max="783" width="13.44140625" style="411" bestFit="1" customWidth="1"/>
    <col min="784" max="784" width="13.33203125" style="411"/>
    <col min="785" max="785" width="14.109375" style="411" bestFit="1" customWidth="1"/>
    <col min="786" max="786" width="13.33203125" style="411"/>
    <col min="787" max="787" width="13.44140625" style="411" bestFit="1" customWidth="1"/>
    <col min="788" max="1025" width="13.33203125" style="411"/>
    <col min="1026" max="1026" width="14.44140625" style="411" customWidth="1"/>
    <col min="1027" max="1027" width="13.44140625" style="411" bestFit="1" customWidth="1"/>
    <col min="1028" max="1028" width="14.33203125" style="411" bestFit="1" customWidth="1"/>
    <col min="1029" max="1030" width="13.33203125" style="411"/>
    <col min="1031" max="1031" width="13.44140625" style="411" bestFit="1" customWidth="1"/>
    <col min="1032" max="1032" width="13.33203125" style="411"/>
    <col min="1033" max="1033" width="13.44140625" style="411" bestFit="1" customWidth="1"/>
    <col min="1034" max="1034" width="13.33203125" style="411"/>
    <col min="1035" max="1037" width="13.44140625" style="411" bestFit="1" customWidth="1"/>
    <col min="1038" max="1038" width="13.33203125" style="411"/>
    <col min="1039" max="1039" width="13.44140625" style="411" bestFit="1" customWidth="1"/>
    <col min="1040" max="1040" width="13.33203125" style="411"/>
    <col min="1041" max="1041" width="14.109375" style="411" bestFit="1" customWidth="1"/>
    <col min="1042" max="1042" width="13.33203125" style="411"/>
    <col min="1043" max="1043" width="13.44140625" style="411" bestFit="1" customWidth="1"/>
    <col min="1044" max="1281" width="13.33203125" style="411"/>
    <col min="1282" max="1282" width="14.44140625" style="411" customWidth="1"/>
    <col min="1283" max="1283" width="13.44140625" style="411" bestFit="1" customWidth="1"/>
    <col min="1284" max="1284" width="14.33203125" style="411" bestFit="1" customWidth="1"/>
    <col min="1285" max="1286" width="13.33203125" style="411"/>
    <col min="1287" max="1287" width="13.44140625" style="411" bestFit="1" customWidth="1"/>
    <col min="1288" max="1288" width="13.33203125" style="411"/>
    <col min="1289" max="1289" width="13.44140625" style="411" bestFit="1" customWidth="1"/>
    <col min="1290" max="1290" width="13.33203125" style="411"/>
    <col min="1291" max="1293" width="13.44140625" style="411" bestFit="1" customWidth="1"/>
    <col min="1294" max="1294" width="13.33203125" style="411"/>
    <col min="1295" max="1295" width="13.44140625" style="411" bestFit="1" customWidth="1"/>
    <col min="1296" max="1296" width="13.33203125" style="411"/>
    <col min="1297" max="1297" width="14.109375" style="411" bestFit="1" customWidth="1"/>
    <col min="1298" max="1298" width="13.33203125" style="411"/>
    <col min="1299" max="1299" width="13.44140625" style="411" bestFit="1" customWidth="1"/>
    <col min="1300" max="1537" width="13.33203125" style="411"/>
    <col min="1538" max="1538" width="14.44140625" style="411" customWidth="1"/>
    <col min="1539" max="1539" width="13.44140625" style="411" bestFit="1" customWidth="1"/>
    <col min="1540" max="1540" width="14.33203125" style="411" bestFit="1" customWidth="1"/>
    <col min="1541" max="1542" width="13.33203125" style="411"/>
    <col min="1543" max="1543" width="13.44140625" style="411" bestFit="1" customWidth="1"/>
    <col min="1544" max="1544" width="13.33203125" style="411"/>
    <col min="1545" max="1545" width="13.44140625" style="411" bestFit="1" customWidth="1"/>
    <col min="1546" max="1546" width="13.33203125" style="411"/>
    <col min="1547" max="1549" width="13.44140625" style="411" bestFit="1" customWidth="1"/>
    <col min="1550" max="1550" width="13.33203125" style="411"/>
    <col min="1551" max="1551" width="13.44140625" style="411" bestFit="1" customWidth="1"/>
    <col min="1552" max="1552" width="13.33203125" style="411"/>
    <col min="1553" max="1553" width="14.109375" style="411" bestFit="1" customWidth="1"/>
    <col min="1554" max="1554" width="13.33203125" style="411"/>
    <col min="1555" max="1555" width="13.44140625" style="411" bestFit="1" customWidth="1"/>
    <col min="1556" max="1793" width="13.33203125" style="411"/>
    <col min="1794" max="1794" width="14.44140625" style="411" customWidth="1"/>
    <col min="1795" max="1795" width="13.44140625" style="411" bestFit="1" customWidth="1"/>
    <col min="1796" max="1796" width="14.33203125" style="411" bestFit="1" customWidth="1"/>
    <col min="1797" max="1798" width="13.33203125" style="411"/>
    <col min="1799" max="1799" width="13.44140625" style="411" bestFit="1" customWidth="1"/>
    <col min="1800" max="1800" width="13.33203125" style="411"/>
    <col min="1801" max="1801" width="13.44140625" style="411" bestFit="1" customWidth="1"/>
    <col min="1802" max="1802" width="13.33203125" style="411"/>
    <col min="1803" max="1805" width="13.44140625" style="411" bestFit="1" customWidth="1"/>
    <col min="1806" max="1806" width="13.33203125" style="411"/>
    <col min="1807" max="1807" width="13.44140625" style="411" bestFit="1" customWidth="1"/>
    <col min="1808" max="1808" width="13.33203125" style="411"/>
    <col min="1809" max="1809" width="14.109375" style="411" bestFit="1" customWidth="1"/>
    <col min="1810" max="1810" width="13.33203125" style="411"/>
    <col min="1811" max="1811" width="13.44140625" style="411" bestFit="1" customWidth="1"/>
    <col min="1812" max="2049" width="13.33203125" style="411"/>
    <col min="2050" max="2050" width="14.44140625" style="411" customWidth="1"/>
    <col min="2051" max="2051" width="13.44140625" style="411" bestFit="1" customWidth="1"/>
    <col min="2052" max="2052" width="14.33203125" style="411" bestFit="1" customWidth="1"/>
    <col min="2053" max="2054" width="13.33203125" style="411"/>
    <col min="2055" max="2055" width="13.44140625" style="411" bestFit="1" customWidth="1"/>
    <col min="2056" max="2056" width="13.33203125" style="411"/>
    <col min="2057" max="2057" width="13.44140625" style="411" bestFit="1" customWidth="1"/>
    <col min="2058" max="2058" width="13.33203125" style="411"/>
    <col min="2059" max="2061" width="13.44140625" style="411" bestFit="1" customWidth="1"/>
    <col min="2062" max="2062" width="13.33203125" style="411"/>
    <col min="2063" max="2063" width="13.44140625" style="411" bestFit="1" customWidth="1"/>
    <col min="2064" max="2064" width="13.33203125" style="411"/>
    <col min="2065" max="2065" width="14.109375" style="411" bestFit="1" customWidth="1"/>
    <col min="2066" max="2066" width="13.33203125" style="411"/>
    <col min="2067" max="2067" width="13.44140625" style="411" bestFit="1" customWidth="1"/>
    <col min="2068" max="2305" width="13.33203125" style="411"/>
    <col min="2306" max="2306" width="14.44140625" style="411" customWidth="1"/>
    <col min="2307" max="2307" width="13.44140625" style="411" bestFit="1" customWidth="1"/>
    <col min="2308" max="2308" width="14.33203125" style="411" bestFit="1" customWidth="1"/>
    <col min="2309" max="2310" width="13.33203125" style="411"/>
    <col min="2311" max="2311" width="13.44140625" style="411" bestFit="1" customWidth="1"/>
    <col min="2312" max="2312" width="13.33203125" style="411"/>
    <col min="2313" max="2313" width="13.44140625" style="411" bestFit="1" customWidth="1"/>
    <col min="2314" max="2314" width="13.33203125" style="411"/>
    <col min="2315" max="2317" width="13.44140625" style="411" bestFit="1" customWidth="1"/>
    <col min="2318" max="2318" width="13.33203125" style="411"/>
    <col min="2319" max="2319" width="13.44140625" style="411" bestFit="1" customWidth="1"/>
    <col min="2320" max="2320" width="13.33203125" style="411"/>
    <col min="2321" max="2321" width="14.109375" style="411" bestFit="1" customWidth="1"/>
    <col min="2322" max="2322" width="13.33203125" style="411"/>
    <col min="2323" max="2323" width="13.44140625" style="411" bestFit="1" customWidth="1"/>
    <col min="2324" max="2561" width="13.33203125" style="411"/>
    <col min="2562" max="2562" width="14.44140625" style="411" customWidth="1"/>
    <col min="2563" max="2563" width="13.44140625" style="411" bestFit="1" customWidth="1"/>
    <col min="2564" max="2564" width="14.33203125" style="411" bestFit="1" customWidth="1"/>
    <col min="2565" max="2566" width="13.33203125" style="411"/>
    <col min="2567" max="2567" width="13.44140625" style="411" bestFit="1" customWidth="1"/>
    <col min="2568" max="2568" width="13.33203125" style="411"/>
    <col min="2569" max="2569" width="13.44140625" style="411" bestFit="1" customWidth="1"/>
    <col min="2570" max="2570" width="13.33203125" style="411"/>
    <col min="2571" max="2573" width="13.44140625" style="411" bestFit="1" customWidth="1"/>
    <col min="2574" max="2574" width="13.33203125" style="411"/>
    <col min="2575" max="2575" width="13.44140625" style="411" bestFit="1" customWidth="1"/>
    <col min="2576" max="2576" width="13.33203125" style="411"/>
    <col min="2577" max="2577" width="14.109375" style="411" bestFit="1" customWidth="1"/>
    <col min="2578" max="2578" width="13.33203125" style="411"/>
    <col min="2579" max="2579" width="13.44140625" style="411" bestFit="1" customWidth="1"/>
    <col min="2580" max="2817" width="13.33203125" style="411"/>
    <col min="2818" max="2818" width="14.44140625" style="411" customWidth="1"/>
    <col min="2819" max="2819" width="13.44140625" style="411" bestFit="1" customWidth="1"/>
    <col min="2820" max="2820" width="14.33203125" style="411" bestFit="1" customWidth="1"/>
    <col min="2821" max="2822" width="13.33203125" style="411"/>
    <col min="2823" max="2823" width="13.44140625" style="411" bestFit="1" customWidth="1"/>
    <col min="2824" max="2824" width="13.33203125" style="411"/>
    <col min="2825" max="2825" width="13.44140625" style="411" bestFit="1" customWidth="1"/>
    <col min="2826" max="2826" width="13.33203125" style="411"/>
    <col min="2827" max="2829" width="13.44140625" style="411" bestFit="1" customWidth="1"/>
    <col min="2830" max="2830" width="13.33203125" style="411"/>
    <col min="2831" max="2831" width="13.44140625" style="411" bestFit="1" customWidth="1"/>
    <col min="2832" max="2832" width="13.33203125" style="411"/>
    <col min="2833" max="2833" width="14.109375" style="411" bestFit="1" customWidth="1"/>
    <col min="2834" max="2834" width="13.33203125" style="411"/>
    <col min="2835" max="2835" width="13.44140625" style="411" bestFit="1" customWidth="1"/>
    <col min="2836" max="3073" width="13.33203125" style="411"/>
    <col min="3074" max="3074" width="14.44140625" style="411" customWidth="1"/>
    <col min="3075" max="3075" width="13.44140625" style="411" bestFit="1" customWidth="1"/>
    <col min="3076" max="3076" width="14.33203125" style="411" bestFit="1" customWidth="1"/>
    <col min="3077" max="3078" width="13.33203125" style="411"/>
    <col min="3079" max="3079" width="13.44140625" style="411" bestFit="1" customWidth="1"/>
    <col min="3080" max="3080" width="13.33203125" style="411"/>
    <col min="3081" max="3081" width="13.44140625" style="411" bestFit="1" customWidth="1"/>
    <col min="3082" max="3082" width="13.33203125" style="411"/>
    <col min="3083" max="3085" width="13.44140625" style="411" bestFit="1" customWidth="1"/>
    <col min="3086" max="3086" width="13.33203125" style="411"/>
    <col min="3087" max="3087" width="13.44140625" style="411" bestFit="1" customWidth="1"/>
    <col min="3088" max="3088" width="13.33203125" style="411"/>
    <col min="3089" max="3089" width="14.109375" style="411" bestFit="1" customWidth="1"/>
    <col min="3090" max="3090" width="13.33203125" style="411"/>
    <col min="3091" max="3091" width="13.44140625" style="411" bestFit="1" customWidth="1"/>
    <col min="3092" max="3329" width="13.33203125" style="411"/>
    <col min="3330" max="3330" width="14.44140625" style="411" customWidth="1"/>
    <col min="3331" max="3331" width="13.44140625" style="411" bestFit="1" customWidth="1"/>
    <col min="3332" max="3332" width="14.33203125" style="411" bestFit="1" customWidth="1"/>
    <col min="3333" max="3334" width="13.33203125" style="411"/>
    <col min="3335" max="3335" width="13.44140625" style="411" bestFit="1" customWidth="1"/>
    <col min="3336" max="3336" width="13.33203125" style="411"/>
    <col min="3337" max="3337" width="13.44140625" style="411" bestFit="1" customWidth="1"/>
    <col min="3338" max="3338" width="13.33203125" style="411"/>
    <col min="3339" max="3341" width="13.44140625" style="411" bestFit="1" customWidth="1"/>
    <col min="3342" max="3342" width="13.33203125" style="411"/>
    <col min="3343" max="3343" width="13.44140625" style="411" bestFit="1" customWidth="1"/>
    <col min="3344" max="3344" width="13.33203125" style="411"/>
    <col min="3345" max="3345" width="14.109375" style="411" bestFit="1" customWidth="1"/>
    <col min="3346" max="3346" width="13.33203125" style="411"/>
    <col min="3347" max="3347" width="13.44140625" style="411" bestFit="1" customWidth="1"/>
    <col min="3348" max="3585" width="13.33203125" style="411"/>
    <col min="3586" max="3586" width="14.44140625" style="411" customWidth="1"/>
    <col min="3587" max="3587" width="13.44140625" style="411" bestFit="1" customWidth="1"/>
    <col min="3588" max="3588" width="14.33203125" style="411" bestFit="1" customWidth="1"/>
    <col min="3589" max="3590" width="13.33203125" style="411"/>
    <col min="3591" max="3591" width="13.44140625" style="411" bestFit="1" customWidth="1"/>
    <col min="3592" max="3592" width="13.33203125" style="411"/>
    <col min="3593" max="3593" width="13.44140625" style="411" bestFit="1" customWidth="1"/>
    <col min="3594" max="3594" width="13.33203125" style="411"/>
    <col min="3595" max="3597" width="13.44140625" style="411" bestFit="1" customWidth="1"/>
    <col min="3598" max="3598" width="13.33203125" style="411"/>
    <col min="3599" max="3599" width="13.44140625" style="411" bestFit="1" customWidth="1"/>
    <col min="3600" max="3600" width="13.33203125" style="411"/>
    <col min="3601" max="3601" width="14.109375" style="411" bestFit="1" customWidth="1"/>
    <col min="3602" max="3602" width="13.33203125" style="411"/>
    <col min="3603" max="3603" width="13.44140625" style="411" bestFit="1" customWidth="1"/>
    <col min="3604" max="3841" width="13.33203125" style="411"/>
    <col min="3842" max="3842" width="14.44140625" style="411" customWidth="1"/>
    <col min="3843" max="3843" width="13.44140625" style="411" bestFit="1" customWidth="1"/>
    <col min="3844" max="3844" width="14.33203125" style="411" bestFit="1" customWidth="1"/>
    <col min="3845" max="3846" width="13.33203125" style="411"/>
    <col min="3847" max="3847" width="13.44140625" style="411" bestFit="1" customWidth="1"/>
    <col min="3848" max="3848" width="13.33203125" style="411"/>
    <col min="3849" max="3849" width="13.44140625" style="411" bestFit="1" customWidth="1"/>
    <col min="3850" max="3850" width="13.33203125" style="411"/>
    <col min="3851" max="3853" width="13.44140625" style="411" bestFit="1" customWidth="1"/>
    <col min="3854" max="3854" width="13.33203125" style="411"/>
    <col min="3855" max="3855" width="13.44140625" style="411" bestFit="1" customWidth="1"/>
    <col min="3856" max="3856" width="13.33203125" style="411"/>
    <col min="3857" max="3857" width="14.109375" style="411" bestFit="1" customWidth="1"/>
    <col min="3858" max="3858" width="13.33203125" style="411"/>
    <col min="3859" max="3859" width="13.44140625" style="411" bestFit="1" customWidth="1"/>
    <col min="3860" max="4097" width="13.33203125" style="411"/>
    <col min="4098" max="4098" width="14.44140625" style="411" customWidth="1"/>
    <col min="4099" max="4099" width="13.44140625" style="411" bestFit="1" customWidth="1"/>
    <col min="4100" max="4100" width="14.33203125" style="411" bestFit="1" customWidth="1"/>
    <col min="4101" max="4102" width="13.33203125" style="411"/>
    <col min="4103" max="4103" width="13.44140625" style="411" bestFit="1" customWidth="1"/>
    <col min="4104" max="4104" width="13.33203125" style="411"/>
    <col min="4105" max="4105" width="13.44140625" style="411" bestFit="1" customWidth="1"/>
    <col min="4106" max="4106" width="13.33203125" style="411"/>
    <col min="4107" max="4109" width="13.44140625" style="411" bestFit="1" customWidth="1"/>
    <col min="4110" max="4110" width="13.33203125" style="411"/>
    <col min="4111" max="4111" width="13.44140625" style="411" bestFit="1" customWidth="1"/>
    <col min="4112" max="4112" width="13.33203125" style="411"/>
    <col min="4113" max="4113" width="14.109375" style="411" bestFit="1" customWidth="1"/>
    <col min="4114" max="4114" width="13.33203125" style="411"/>
    <col min="4115" max="4115" width="13.44140625" style="411" bestFit="1" customWidth="1"/>
    <col min="4116" max="4353" width="13.33203125" style="411"/>
    <col min="4354" max="4354" width="14.44140625" style="411" customWidth="1"/>
    <col min="4355" max="4355" width="13.44140625" style="411" bestFit="1" customWidth="1"/>
    <col min="4356" max="4356" width="14.33203125" style="411" bestFit="1" customWidth="1"/>
    <col min="4357" max="4358" width="13.33203125" style="411"/>
    <col min="4359" max="4359" width="13.44140625" style="411" bestFit="1" customWidth="1"/>
    <col min="4360" max="4360" width="13.33203125" style="411"/>
    <col min="4361" max="4361" width="13.44140625" style="411" bestFit="1" customWidth="1"/>
    <col min="4362" max="4362" width="13.33203125" style="411"/>
    <col min="4363" max="4365" width="13.44140625" style="411" bestFit="1" customWidth="1"/>
    <col min="4366" max="4366" width="13.33203125" style="411"/>
    <col min="4367" max="4367" width="13.44140625" style="411" bestFit="1" customWidth="1"/>
    <col min="4368" max="4368" width="13.33203125" style="411"/>
    <col min="4369" max="4369" width="14.109375" style="411" bestFit="1" customWidth="1"/>
    <col min="4370" max="4370" width="13.33203125" style="411"/>
    <col min="4371" max="4371" width="13.44140625" style="411" bestFit="1" customWidth="1"/>
    <col min="4372" max="4609" width="13.33203125" style="411"/>
    <col min="4610" max="4610" width="14.44140625" style="411" customWidth="1"/>
    <col min="4611" max="4611" width="13.44140625" style="411" bestFit="1" customWidth="1"/>
    <col min="4612" max="4612" width="14.33203125" style="411" bestFit="1" customWidth="1"/>
    <col min="4613" max="4614" width="13.33203125" style="411"/>
    <col min="4615" max="4615" width="13.44140625" style="411" bestFit="1" customWidth="1"/>
    <col min="4616" max="4616" width="13.33203125" style="411"/>
    <col min="4617" max="4617" width="13.44140625" style="411" bestFit="1" customWidth="1"/>
    <col min="4618" max="4618" width="13.33203125" style="411"/>
    <col min="4619" max="4621" width="13.44140625" style="411" bestFit="1" customWidth="1"/>
    <col min="4622" max="4622" width="13.33203125" style="411"/>
    <col min="4623" max="4623" width="13.44140625" style="411" bestFit="1" customWidth="1"/>
    <col min="4624" max="4624" width="13.33203125" style="411"/>
    <col min="4625" max="4625" width="14.109375" style="411" bestFit="1" customWidth="1"/>
    <col min="4626" max="4626" width="13.33203125" style="411"/>
    <col min="4627" max="4627" width="13.44140625" style="411" bestFit="1" customWidth="1"/>
    <col min="4628" max="4865" width="13.33203125" style="411"/>
    <col min="4866" max="4866" width="14.44140625" style="411" customWidth="1"/>
    <col min="4867" max="4867" width="13.44140625" style="411" bestFit="1" customWidth="1"/>
    <col min="4868" max="4868" width="14.33203125" style="411" bestFit="1" customWidth="1"/>
    <col min="4869" max="4870" width="13.33203125" style="411"/>
    <col min="4871" max="4871" width="13.44140625" style="411" bestFit="1" customWidth="1"/>
    <col min="4872" max="4872" width="13.33203125" style="411"/>
    <col min="4873" max="4873" width="13.44140625" style="411" bestFit="1" customWidth="1"/>
    <col min="4874" max="4874" width="13.33203125" style="411"/>
    <col min="4875" max="4877" width="13.44140625" style="411" bestFit="1" customWidth="1"/>
    <col min="4878" max="4878" width="13.33203125" style="411"/>
    <col min="4879" max="4879" width="13.44140625" style="411" bestFit="1" customWidth="1"/>
    <col min="4880" max="4880" width="13.33203125" style="411"/>
    <col min="4881" max="4881" width="14.109375" style="411" bestFit="1" customWidth="1"/>
    <col min="4882" max="4882" width="13.33203125" style="411"/>
    <col min="4883" max="4883" width="13.44140625" style="411" bestFit="1" customWidth="1"/>
    <col min="4884" max="5121" width="13.33203125" style="411"/>
    <col min="5122" max="5122" width="14.44140625" style="411" customWidth="1"/>
    <col min="5123" max="5123" width="13.44140625" style="411" bestFit="1" customWidth="1"/>
    <col min="5124" max="5124" width="14.33203125" style="411" bestFit="1" customWidth="1"/>
    <col min="5125" max="5126" width="13.33203125" style="411"/>
    <col min="5127" max="5127" width="13.44140625" style="411" bestFit="1" customWidth="1"/>
    <col min="5128" max="5128" width="13.33203125" style="411"/>
    <col min="5129" max="5129" width="13.44140625" style="411" bestFit="1" customWidth="1"/>
    <col min="5130" max="5130" width="13.33203125" style="411"/>
    <col min="5131" max="5133" width="13.44140625" style="411" bestFit="1" customWidth="1"/>
    <col min="5134" max="5134" width="13.33203125" style="411"/>
    <col min="5135" max="5135" width="13.44140625" style="411" bestFit="1" customWidth="1"/>
    <col min="5136" max="5136" width="13.33203125" style="411"/>
    <col min="5137" max="5137" width="14.109375" style="411" bestFit="1" customWidth="1"/>
    <col min="5138" max="5138" width="13.33203125" style="411"/>
    <col min="5139" max="5139" width="13.44140625" style="411" bestFit="1" customWidth="1"/>
    <col min="5140" max="5377" width="13.33203125" style="411"/>
    <col min="5378" max="5378" width="14.44140625" style="411" customWidth="1"/>
    <col min="5379" max="5379" width="13.44140625" style="411" bestFit="1" customWidth="1"/>
    <col min="5380" max="5380" width="14.33203125" style="411" bestFit="1" customWidth="1"/>
    <col min="5381" max="5382" width="13.33203125" style="411"/>
    <col min="5383" max="5383" width="13.44140625" style="411" bestFit="1" customWidth="1"/>
    <col min="5384" max="5384" width="13.33203125" style="411"/>
    <col min="5385" max="5385" width="13.44140625" style="411" bestFit="1" customWidth="1"/>
    <col min="5386" max="5386" width="13.33203125" style="411"/>
    <col min="5387" max="5389" width="13.44140625" style="411" bestFit="1" customWidth="1"/>
    <col min="5390" max="5390" width="13.33203125" style="411"/>
    <col min="5391" max="5391" width="13.44140625" style="411" bestFit="1" customWidth="1"/>
    <col min="5392" max="5392" width="13.33203125" style="411"/>
    <col min="5393" max="5393" width="14.109375" style="411" bestFit="1" customWidth="1"/>
    <col min="5394" max="5394" width="13.33203125" style="411"/>
    <col min="5395" max="5395" width="13.44140625" style="411" bestFit="1" customWidth="1"/>
    <col min="5396" max="5633" width="13.33203125" style="411"/>
    <col min="5634" max="5634" width="14.44140625" style="411" customWidth="1"/>
    <col min="5635" max="5635" width="13.44140625" style="411" bestFit="1" customWidth="1"/>
    <col min="5636" max="5636" width="14.33203125" style="411" bestFit="1" customWidth="1"/>
    <col min="5637" max="5638" width="13.33203125" style="411"/>
    <col min="5639" max="5639" width="13.44140625" style="411" bestFit="1" customWidth="1"/>
    <col min="5640" max="5640" width="13.33203125" style="411"/>
    <col min="5641" max="5641" width="13.44140625" style="411" bestFit="1" customWidth="1"/>
    <col min="5642" max="5642" width="13.33203125" style="411"/>
    <col min="5643" max="5645" width="13.44140625" style="411" bestFit="1" customWidth="1"/>
    <col min="5646" max="5646" width="13.33203125" style="411"/>
    <col min="5647" max="5647" width="13.44140625" style="411" bestFit="1" customWidth="1"/>
    <col min="5648" max="5648" width="13.33203125" style="411"/>
    <col min="5649" max="5649" width="14.109375" style="411" bestFit="1" customWidth="1"/>
    <col min="5650" max="5650" width="13.33203125" style="411"/>
    <col min="5651" max="5651" width="13.44140625" style="411" bestFit="1" customWidth="1"/>
    <col min="5652" max="5889" width="13.33203125" style="411"/>
    <col min="5890" max="5890" width="14.44140625" style="411" customWidth="1"/>
    <col min="5891" max="5891" width="13.44140625" style="411" bestFit="1" customWidth="1"/>
    <col min="5892" max="5892" width="14.33203125" style="411" bestFit="1" customWidth="1"/>
    <col min="5893" max="5894" width="13.33203125" style="411"/>
    <col min="5895" max="5895" width="13.44140625" style="411" bestFit="1" customWidth="1"/>
    <col min="5896" max="5896" width="13.33203125" style="411"/>
    <col min="5897" max="5897" width="13.44140625" style="411" bestFit="1" customWidth="1"/>
    <col min="5898" max="5898" width="13.33203125" style="411"/>
    <col min="5899" max="5901" width="13.44140625" style="411" bestFit="1" customWidth="1"/>
    <col min="5902" max="5902" width="13.33203125" style="411"/>
    <col min="5903" max="5903" width="13.44140625" style="411" bestFit="1" customWidth="1"/>
    <col min="5904" max="5904" width="13.33203125" style="411"/>
    <col min="5905" max="5905" width="14.109375" style="411" bestFit="1" customWidth="1"/>
    <col min="5906" max="5906" width="13.33203125" style="411"/>
    <col min="5907" max="5907" width="13.44140625" style="411" bestFit="1" customWidth="1"/>
    <col min="5908" max="6145" width="13.33203125" style="411"/>
    <col min="6146" max="6146" width="14.44140625" style="411" customWidth="1"/>
    <col min="6147" max="6147" width="13.44140625" style="411" bestFit="1" customWidth="1"/>
    <col min="6148" max="6148" width="14.33203125" style="411" bestFit="1" customWidth="1"/>
    <col min="6149" max="6150" width="13.33203125" style="411"/>
    <col min="6151" max="6151" width="13.44140625" style="411" bestFit="1" customWidth="1"/>
    <col min="6152" max="6152" width="13.33203125" style="411"/>
    <col min="6153" max="6153" width="13.44140625" style="411" bestFit="1" customWidth="1"/>
    <col min="6154" max="6154" width="13.33203125" style="411"/>
    <col min="6155" max="6157" width="13.44140625" style="411" bestFit="1" customWidth="1"/>
    <col min="6158" max="6158" width="13.33203125" style="411"/>
    <col min="6159" max="6159" width="13.44140625" style="411" bestFit="1" customWidth="1"/>
    <col min="6160" max="6160" width="13.33203125" style="411"/>
    <col min="6161" max="6161" width="14.109375" style="411" bestFit="1" customWidth="1"/>
    <col min="6162" max="6162" width="13.33203125" style="411"/>
    <col min="6163" max="6163" width="13.44140625" style="411" bestFit="1" customWidth="1"/>
    <col min="6164" max="6401" width="13.33203125" style="411"/>
    <col min="6402" max="6402" width="14.44140625" style="411" customWidth="1"/>
    <col min="6403" max="6403" width="13.44140625" style="411" bestFit="1" customWidth="1"/>
    <col min="6404" max="6404" width="14.33203125" style="411" bestFit="1" customWidth="1"/>
    <col min="6405" max="6406" width="13.33203125" style="411"/>
    <col min="6407" max="6407" width="13.44140625" style="411" bestFit="1" customWidth="1"/>
    <col min="6408" max="6408" width="13.33203125" style="411"/>
    <col min="6409" max="6409" width="13.44140625" style="411" bestFit="1" customWidth="1"/>
    <col min="6410" max="6410" width="13.33203125" style="411"/>
    <col min="6411" max="6413" width="13.44140625" style="411" bestFit="1" customWidth="1"/>
    <col min="6414" max="6414" width="13.33203125" style="411"/>
    <col min="6415" max="6415" width="13.44140625" style="411" bestFit="1" customWidth="1"/>
    <col min="6416" max="6416" width="13.33203125" style="411"/>
    <col min="6417" max="6417" width="14.109375" style="411" bestFit="1" customWidth="1"/>
    <col min="6418" max="6418" width="13.33203125" style="411"/>
    <col min="6419" max="6419" width="13.44140625" style="411" bestFit="1" customWidth="1"/>
    <col min="6420" max="6657" width="13.33203125" style="411"/>
    <col min="6658" max="6658" width="14.44140625" style="411" customWidth="1"/>
    <col min="6659" max="6659" width="13.44140625" style="411" bestFit="1" customWidth="1"/>
    <col min="6660" max="6660" width="14.33203125" style="411" bestFit="1" customWidth="1"/>
    <col min="6661" max="6662" width="13.33203125" style="411"/>
    <col min="6663" max="6663" width="13.44140625" style="411" bestFit="1" customWidth="1"/>
    <col min="6664" max="6664" width="13.33203125" style="411"/>
    <col min="6665" max="6665" width="13.44140625" style="411" bestFit="1" customWidth="1"/>
    <col min="6666" max="6666" width="13.33203125" style="411"/>
    <col min="6667" max="6669" width="13.44140625" style="411" bestFit="1" customWidth="1"/>
    <col min="6670" max="6670" width="13.33203125" style="411"/>
    <col min="6671" max="6671" width="13.44140625" style="411" bestFit="1" customWidth="1"/>
    <col min="6672" max="6672" width="13.33203125" style="411"/>
    <col min="6673" max="6673" width="14.109375" style="411" bestFit="1" customWidth="1"/>
    <col min="6674" max="6674" width="13.33203125" style="411"/>
    <col min="6675" max="6675" width="13.44140625" style="411" bestFit="1" customWidth="1"/>
    <col min="6676" max="6913" width="13.33203125" style="411"/>
    <col min="6914" max="6914" width="14.44140625" style="411" customWidth="1"/>
    <col min="6915" max="6915" width="13.44140625" style="411" bestFit="1" customWidth="1"/>
    <col min="6916" max="6916" width="14.33203125" style="411" bestFit="1" customWidth="1"/>
    <col min="6917" max="6918" width="13.33203125" style="411"/>
    <col min="6919" max="6919" width="13.44140625" style="411" bestFit="1" customWidth="1"/>
    <col min="6920" max="6920" width="13.33203125" style="411"/>
    <col min="6921" max="6921" width="13.44140625" style="411" bestFit="1" customWidth="1"/>
    <col min="6922" max="6922" width="13.33203125" style="411"/>
    <col min="6923" max="6925" width="13.44140625" style="411" bestFit="1" customWidth="1"/>
    <col min="6926" max="6926" width="13.33203125" style="411"/>
    <col min="6927" max="6927" width="13.44140625" style="411" bestFit="1" customWidth="1"/>
    <col min="6928" max="6928" width="13.33203125" style="411"/>
    <col min="6929" max="6929" width="14.109375" style="411" bestFit="1" customWidth="1"/>
    <col min="6930" max="6930" width="13.33203125" style="411"/>
    <col min="6931" max="6931" width="13.44140625" style="411" bestFit="1" customWidth="1"/>
    <col min="6932" max="7169" width="13.33203125" style="411"/>
    <col min="7170" max="7170" width="14.44140625" style="411" customWidth="1"/>
    <col min="7171" max="7171" width="13.44140625" style="411" bestFit="1" customWidth="1"/>
    <col min="7172" max="7172" width="14.33203125" style="411" bestFit="1" customWidth="1"/>
    <col min="7173" max="7174" width="13.33203125" style="411"/>
    <col min="7175" max="7175" width="13.44140625" style="411" bestFit="1" customWidth="1"/>
    <col min="7176" max="7176" width="13.33203125" style="411"/>
    <col min="7177" max="7177" width="13.44140625" style="411" bestFit="1" customWidth="1"/>
    <col min="7178" max="7178" width="13.33203125" style="411"/>
    <col min="7179" max="7181" width="13.44140625" style="411" bestFit="1" customWidth="1"/>
    <col min="7182" max="7182" width="13.33203125" style="411"/>
    <col min="7183" max="7183" width="13.44140625" style="411" bestFit="1" customWidth="1"/>
    <col min="7184" max="7184" width="13.33203125" style="411"/>
    <col min="7185" max="7185" width="14.109375" style="411" bestFit="1" customWidth="1"/>
    <col min="7186" max="7186" width="13.33203125" style="411"/>
    <col min="7187" max="7187" width="13.44140625" style="411" bestFit="1" customWidth="1"/>
    <col min="7188" max="7425" width="13.33203125" style="411"/>
    <col min="7426" max="7426" width="14.44140625" style="411" customWidth="1"/>
    <col min="7427" max="7427" width="13.44140625" style="411" bestFit="1" customWidth="1"/>
    <col min="7428" max="7428" width="14.33203125" style="411" bestFit="1" customWidth="1"/>
    <col min="7429" max="7430" width="13.33203125" style="411"/>
    <col min="7431" max="7431" width="13.44140625" style="411" bestFit="1" customWidth="1"/>
    <col min="7432" max="7432" width="13.33203125" style="411"/>
    <col min="7433" max="7433" width="13.44140625" style="411" bestFit="1" customWidth="1"/>
    <col min="7434" max="7434" width="13.33203125" style="411"/>
    <col min="7435" max="7437" width="13.44140625" style="411" bestFit="1" customWidth="1"/>
    <col min="7438" max="7438" width="13.33203125" style="411"/>
    <col min="7439" max="7439" width="13.44140625" style="411" bestFit="1" customWidth="1"/>
    <col min="7440" max="7440" width="13.33203125" style="411"/>
    <col min="7441" max="7441" width="14.109375" style="411" bestFit="1" customWidth="1"/>
    <col min="7442" max="7442" width="13.33203125" style="411"/>
    <col min="7443" max="7443" width="13.44140625" style="411" bestFit="1" customWidth="1"/>
    <col min="7444" max="7681" width="13.33203125" style="411"/>
    <col min="7682" max="7682" width="14.44140625" style="411" customWidth="1"/>
    <col min="7683" max="7683" width="13.44140625" style="411" bestFit="1" customWidth="1"/>
    <col min="7684" max="7684" width="14.33203125" style="411" bestFit="1" customWidth="1"/>
    <col min="7685" max="7686" width="13.33203125" style="411"/>
    <col min="7687" max="7687" width="13.44140625" style="411" bestFit="1" customWidth="1"/>
    <col min="7688" max="7688" width="13.33203125" style="411"/>
    <col min="7689" max="7689" width="13.44140625" style="411" bestFit="1" customWidth="1"/>
    <col min="7690" max="7690" width="13.33203125" style="411"/>
    <col min="7691" max="7693" width="13.44140625" style="411" bestFit="1" customWidth="1"/>
    <col min="7694" max="7694" width="13.33203125" style="411"/>
    <col min="7695" max="7695" width="13.44140625" style="411" bestFit="1" customWidth="1"/>
    <col min="7696" max="7696" width="13.33203125" style="411"/>
    <col min="7697" max="7697" width="14.109375" style="411" bestFit="1" customWidth="1"/>
    <col min="7698" max="7698" width="13.33203125" style="411"/>
    <col min="7699" max="7699" width="13.44140625" style="411" bestFit="1" customWidth="1"/>
    <col min="7700" max="7937" width="13.33203125" style="411"/>
    <col min="7938" max="7938" width="14.44140625" style="411" customWidth="1"/>
    <col min="7939" max="7939" width="13.44140625" style="411" bestFit="1" customWidth="1"/>
    <col min="7940" max="7940" width="14.33203125" style="411" bestFit="1" customWidth="1"/>
    <col min="7941" max="7942" width="13.33203125" style="411"/>
    <col min="7943" max="7943" width="13.44140625" style="411" bestFit="1" customWidth="1"/>
    <col min="7944" max="7944" width="13.33203125" style="411"/>
    <col min="7945" max="7945" width="13.44140625" style="411" bestFit="1" customWidth="1"/>
    <col min="7946" max="7946" width="13.33203125" style="411"/>
    <col min="7947" max="7949" width="13.44140625" style="411" bestFit="1" customWidth="1"/>
    <col min="7950" max="7950" width="13.33203125" style="411"/>
    <col min="7951" max="7951" width="13.44140625" style="411" bestFit="1" customWidth="1"/>
    <col min="7952" max="7952" width="13.33203125" style="411"/>
    <col min="7953" max="7953" width="14.109375" style="411" bestFit="1" customWidth="1"/>
    <col min="7954" max="7954" width="13.33203125" style="411"/>
    <col min="7955" max="7955" width="13.44140625" style="411" bestFit="1" customWidth="1"/>
    <col min="7956" max="8193" width="13.33203125" style="411"/>
    <col min="8194" max="8194" width="14.44140625" style="411" customWidth="1"/>
    <col min="8195" max="8195" width="13.44140625" style="411" bestFit="1" customWidth="1"/>
    <col min="8196" max="8196" width="14.33203125" style="411" bestFit="1" customWidth="1"/>
    <col min="8197" max="8198" width="13.33203125" style="411"/>
    <col min="8199" max="8199" width="13.44140625" style="411" bestFit="1" customWidth="1"/>
    <col min="8200" max="8200" width="13.33203125" style="411"/>
    <col min="8201" max="8201" width="13.44140625" style="411" bestFit="1" customWidth="1"/>
    <col min="8202" max="8202" width="13.33203125" style="411"/>
    <col min="8203" max="8205" width="13.44140625" style="411" bestFit="1" customWidth="1"/>
    <col min="8206" max="8206" width="13.33203125" style="411"/>
    <col min="8207" max="8207" width="13.44140625" style="411" bestFit="1" customWidth="1"/>
    <col min="8208" max="8208" width="13.33203125" style="411"/>
    <col min="8209" max="8209" width="14.109375" style="411" bestFit="1" customWidth="1"/>
    <col min="8210" max="8210" width="13.33203125" style="411"/>
    <col min="8211" max="8211" width="13.44140625" style="411" bestFit="1" customWidth="1"/>
    <col min="8212" max="8449" width="13.33203125" style="411"/>
    <col min="8450" max="8450" width="14.44140625" style="411" customWidth="1"/>
    <col min="8451" max="8451" width="13.44140625" style="411" bestFit="1" customWidth="1"/>
    <col min="8452" max="8452" width="14.33203125" style="411" bestFit="1" customWidth="1"/>
    <col min="8453" max="8454" width="13.33203125" style="411"/>
    <col min="8455" max="8455" width="13.44140625" style="411" bestFit="1" customWidth="1"/>
    <col min="8456" max="8456" width="13.33203125" style="411"/>
    <col min="8457" max="8457" width="13.44140625" style="411" bestFit="1" customWidth="1"/>
    <col min="8458" max="8458" width="13.33203125" style="411"/>
    <col min="8459" max="8461" width="13.44140625" style="411" bestFit="1" customWidth="1"/>
    <col min="8462" max="8462" width="13.33203125" style="411"/>
    <col min="8463" max="8463" width="13.44140625" style="411" bestFit="1" customWidth="1"/>
    <col min="8464" max="8464" width="13.33203125" style="411"/>
    <col min="8465" max="8465" width="14.109375" style="411" bestFit="1" customWidth="1"/>
    <col min="8466" max="8466" width="13.33203125" style="411"/>
    <col min="8467" max="8467" width="13.44140625" style="411" bestFit="1" customWidth="1"/>
    <col min="8468" max="8705" width="13.33203125" style="411"/>
    <col min="8706" max="8706" width="14.44140625" style="411" customWidth="1"/>
    <col min="8707" max="8707" width="13.44140625" style="411" bestFit="1" customWidth="1"/>
    <col min="8708" max="8708" width="14.33203125" style="411" bestFit="1" customWidth="1"/>
    <col min="8709" max="8710" width="13.33203125" style="411"/>
    <col min="8711" max="8711" width="13.44140625" style="411" bestFit="1" customWidth="1"/>
    <col min="8712" max="8712" width="13.33203125" style="411"/>
    <col min="8713" max="8713" width="13.44140625" style="411" bestFit="1" customWidth="1"/>
    <col min="8714" max="8714" width="13.33203125" style="411"/>
    <col min="8715" max="8717" width="13.44140625" style="411" bestFit="1" customWidth="1"/>
    <col min="8718" max="8718" width="13.33203125" style="411"/>
    <col min="8719" max="8719" width="13.44140625" style="411" bestFit="1" customWidth="1"/>
    <col min="8720" max="8720" width="13.33203125" style="411"/>
    <col min="8721" max="8721" width="14.109375" style="411" bestFit="1" customWidth="1"/>
    <col min="8722" max="8722" width="13.33203125" style="411"/>
    <col min="8723" max="8723" width="13.44140625" style="411" bestFit="1" customWidth="1"/>
    <col min="8724" max="8961" width="13.33203125" style="411"/>
    <col min="8962" max="8962" width="14.44140625" style="411" customWidth="1"/>
    <col min="8963" max="8963" width="13.44140625" style="411" bestFit="1" customWidth="1"/>
    <col min="8964" max="8964" width="14.33203125" style="411" bestFit="1" customWidth="1"/>
    <col min="8965" max="8966" width="13.33203125" style="411"/>
    <col min="8967" max="8967" width="13.44140625" style="411" bestFit="1" customWidth="1"/>
    <col min="8968" max="8968" width="13.33203125" style="411"/>
    <col min="8969" max="8969" width="13.44140625" style="411" bestFit="1" customWidth="1"/>
    <col min="8970" max="8970" width="13.33203125" style="411"/>
    <col min="8971" max="8973" width="13.44140625" style="411" bestFit="1" customWidth="1"/>
    <col min="8974" max="8974" width="13.33203125" style="411"/>
    <col min="8975" max="8975" width="13.44140625" style="411" bestFit="1" customWidth="1"/>
    <col min="8976" max="8976" width="13.33203125" style="411"/>
    <col min="8977" max="8977" width="14.109375" style="411" bestFit="1" customWidth="1"/>
    <col min="8978" max="8978" width="13.33203125" style="411"/>
    <col min="8979" max="8979" width="13.44140625" style="411" bestFit="1" customWidth="1"/>
    <col min="8980" max="9217" width="13.33203125" style="411"/>
    <col min="9218" max="9218" width="14.44140625" style="411" customWidth="1"/>
    <col min="9219" max="9219" width="13.44140625" style="411" bestFit="1" customWidth="1"/>
    <col min="9220" max="9220" width="14.33203125" style="411" bestFit="1" customWidth="1"/>
    <col min="9221" max="9222" width="13.33203125" style="411"/>
    <col min="9223" max="9223" width="13.44140625" style="411" bestFit="1" customWidth="1"/>
    <col min="9224" max="9224" width="13.33203125" style="411"/>
    <col min="9225" max="9225" width="13.44140625" style="411" bestFit="1" customWidth="1"/>
    <col min="9226" max="9226" width="13.33203125" style="411"/>
    <col min="9227" max="9229" width="13.44140625" style="411" bestFit="1" customWidth="1"/>
    <col min="9230" max="9230" width="13.33203125" style="411"/>
    <col min="9231" max="9231" width="13.44140625" style="411" bestFit="1" customWidth="1"/>
    <col min="9232" max="9232" width="13.33203125" style="411"/>
    <col min="9233" max="9233" width="14.109375" style="411" bestFit="1" customWidth="1"/>
    <col min="9234" max="9234" width="13.33203125" style="411"/>
    <col min="9235" max="9235" width="13.44140625" style="411" bestFit="1" customWidth="1"/>
    <col min="9236" max="9473" width="13.33203125" style="411"/>
    <col min="9474" max="9474" width="14.44140625" style="411" customWidth="1"/>
    <col min="9475" max="9475" width="13.44140625" style="411" bestFit="1" customWidth="1"/>
    <col min="9476" max="9476" width="14.33203125" style="411" bestFit="1" customWidth="1"/>
    <col min="9477" max="9478" width="13.33203125" style="411"/>
    <col min="9479" max="9479" width="13.44140625" style="411" bestFit="1" customWidth="1"/>
    <col min="9480" max="9480" width="13.33203125" style="411"/>
    <col min="9481" max="9481" width="13.44140625" style="411" bestFit="1" customWidth="1"/>
    <col min="9482" max="9482" width="13.33203125" style="411"/>
    <col min="9483" max="9485" width="13.44140625" style="411" bestFit="1" customWidth="1"/>
    <col min="9486" max="9486" width="13.33203125" style="411"/>
    <col min="9487" max="9487" width="13.44140625" style="411" bestFit="1" customWidth="1"/>
    <col min="9488" max="9488" width="13.33203125" style="411"/>
    <col min="9489" max="9489" width="14.109375" style="411" bestFit="1" customWidth="1"/>
    <col min="9490" max="9490" width="13.33203125" style="411"/>
    <col min="9491" max="9491" width="13.44140625" style="411" bestFit="1" customWidth="1"/>
    <col min="9492" max="9729" width="13.33203125" style="411"/>
    <col min="9730" max="9730" width="14.44140625" style="411" customWidth="1"/>
    <col min="9731" max="9731" width="13.44140625" style="411" bestFit="1" customWidth="1"/>
    <col min="9732" max="9732" width="14.33203125" style="411" bestFit="1" customWidth="1"/>
    <col min="9733" max="9734" width="13.33203125" style="411"/>
    <col min="9735" max="9735" width="13.44140625" style="411" bestFit="1" customWidth="1"/>
    <col min="9736" max="9736" width="13.33203125" style="411"/>
    <col min="9737" max="9737" width="13.44140625" style="411" bestFit="1" customWidth="1"/>
    <col min="9738" max="9738" width="13.33203125" style="411"/>
    <col min="9739" max="9741" width="13.44140625" style="411" bestFit="1" customWidth="1"/>
    <col min="9742" max="9742" width="13.33203125" style="411"/>
    <col min="9743" max="9743" width="13.44140625" style="411" bestFit="1" customWidth="1"/>
    <col min="9744" max="9744" width="13.33203125" style="411"/>
    <col min="9745" max="9745" width="14.109375" style="411" bestFit="1" customWidth="1"/>
    <col min="9746" max="9746" width="13.33203125" style="411"/>
    <col min="9747" max="9747" width="13.44140625" style="411" bestFit="1" customWidth="1"/>
    <col min="9748" max="9985" width="13.33203125" style="411"/>
    <col min="9986" max="9986" width="14.44140625" style="411" customWidth="1"/>
    <col min="9987" max="9987" width="13.44140625" style="411" bestFit="1" customWidth="1"/>
    <col min="9988" max="9988" width="14.33203125" style="411" bestFit="1" customWidth="1"/>
    <col min="9989" max="9990" width="13.33203125" style="411"/>
    <col min="9991" max="9991" width="13.44140625" style="411" bestFit="1" customWidth="1"/>
    <col min="9992" max="9992" width="13.33203125" style="411"/>
    <col min="9993" max="9993" width="13.44140625" style="411" bestFit="1" customWidth="1"/>
    <col min="9994" max="9994" width="13.33203125" style="411"/>
    <col min="9995" max="9997" width="13.44140625" style="411" bestFit="1" customWidth="1"/>
    <col min="9998" max="9998" width="13.33203125" style="411"/>
    <col min="9999" max="9999" width="13.44140625" style="411" bestFit="1" customWidth="1"/>
    <col min="10000" max="10000" width="13.33203125" style="411"/>
    <col min="10001" max="10001" width="14.109375" style="411" bestFit="1" customWidth="1"/>
    <col min="10002" max="10002" width="13.33203125" style="411"/>
    <col min="10003" max="10003" width="13.44140625" style="411" bestFit="1" customWidth="1"/>
    <col min="10004" max="10241" width="13.33203125" style="411"/>
    <col min="10242" max="10242" width="14.44140625" style="411" customWidth="1"/>
    <col min="10243" max="10243" width="13.44140625" style="411" bestFit="1" customWidth="1"/>
    <col min="10244" max="10244" width="14.33203125" style="411" bestFit="1" customWidth="1"/>
    <col min="10245" max="10246" width="13.33203125" style="411"/>
    <col min="10247" max="10247" width="13.44140625" style="411" bestFit="1" customWidth="1"/>
    <col min="10248" max="10248" width="13.33203125" style="411"/>
    <col min="10249" max="10249" width="13.44140625" style="411" bestFit="1" customWidth="1"/>
    <col min="10250" max="10250" width="13.33203125" style="411"/>
    <col min="10251" max="10253" width="13.44140625" style="411" bestFit="1" customWidth="1"/>
    <col min="10254" max="10254" width="13.33203125" style="411"/>
    <col min="10255" max="10255" width="13.44140625" style="411" bestFit="1" customWidth="1"/>
    <col min="10256" max="10256" width="13.33203125" style="411"/>
    <col min="10257" max="10257" width="14.109375" style="411" bestFit="1" customWidth="1"/>
    <col min="10258" max="10258" width="13.33203125" style="411"/>
    <col min="10259" max="10259" width="13.44140625" style="411" bestFit="1" customWidth="1"/>
    <col min="10260" max="10497" width="13.33203125" style="411"/>
    <col min="10498" max="10498" width="14.44140625" style="411" customWidth="1"/>
    <col min="10499" max="10499" width="13.44140625" style="411" bestFit="1" customWidth="1"/>
    <col min="10500" max="10500" width="14.33203125" style="411" bestFit="1" customWidth="1"/>
    <col min="10501" max="10502" width="13.33203125" style="411"/>
    <col min="10503" max="10503" width="13.44140625" style="411" bestFit="1" customWidth="1"/>
    <col min="10504" max="10504" width="13.33203125" style="411"/>
    <col min="10505" max="10505" width="13.44140625" style="411" bestFit="1" customWidth="1"/>
    <col min="10506" max="10506" width="13.33203125" style="411"/>
    <col min="10507" max="10509" width="13.44140625" style="411" bestFit="1" customWidth="1"/>
    <col min="10510" max="10510" width="13.33203125" style="411"/>
    <col min="10511" max="10511" width="13.44140625" style="411" bestFit="1" customWidth="1"/>
    <col min="10512" max="10512" width="13.33203125" style="411"/>
    <col min="10513" max="10513" width="14.109375" style="411" bestFit="1" customWidth="1"/>
    <col min="10514" max="10514" width="13.33203125" style="411"/>
    <col min="10515" max="10515" width="13.44140625" style="411" bestFit="1" customWidth="1"/>
    <col min="10516" max="10753" width="13.33203125" style="411"/>
    <col min="10754" max="10754" width="14.44140625" style="411" customWidth="1"/>
    <col min="10755" max="10755" width="13.44140625" style="411" bestFit="1" customWidth="1"/>
    <col min="10756" max="10756" width="14.33203125" style="411" bestFit="1" customWidth="1"/>
    <col min="10757" max="10758" width="13.33203125" style="411"/>
    <col min="10759" max="10759" width="13.44140625" style="411" bestFit="1" customWidth="1"/>
    <col min="10760" max="10760" width="13.33203125" style="411"/>
    <col min="10761" max="10761" width="13.44140625" style="411" bestFit="1" customWidth="1"/>
    <col min="10762" max="10762" width="13.33203125" style="411"/>
    <col min="10763" max="10765" width="13.44140625" style="411" bestFit="1" customWidth="1"/>
    <col min="10766" max="10766" width="13.33203125" style="411"/>
    <col min="10767" max="10767" width="13.44140625" style="411" bestFit="1" customWidth="1"/>
    <col min="10768" max="10768" width="13.33203125" style="411"/>
    <col min="10769" max="10769" width="14.109375" style="411" bestFit="1" customWidth="1"/>
    <col min="10770" max="10770" width="13.33203125" style="411"/>
    <col min="10771" max="10771" width="13.44140625" style="411" bestFit="1" customWidth="1"/>
    <col min="10772" max="11009" width="13.33203125" style="411"/>
    <col min="11010" max="11010" width="14.44140625" style="411" customWidth="1"/>
    <col min="11011" max="11011" width="13.44140625" style="411" bestFit="1" customWidth="1"/>
    <col min="11012" max="11012" width="14.33203125" style="411" bestFit="1" customWidth="1"/>
    <col min="11013" max="11014" width="13.33203125" style="411"/>
    <col min="11015" max="11015" width="13.44140625" style="411" bestFit="1" customWidth="1"/>
    <col min="11016" max="11016" width="13.33203125" style="411"/>
    <col min="11017" max="11017" width="13.44140625" style="411" bestFit="1" customWidth="1"/>
    <col min="11018" max="11018" width="13.33203125" style="411"/>
    <col min="11019" max="11021" width="13.44140625" style="411" bestFit="1" customWidth="1"/>
    <col min="11022" max="11022" width="13.33203125" style="411"/>
    <col min="11023" max="11023" width="13.44140625" style="411" bestFit="1" customWidth="1"/>
    <col min="11024" max="11024" width="13.33203125" style="411"/>
    <col min="11025" max="11025" width="14.109375" style="411" bestFit="1" customWidth="1"/>
    <col min="11026" max="11026" width="13.33203125" style="411"/>
    <col min="11027" max="11027" width="13.44140625" style="411" bestFit="1" customWidth="1"/>
    <col min="11028" max="11265" width="13.33203125" style="411"/>
    <col min="11266" max="11266" width="14.44140625" style="411" customWidth="1"/>
    <col min="11267" max="11267" width="13.44140625" style="411" bestFit="1" customWidth="1"/>
    <col min="11268" max="11268" width="14.33203125" style="411" bestFit="1" customWidth="1"/>
    <col min="11269" max="11270" width="13.33203125" style="411"/>
    <col min="11271" max="11271" width="13.44140625" style="411" bestFit="1" customWidth="1"/>
    <col min="11272" max="11272" width="13.33203125" style="411"/>
    <col min="11273" max="11273" width="13.44140625" style="411" bestFit="1" customWidth="1"/>
    <col min="11274" max="11274" width="13.33203125" style="411"/>
    <col min="11275" max="11277" width="13.44140625" style="411" bestFit="1" customWidth="1"/>
    <col min="11278" max="11278" width="13.33203125" style="411"/>
    <col min="11279" max="11279" width="13.44140625" style="411" bestFit="1" customWidth="1"/>
    <col min="11280" max="11280" width="13.33203125" style="411"/>
    <col min="11281" max="11281" width="14.109375" style="411" bestFit="1" customWidth="1"/>
    <col min="11282" max="11282" width="13.33203125" style="411"/>
    <col min="11283" max="11283" width="13.44140625" style="411" bestFit="1" customWidth="1"/>
    <col min="11284" max="11521" width="13.33203125" style="411"/>
    <col min="11522" max="11522" width="14.44140625" style="411" customWidth="1"/>
    <col min="11523" max="11523" width="13.44140625" style="411" bestFit="1" customWidth="1"/>
    <col min="11524" max="11524" width="14.33203125" style="411" bestFit="1" customWidth="1"/>
    <col min="11525" max="11526" width="13.33203125" style="411"/>
    <col min="11527" max="11527" width="13.44140625" style="411" bestFit="1" customWidth="1"/>
    <col min="11528" max="11528" width="13.33203125" style="411"/>
    <col min="11529" max="11529" width="13.44140625" style="411" bestFit="1" customWidth="1"/>
    <col min="11530" max="11530" width="13.33203125" style="411"/>
    <col min="11531" max="11533" width="13.44140625" style="411" bestFit="1" customWidth="1"/>
    <col min="11534" max="11534" width="13.33203125" style="411"/>
    <col min="11535" max="11535" width="13.44140625" style="411" bestFit="1" customWidth="1"/>
    <col min="11536" max="11536" width="13.33203125" style="411"/>
    <col min="11537" max="11537" width="14.109375" style="411" bestFit="1" customWidth="1"/>
    <col min="11538" max="11538" width="13.33203125" style="411"/>
    <col min="11539" max="11539" width="13.44140625" style="411" bestFit="1" customWidth="1"/>
    <col min="11540" max="11777" width="13.33203125" style="411"/>
    <col min="11778" max="11778" width="14.44140625" style="411" customWidth="1"/>
    <col min="11779" max="11779" width="13.44140625" style="411" bestFit="1" customWidth="1"/>
    <col min="11780" max="11780" width="14.33203125" style="411" bestFit="1" customWidth="1"/>
    <col min="11781" max="11782" width="13.33203125" style="411"/>
    <col min="11783" max="11783" width="13.44140625" style="411" bestFit="1" customWidth="1"/>
    <col min="11784" max="11784" width="13.33203125" style="411"/>
    <col min="11785" max="11785" width="13.44140625" style="411" bestFit="1" customWidth="1"/>
    <col min="11786" max="11786" width="13.33203125" style="411"/>
    <col min="11787" max="11789" width="13.44140625" style="411" bestFit="1" customWidth="1"/>
    <col min="11790" max="11790" width="13.33203125" style="411"/>
    <col min="11791" max="11791" width="13.44140625" style="411" bestFit="1" customWidth="1"/>
    <col min="11792" max="11792" width="13.33203125" style="411"/>
    <col min="11793" max="11793" width="14.109375" style="411" bestFit="1" customWidth="1"/>
    <col min="11794" max="11794" width="13.33203125" style="411"/>
    <col min="11795" max="11795" width="13.44140625" style="411" bestFit="1" customWidth="1"/>
    <col min="11796" max="12033" width="13.33203125" style="411"/>
    <col min="12034" max="12034" width="14.44140625" style="411" customWidth="1"/>
    <col min="12035" max="12035" width="13.44140625" style="411" bestFit="1" customWidth="1"/>
    <col min="12036" max="12036" width="14.33203125" style="411" bestFit="1" customWidth="1"/>
    <col min="12037" max="12038" width="13.33203125" style="411"/>
    <col min="12039" max="12039" width="13.44140625" style="411" bestFit="1" customWidth="1"/>
    <col min="12040" max="12040" width="13.33203125" style="411"/>
    <col min="12041" max="12041" width="13.44140625" style="411" bestFit="1" customWidth="1"/>
    <col min="12042" max="12042" width="13.33203125" style="411"/>
    <col min="12043" max="12045" width="13.44140625" style="411" bestFit="1" customWidth="1"/>
    <col min="12046" max="12046" width="13.33203125" style="411"/>
    <col min="12047" max="12047" width="13.44140625" style="411" bestFit="1" customWidth="1"/>
    <col min="12048" max="12048" width="13.33203125" style="411"/>
    <col min="12049" max="12049" width="14.109375" style="411" bestFit="1" customWidth="1"/>
    <col min="12050" max="12050" width="13.33203125" style="411"/>
    <col min="12051" max="12051" width="13.44140625" style="411" bestFit="1" customWidth="1"/>
    <col min="12052" max="12289" width="13.33203125" style="411"/>
    <col min="12290" max="12290" width="14.44140625" style="411" customWidth="1"/>
    <col min="12291" max="12291" width="13.44140625" style="411" bestFit="1" customWidth="1"/>
    <col min="12292" max="12292" width="14.33203125" style="411" bestFit="1" customWidth="1"/>
    <col min="12293" max="12294" width="13.33203125" style="411"/>
    <col min="12295" max="12295" width="13.44140625" style="411" bestFit="1" customWidth="1"/>
    <col min="12296" max="12296" width="13.33203125" style="411"/>
    <col min="12297" max="12297" width="13.44140625" style="411" bestFit="1" customWidth="1"/>
    <col min="12298" max="12298" width="13.33203125" style="411"/>
    <col min="12299" max="12301" width="13.44140625" style="411" bestFit="1" customWidth="1"/>
    <col min="12302" max="12302" width="13.33203125" style="411"/>
    <col min="12303" max="12303" width="13.44140625" style="411" bestFit="1" customWidth="1"/>
    <col min="12304" max="12304" width="13.33203125" style="411"/>
    <col min="12305" max="12305" width="14.109375" style="411" bestFit="1" customWidth="1"/>
    <col min="12306" max="12306" width="13.33203125" style="411"/>
    <col min="12307" max="12307" width="13.44140625" style="411" bestFit="1" customWidth="1"/>
    <col min="12308" max="12545" width="13.33203125" style="411"/>
    <col min="12546" max="12546" width="14.44140625" style="411" customWidth="1"/>
    <col min="12547" max="12547" width="13.44140625" style="411" bestFit="1" customWidth="1"/>
    <col min="12548" max="12548" width="14.33203125" style="411" bestFit="1" customWidth="1"/>
    <col min="12549" max="12550" width="13.33203125" style="411"/>
    <col min="12551" max="12551" width="13.44140625" style="411" bestFit="1" customWidth="1"/>
    <col min="12552" max="12552" width="13.33203125" style="411"/>
    <col min="12553" max="12553" width="13.44140625" style="411" bestFit="1" customWidth="1"/>
    <col min="12554" max="12554" width="13.33203125" style="411"/>
    <col min="12555" max="12557" width="13.44140625" style="411" bestFit="1" customWidth="1"/>
    <col min="12558" max="12558" width="13.33203125" style="411"/>
    <col min="12559" max="12559" width="13.44140625" style="411" bestFit="1" customWidth="1"/>
    <col min="12560" max="12560" width="13.33203125" style="411"/>
    <col min="12561" max="12561" width="14.109375" style="411" bestFit="1" customWidth="1"/>
    <col min="12562" max="12562" width="13.33203125" style="411"/>
    <col min="12563" max="12563" width="13.44140625" style="411" bestFit="1" customWidth="1"/>
    <col min="12564" max="12801" width="13.33203125" style="411"/>
    <col min="12802" max="12802" width="14.44140625" style="411" customWidth="1"/>
    <col min="12803" max="12803" width="13.44140625" style="411" bestFit="1" customWidth="1"/>
    <col min="12804" max="12804" width="14.33203125" style="411" bestFit="1" customWidth="1"/>
    <col min="12805" max="12806" width="13.33203125" style="411"/>
    <col min="12807" max="12807" width="13.44140625" style="411" bestFit="1" customWidth="1"/>
    <col min="12808" max="12808" width="13.33203125" style="411"/>
    <col min="12809" max="12809" width="13.44140625" style="411" bestFit="1" customWidth="1"/>
    <col min="12810" max="12810" width="13.33203125" style="411"/>
    <col min="12811" max="12813" width="13.44140625" style="411" bestFit="1" customWidth="1"/>
    <col min="12814" max="12814" width="13.33203125" style="411"/>
    <col min="12815" max="12815" width="13.44140625" style="411" bestFit="1" customWidth="1"/>
    <col min="12816" max="12816" width="13.33203125" style="411"/>
    <col min="12817" max="12817" width="14.109375" style="411" bestFit="1" customWidth="1"/>
    <col min="12818" max="12818" width="13.33203125" style="411"/>
    <col min="12819" max="12819" width="13.44140625" style="411" bestFit="1" customWidth="1"/>
    <col min="12820" max="13057" width="13.33203125" style="411"/>
    <col min="13058" max="13058" width="14.44140625" style="411" customWidth="1"/>
    <col min="13059" max="13059" width="13.44140625" style="411" bestFit="1" customWidth="1"/>
    <col min="13060" max="13060" width="14.33203125" style="411" bestFit="1" customWidth="1"/>
    <col min="13061" max="13062" width="13.33203125" style="411"/>
    <col min="13063" max="13063" width="13.44140625" style="411" bestFit="1" customWidth="1"/>
    <col min="13064" max="13064" width="13.33203125" style="411"/>
    <col min="13065" max="13065" width="13.44140625" style="411" bestFit="1" customWidth="1"/>
    <col min="13066" max="13066" width="13.33203125" style="411"/>
    <col min="13067" max="13069" width="13.44140625" style="411" bestFit="1" customWidth="1"/>
    <col min="13070" max="13070" width="13.33203125" style="411"/>
    <col min="13071" max="13071" width="13.44140625" style="411" bestFit="1" customWidth="1"/>
    <col min="13072" max="13072" width="13.33203125" style="411"/>
    <col min="13073" max="13073" width="14.109375" style="411" bestFit="1" customWidth="1"/>
    <col min="13074" max="13074" width="13.33203125" style="411"/>
    <col min="13075" max="13075" width="13.44140625" style="411" bestFit="1" customWidth="1"/>
    <col min="13076" max="13313" width="13.33203125" style="411"/>
    <col min="13314" max="13314" width="14.44140625" style="411" customWidth="1"/>
    <col min="13315" max="13315" width="13.44140625" style="411" bestFit="1" customWidth="1"/>
    <col min="13316" max="13316" width="14.33203125" style="411" bestFit="1" customWidth="1"/>
    <col min="13317" max="13318" width="13.33203125" style="411"/>
    <col min="13319" max="13319" width="13.44140625" style="411" bestFit="1" customWidth="1"/>
    <col min="13320" max="13320" width="13.33203125" style="411"/>
    <col min="13321" max="13321" width="13.44140625" style="411" bestFit="1" customWidth="1"/>
    <col min="13322" max="13322" width="13.33203125" style="411"/>
    <col min="13323" max="13325" width="13.44140625" style="411" bestFit="1" customWidth="1"/>
    <col min="13326" max="13326" width="13.33203125" style="411"/>
    <col min="13327" max="13327" width="13.44140625" style="411" bestFit="1" customWidth="1"/>
    <col min="13328" max="13328" width="13.33203125" style="411"/>
    <col min="13329" max="13329" width="14.109375" style="411" bestFit="1" customWidth="1"/>
    <col min="13330" max="13330" width="13.33203125" style="411"/>
    <col min="13331" max="13331" width="13.44140625" style="411" bestFit="1" customWidth="1"/>
    <col min="13332" max="13569" width="13.33203125" style="411"/>
    <col min="13570" max="13570" width="14.44140625" style="411" customWidth="1"/>
    <col min="13571" max="13571" width="13.44140625" style="411" bestFit="1" customWidth="1"/>
    <col min="13572" max="13572" width="14.33203125" style="411" bestFit="1" customWidth="1"/>
    <col min="13573" max="13574" width="13.33203125" style="411"/>
    <col min="13575" max="13575" width="13.44140625" style="411" bestFit="1" customWidth="1"/>
    <col min="13576" max="13576" width="13.33203125" style="411"/>
    <col min="13577" max="13577" width="13.44140625" style="411" bestFit="1" customWidth="1"/>
    <col min="13578" max="13578" width="13.33203125" style="411"/>
    <col min="13579" max="13581" width="13.44140625" style="411" bestFit="1" customWidth="1"/>
    <col min="13582" max="13582" width="13.33203125" style="411"/>
    <col min="13583" max="13583" width="13.44140625" style="411" bestFit="1" customWidth="1"/>
    <col min="13584" max="13584" width="13.33203125" style="411"/>
    <col min="13585" max="13585" width="14.109375" style="411" bestFit="1" customWidth="1"/>
    <col min="13586" max="13586" width="13.33203125" style="411"/>
    <col min="13587" max="13587" width="13.44140625" style="411" bestFit="1" customWidth="1"/>
    <col min="13588" max="13825" width="13.33203125" style="411"/>
    <col min="13826" max="13826" width="14.44140625" style="411" customWidth="1"/>
    <col min="13827" max="13827" width="13.44140625" style="411" bestFit="1" customWidth="1"/>
    <col min="13828" max="13828" width="14.33203125" style="411" bestFit="1" customWidth="1"/>
    <col min="13829" max="13830" width="13.33203125" style="411"/>
    <col min="13831" max="13831" width="13.44140625" style="411" bestFit="1" customWidth="1"/>
    <col min="13832" max="13832" width="13.33203125" style="411"/>
    <col min="13833" max="13833" width="13.44140625" style="411" bestFit="1" customWidth="1"/>
    <col min="13834" max="13834" width="13.33203125" style="411"/>
    <col min="13835" max="13837" width="13.44140625" style="411" bestFit="1" customWidth="1"/>
    <col min="13838" max="13838" width="13.33203125" style="411"/>
    <col min="13839" max="13839" width="13.44140625" style="411" bestFit="1" customWidth="1"/>
    <col min="13840" max="13840" width="13.33203125" style="411"/>
    <col min="13841" max="13841" width="14.109375" style="411" bestFit="1" customWidth="1"/>
    <col min="13842" max="13842" width="13.33203125" style="411"/>
    <col min="13843" max="13843" width="13.44140625" style="411" bestFit="1" customWidth="1"/>
    <col min="13844" max="14081" width="13.33203125" style="411"/>
    <col min="14082" max="14082" width="14.44140625" style="411" customWidth="1"/>
    <col min="14083" max="14083" width="13.44140625" style="411" bestFit="1" customWidth="1"/>
    <col min="14084" max="14084" width="14.33203125" style="411" bestFit="1" customWidth="1"/>
    <col min="14085" max="14086" width="13.33203125" style="411"/>
    <col min="14087" max="14087" width="13.44140625" style="411" bestFit="1" customWidth="1"/>
    <col min="14088" max="14088" width="13.33203125" style="411"/>
    <col min="14089" max="14089" width="13.44140625" style="411" bestFit="1" customWidth="1"/>
    <col min="14090" max="14090" width="13.33203125" style="411"/>
    <col min="14091" max="14093" width="13.44140625" style="411" bestFit="1" customWidth="1"/>
    <col min="14094" max="14094" width="13.33203125" style="411"/>
    <col min="14095" max="14095" width="13.44140625" style="411" bestFit="1" customWidth="1"/>
    <col min="14096" max="14096" width="13.33203125" style="411"/>
    <col min="14097" max="14097" width="14.109375" style="411" bestFit="1" customWidth="1"/>
    <col min="14098" max="14098" width="13.33203125" style="411"/>
    <col min="14099" max="14099" width="13.44140625" style="411" bestFit="1" customWidth="1"/>
    <col min="14100" max="14337" width="13.33203125" style="411"/>
    <col min="14338" max="14338" width="14.44140625" style="411" customWidth="1"/>
    <col min="14339" max="14339" width="13.44140625" style="411" bestFit="1" customWidth="1"/>
    <col min="14340" max="14340" width="14.33203125" style="411" bestFit="1" customWidth="1"/>
    <col min="14341" max="14342" width="13.33203125" style="411"/>
    <col min="14343" max="14343" width="13.44140625" style="411" bestFit="1" customWidth="1"/>
    <col min="14344" max="14344" width="13.33203125" style="411"/>
    <col min="14345" max="14345" width="13.44140625" style="411" bestFit="1" customWidth="1"/>
    <col min="14346" max="14346" width="13.33203125" style="411"/>
    <col min="14347" max="14349" width="13.44140625" style="411" bestFit="1" customWidth="1"/>
    <col min="14350" max="14350" width="13.33203125" style="411"/>
    <col min="14351" max="14351" width="13.44140625" style="411" bestFit="1" customWidth="1"/>
    <col min="14352" max="14352" width="13.33203125" style="411"/>
    <col min="14353" max="14353" width="14.109375" style="411" bestFit="1" customWidth="1"/>
    <col min="14354" max="14354" width="13.33203125" style="411"/>
    <col min="14355" max="14355" width="13.44140625" style="411" bestFit="1" customWidth="1"/>
    <col min="14356" max="14593" width="13.33203125" style="411"/>
    <col min="14594" max="14594" width="14.44140625" style="411" customWidth="1"/>
    <col min="14595" max="14595" width="13.44140625" style="411" bestFit="1" customWidth="1"/>
    <col min="14596" max="14596" width="14.33203125" style="411" bestFit="1" customWidth="1"/>
    <col min="14597" max="14598" width="13.33203125" style="411"/>
    <col min="14599" max="14599" width="13.44140625" style="411" bestFit="1" customWidth="1"/>
    <col min="14600" max="14600" width="13.33203125" style="411"/>
    <col min="14601" max="14601" width="13.44140625" style="411" bestFit="1" customWidth="1"/>
    <col min="14602" max="14602" width="13.33203125" style="411"/>
    <col min="14603" max="14605" width="13.44140625" style="411" bestFit="1" customWidth="1"/>
    <col min="14606" max="14606" width="13.33203125" style="411"/>
    <col min="14607" max="14607" width="13.44140625" style="411" bestFit="1" customWidth="1"/>
    <col min="14608" max="14608" width="13.33203125" style="411"/>
    <col min="14609" max="14609" width="14.109375" style="411" bestFit="1" customWidth="1"/>
    <col min="14610" max="14610" width="13.33203125" style="411"/>
    <col min="14611" max="14611" width="13.44140625" style="411" bestFit="1" customWidth="1"/>
    <col min="14612" max="14849" width="13.33203125" style="411"/>
    <col min="14850" max="14850" width="14.44140625" style="411" customWidth="1"/>
    <col min="14851" max="14851" width="13.44140625" style="411" bestFit="1" customWidth="1"/>
    <col min="14852" max="14852" width="14.33203125" style="411" bestFit="1" customWidth="1"/>
    <col min="14853" max="14854" width="13.33203125" style="411"/>
    <col min="14855" max="14855" width="13.44140625" style="411" bestFit="1" customWidth="1"/>
    <col min="14856" max="14856" width="13.33203125" style="411"/>
    <col min="14857" max="14857" width="13.44140625" style="411" bestFit="1" customWidth="1"/>
    <col min="14858" max="14858" width="13.33203125" style="411"/>
    <col min="14859" max="14861" width="13.44140625" style="411" bestFit="1" customWidth="1"/>
    <col min="14862" max="14862" width="13.33203125" style="411"/>
    <col min="14863" max="14863" width="13.44140625" style="411" bestFit="1" customWidth="1"/>
    <col min="14864" max="14864" width="13.33203125" style="411"/>
    <col min="14865" max="14865" width="14.109375" style="411" bestFit="1" customWidth="1"/>
    <col min="14866" max="14866" width="13.33203125" style="411"/>
    <col min="14867" max="14867" width="13.44140625" style="411" bestFit="1" customWidth="1"/>
    <col min="14868" max="15105" width="13.33203125" style="411"/>
    <col min="15106" max="15106" width="14.44140625" style="411" customWidth="1"/>
    <col min="15107" max="15107" width="13.44140625" style="411" bestFit="1" customWidth="1"/>
    <col min="15108" max="15108" width="14.33203125" style="411" bestFit="1" customWidth="1"/>
    <col min="15109" max="15110" width="13.33203125" style="411"/>
    <col min="15111" max="15111" width="13.44140625" style="411" bestFit="1" customWidth="1"/>
    <col min="15112" max="15112" width="13.33203125" style="411"/>
    <col min="15113" max="15113" width="13.44140625" style="411" bestFit="1" customWidth="1"/>
    <col min="15114" max="15114" width="13.33203125" style="411"/>
    <col min="15115" max="15117" width="13.44140625" style="411" bestFit="1" customWidth="1"/>
    <col min="15118" max="15118" width="13.33203125" style="411"/>
    <col min="15119" max="15119" width="13.44140625" style="411" bestFit="1" customWidth="1"/>
    <col min="15120" max="15120" width="13.33203125" style="411"/>
    <col min="15121" max="15121" width="14.109375" style="411" bestFit="1" customWidth="1"/>
    <col min="15122" max="15122" width="13.33203125" style="411"/>
    <col min="15123" max="15123" width="13.44140625" style="411" bestFit="1" customWidth="1"/>
    <col min="15124" max="15361" width="13.33203125" style="411"/>
    <col min="15362" max="15362" width="14.44140625" style="411" customWidth="1"/>
    <col min="15363" max="15363" width="13.44140625" style="411" bestFit="1" customWidth="1"/>
    <col min="15364" max="15364" width="14.33203125" style="411" bestFit="1" customWidth="1"/>
    <col min="15365" max="15366" width="13.33203125" style="411"/>
    <col min="15367" max="15367" width="13.44140625" style="411" bestFit="1" customWidth="1"/>
    <col min="15368" max="15368" width="13.33203125" style="411"/>
    <col min="15369" max="15369" width="13.44140625" style="411" bestFit="1" customWidth="1"/>
    <col min="15370" max="15370" width="13.33203125" style="411"/>
    <col min="15371" max="15373" width="13.44140625" style="411" bestFit="1" customWidth="1"/>
    <col min="15374" max="15374" width="13.33203125" style="411"/>
    <col min="15375" max="15375" width="13.44140625" style="411" bestFit="1" customWidth="1"/>
    <col min="15376" max="15376" width="13.33203125" style="411"/>
    <col min="15377" max="15377" width="14.109375" style="411" bestFit="1" customWidth="1"/>
    <col min="15378" max="15378" width="13.33203125" style="411"/>
    <col min="15379" max="15379" width="13.44140625" style="411" bestFit="1" customWidth="1"/>
    <col min="15380" max="15617" width="13.33203125" style="411"/>
    <col min="15618" max="15618" width="14.44140625" style="411" customWidth="1"/>
    <col min="15619" max="15619" width="13.44140625" style="411" bestFit="1" customWidth="1"/>
    <col min="15620" max="15620" width="14.33203125" style="411" bestFit="1" customWidth="1"/>
    <col min="15621" max="15622" width="13.33203125" style="411"/>
    <col min="15623" max="15623" width="13.44140625" style="411" bestFit="1" customWidth="1"/>
    <col min="15624" max="15624" width="13.33203125" style="411"/>
    <col min="15625" max="15625" width="13.44140625" style="411" bestFit="1" customWidth="1"/>
    <col min="15626" max="15626" width="13.33203125" style="411"/>
    <col min="15627" max="15629" width="13.44140625" style="411" bestFit="1" customWidth="1"/>
    <col min="15630" max="15630" width="13.33203125" style="411"/>
    <col min="15631" max="15631" width="13.44140625" style="411" bestFit="1" customWidth="1"/>
    <col min="15632" max="15632" width="13.33203125" style="411"/>
    <col min="15633" max="15633" width="14.109375" style="411" bestFit="1" customWidth="1"/>
    <col min="15634" max="15634" width="13.33203125" style="411"/>
    <col min="15635" max="15635" width="13.44140625" style="411" bestFit="1" customWidth="1"/>
    <col min="15636" max="15873" width="13.33203125" style="411"/>
    <col min="15874" max="15874" width="14.44140625" style="411" customWidth="1"/>
    <col min="15875" max="15875" width="13.44140625" style="411" bestFit="1" customWidth="1"/>
    <col min="15876" max="15876" width="14.33203125" style="411" bestFit="1" customWidth="1"/>
    <col min="15877" max="15878" width="13.33203125" style="411"/>
    <col min="15879" max="15879" width="13.44140625" style="411" bestFit="1" customWidth="1"/>
    <col min="15880" max="15880" width="13.33203125" style="411"/>
    <col min="15881" max="15881" width="13.44140625" style="411" bestFit="1" customWidth="1"/>
    <col min="15882" max="15882" width="13.33203125" style="411"/>
    <col min="15883" max="15885" width="13.44140625" style="411" bestFit="1" customWidth="1"/>
    <col min="15886" max="15886" width="13.33203125" style="411"/>
    <col min="15887" max="15887" width="13.44140625" style="411" bestFit="1" customWidth="1"/>
    <col min="15888" max="15888" width="13.33203125" style="411"/>
    <col min="15889" max="15889" width="14.109375" style="411" bestFit="1" customWidth="1"/>
    <col min="15890" max="15890" width="13.33203125" style="411"/>
    <col min="15891" max="15891" width="13.44140625" style="411" bestFit="1" customWidth="1"/>
    <col min="15892" max="16129" width="13.33203125" style="411"/>
    <col min="16130" max="16130" width="14.44140625" style="411" customWidth="1"/>
    <col min="16131" max="16131" width="13.44140625" style="411" bestFit="1" customWidth="1"/>
    <col min="16132" max="16132" width="14.33203125" style="411" bestFit="1" customWidth="1"/>
    <col min="16133" max="16134" width="13.33203125" style="411"/>
    <col min="16135" max="16135" width="13.44140625" style="411" bestFit="1" customWidth="1"/>
    <col min="16136" max="16136" width="13.33203125" style="411"/>
    <col min="16137" max="16137" width="13.44140625" style="411" bestFit="1" customWidth="1"/>
    <col min="16138" max="16138" width="13.33203125" style="411"/>
    <col min="16139" max="16141" width="13.44140625" style="411" bestFit="1" customWidth="1"/>
    <col min="16142" max="16142" width="13.33203125" style="411"/>
    <col min="16143" max="16143" width="13.44140625" style="411" bestFit="1" customWidth="1"/>
    <col min="16144" max="16144" width="13.33203125" style="411"/>
    <col min="16145" max="16145" width="14.109375" style="411" bestFit="1" customWidth="1"/>
    <col min="16146" max="16146" width="13.33203125" style="411"/>
    <col min="16147" max="16147" width="13.44140625" style="411" bestFit="1" customWidth="1"/>
    <col min="16148" max="16384" width="13.33203125" style="411"/>
  </cols>
  <sheetData>
    <row r="1" spans="1:47" ht="15.75">
      <c r="B1" s="257"/>
      <c r="AA1" s="3" t="str">
        <f>'Attachment H-11A '!K1&amp;""&amp;", Attachment 10"</f>
        <v>Attachment H -11A, Attachment 10</v>
      </c>
    </row>
    <row r="2" spans="1:47" ht="15.75">
      <c r="B2" s="257"/>
      <c r="AA2" s="16" t="s">
        <v>168</v>
      </c>
    </row>
    <row r="3" spans="1:47" ht="18">
      <c r="B3" s="257"/>
      <c r="M3" s="256" t="s">
        <v>501</v>
      </c>
      <c r="AA3" s="16" t="str">
        <f>'Attachment H-11A '!K4</f>
        <v>For the 12 months ended 12/31/2023</v>
      </c>
    </row>
    <row r="4" spans="1:47" ht="15.75">
      <c r="B4" s="258"/>
    </row>
    <row r="5" spans="1:47" ht="15.75">
      <c r="A5" s="412"/>
      <c r="B5" s="259" t="s">
        <v>353</v>
      </c>
      <c r="C5" s="259"/>
      <c r="D5" s="259"/>
      <c r="E5" s="259"/>
      <c r="F5" s="259"/>
      <c r="G5" s="259"/>
      <c r="H5" s="259"/>
      <c r="I5" s="259"/>
      <c r="J5" s="259"/>
      <c r="K5" s="259"/>
      <c r="L5" s="259"/>
      <c r="M5" s="259"/>
      <c r="N5" s="259"/>
      <c r="O5" s="259"/>
      <c r="P5" s="259"/>
      <c r="Q5" s="259"/>
      <c r="R5" s="259"/>
      <c r="S5" s="259"/>
      <c r="T5" s="259"/>
      <c r="U5" s="259"/>
      <c r="V5" s="259"/>
      <c r="W5" s="259"/>
      <c r="X5" s="259"/>
      <c r="Y5" s="413"/>
      <c r="Z5" s="258"/>
    </row>
    <row r="6" spans="1:47" ht="15.75">
      <c r="A6" s="414"/>
      <c r="C6" s="258"/>
      <c r="D6" s="258"/>
      <c r="E6" s="258"/>
      <c r="F6" s="258"/>
      <c r="G6" s="415"/>
      <c r="H6" s="415"/>
      <c r="I6" s="415"/>
      <c r="J6" s="415"/>
      <c r="K6" s="258"/>
      <c r="L6" s="258"/>
      <c r="M6" s="258"/>
      <c r="N6" s="258"/>
      <c r="O6" s="258"/>
      <c r="P6" s="258"/>
      <c r="Q6" s="258"/>
      <c r="R6" s="258"/>
      <c r="S6" s="258"/>
      <c r="T6" s="258"/>
      <c r="U6" s="258"/>
      <c r="V6" s="258"/>
      <c r="W6" s="258"/>
      <c r="X6" s="258"/>
      <c r="Y6" s="416"/>
      <c r="Z6" s="258"/>
    </row>
    <row r="7" spans="1:47" ht="15.75">
      <c r="A7" s="414"/>
      <c r="B7" s="258" t="s">
        <v>354</v>
      </c>
      <c r="C7" s="258"/>
      <c r="D7" s="258"/>
      <c r="E7" s="258"/>
      <c r="F7" s="258"/>
      <c r="G7" s="415"/>
      <c r="H7" s="415"/>
      <c r="I7" s="415"/>
      <c r="J7" s="415"/>
      <c r="K7" s="258"/>
      <c r="L7" s="258"/>
      <c r="M7" s="258"/>
      <c r="N7" s="258"/>
      <c r="O7" s="258"/>
      <c r="P7" s="258"/>
      <c r="Q7" s="258"/>
      <c r="R7" s="258"/>
      <c r="S7" s="258"/>
      <c r="T7" s="258"/>
      <c r="U7" s="258"/>
      <c r="V7" s="258"/>
      <c r="W7" s="258"/>
      <c r="X7" s="258"/>
      <c r="Y7" s="416"/>
      <c r="Z7" s="258"/>
    </row>
    <row r="8" spans="1:47" ht="16.5" thickBot="1">
      <c r="A8" s="414"/>
      <c r="D8" s="258"/>
      <c r="E8" s="258"/>
      <c r="F8" s="258"/>
      <c r="G8" s="415"/>
      <c r="H8" s="415"/>
      <c r="I8" s="415"/>
      <c r="J8" s="415"/>
      <c r="K8" s="258"/>
      <c r="L8" s="258"/>
      <c r="M8" s="258"/>
      <c r="N8" s="258"/>
      <c r="O8" s="258"/>
      <c r="P8" s="258"/>
      <c r="Q8" s="258"/>
      <c r="R8" s="258"/>
      <c r="S8" s="258"/>
      <c r="T8" s="258"/>
      <c r="U8" s="258"/>
      <c r="V8" s="258"/>
      <c r="W8" s="258"/>
      <c r="X8" s="258"/>
      <c r="Y8" s="416"/>
      <c r="Z8" s="258"/>
    </row>
    <row r="9" spans="1:47" ht="16.5" thickBot="1">
      <c r="A9" s="414"/>
      <c r="B9" s="417" t="s">
        <v>355</v>
      </c>
      <c r="C9" s="418" t="str">
        <f>MID(AA3,25,10)</f>
        <v>12/31/2023</v>
      </c>
      <c r="D9" s="258"/>
      <c r="E9" s="258"/>
      <c r="F9" s="258"/>
      <c r="G9" s="258"/>
      <c r="H9" s="258"/>
      <c r="J9" s="258"/>
      <c r="K9" s="419"/>
      <c r="L9" s="258"/>
      <c r="M9" s="258"/>
      <c r="N9" s="258"/>
      <c r="O9" s="258"/>
      <c r="P9" s="258"/>
      <c r="Q9" s="258"/>
      <c r="R9" s="258"/>
      <c r="S9" s="258"/>
      <c r="T9" s="258"/>
      <c r="U9" s="258"/>
      <c r="V9" s="258"/>
      <c r="W9" s="258"/>
      <c r="X9" s="258"/>
      <c r="Y9" s="416"/>
      <c r="Z9" s="258"/>
    </row>
    <row r="10" spans="1:47" ht="15.75">
      <c r="A10" s="414"/>
      <c r="B10" s="415"/>
      <c r="C10" s="258"/>
      <c r="E10" s="258"/>
      <c r="F10" s="258"/>
      <c r="H10" s="258"/>
      <c r="I10" s="258"/>
      <c r="J10" s="258"/>
      <c r="K10" s="419"/>
      <c r="L10" s="258"/>
      <c r="M10" s="258"/>
      <c r="N10" s="258"/>
      <c r="O10" s="258"/>
      <c r="P10" s="258"/>
      <c r="Q10" s="258"/>
      <c r="R10" s="258"/>
      <c r="S10" s="258"/>
      <c r="T10" s="258"/>
      <c r="U10" s="258"/>
      <c r="V10" s="258"/>
      <c r="W10" s="258"/>
      <c r="X10" s="258"/>
      <c r="Y10" s="416"/>
      <c r="Z10" s="258"/>
    </row>
    <row r="11" spans="1:47" s="260" customFormat="1" ht="15.75">
      <c r="A11" s="420"/>
      <c r="D11" s="260" t="s">
        <v>237</v>
      </c>
      <c r="G11" s="260" t="s">
        <v>238</v>
      </c>
      <c r="I11" s="260" t="s">
        <v>356</v>
      </c>
      <c r="K11" s="260" t="s">
        <v>240</v>
      </c>
      <c r="M11" s="421" t="s">
        <v>241</v>
      </c>
      <c r="O11" s="421" t="s">
        <v>242</v>
      </c>
      <c r="Q11" s="260" t="s">
        <v>243</v>
      </c>
      <c r="S11" s="260" t="s">
        <v>244</v>
      </c>
      <c r="U11" s="260" t="s">
        <v>245</v>
      </c>
      <c r="W11" s="260" t="s">
        <v>246</v>
      </c>
      <c r="Y11" s="422"/>
    </row>
    <row r="12" spans="1:47" ht="15.75">
      <c r="A12" s="414"/>
      <c r="B12" s="423"/>
      <c r="N12" s="423"/>
      <c r="S12" s="424"/>
      <c r="X12" s="424"/>
      <c r="Y12" s="425"/>
      <c r="AE12" s="426"/>
      <c r="AK12" s="427"/>
      <c r="AL12" s="423"/>
      <c r="AM12" s="423"/>
      <c r="AN12" s="423"/>
      <c r="AO12" s="423"/>
      <c r="AP12" s="423"/>
      <c r="AQ12" s="423"/>
      <c r="AR12" s="423"/>
      <c r="AS12" s="423"/>
      <c r="AT12" s="1138"/>
      <c r="AU12" s="1138"/>
    </row>
    <row r="13" spans="1:47" ht="15.75">
      <c r="A13" s="414"/>
      <c r="M13" s="423" t="s">
        <v>357</v>
      </c>
      <c r="N13" s="423"/>
      <c r="Q13" s="423" t="s">
        <v>358</v>
      </c>
      <c r="S13" s="424"/>
      <c r="W13" s="423" t="s">
        <v>92</v>
      </c>
      <c r="X13" s="424"/>
      <c r="Y13" s="425"/>
      <c r="AE13" s="426"/>
      <c r="AK13" s="427"/>
      <c r="AL13" s="423"/>
      <c r="AM13" s="423"/>
      <c r="AN13" s="423"/>
      <c r="AO13" s="423"/>
      <c r="AP13" s="423"/>
      <c r="AQ13" s="423"/>
      <c r="AR13" s="423"/>
      <c r="AS13" s="423"/>
      <c r="AT13" s="423"/>
      <c r="AU13" s="423"/>
    </row>
    <row r="14" spans="1:47" ht="15.75">
      <c r="A14" s="414"/>
      <c r="B14" s="258"/>
      <c r="G14" s="423"/>
      <c r="H14" s="423"/>
      <c r="I14" s="423"/>
      <c r="J14" s="423"/>
      <c r="K14" s="423"/>
      <c r="L14" s="423"/>
      <c r="M14" s="423" t="s">
        <v>8</v>
      </c>
      <c r="N14" s="423"/>
      <c r="O14" s="423" t="s">
        <v>253</v>
      </c>
      <c r="P14" s="423"/>
      <c r="Q14" s="423" t="s">
        <v>359</v>
      </c>
      <c r="R14" s="423"/>
      <c r="S14" s="423" t="s">
        <v>92</v>
      </c>
      <c r="T14" s="423"/>
      <c r="U14" s="423" t="s">
        <v>360</v>
      </c>
      <c r="V14" s="423"/>
      <c r="W14" s="423" t="s">
        <v>361</v>
      </c>
      <c r="Y14" s="425"/>
      <c r="AE14" s="426"/>
      <c r="AK14" s="428"/>
      <c r="AL14" s="429"/>
      <c r="AM14" s="429"/>
      <c r="AN14" s="429"/>
      <c r="AO14" s="429"/>
      <c r="AP14" s="429"/>
      <c r="AQ14" s="429"/>
      <c r="AR14" s="429"/>
      <c r="AS14" s="429"/>
      <c r="AT14" s="429"/>
      <c r="AU14" s="429"/>
    </row>
    <row r="15" spans="1:47" ht="15.75">
      <c r="A15" s="414"/>
      <c r="B15" s="258"/>
      <c r="E15" s="423"/>
      <c r="F15" s="423"/>
      <c r="G15" s="423"/>
      <c r="H15" s="423"/>
      <c r="I15" s="423" t="s">
        <v>362</v>
      </c>
      <c r="J15" s="423"/>
      <c r="K15" s="423" t="s">
        <v>363</v>
      </c>
      <c r="L15" s="423"/>
      <c r="M15" s="423" t="s">
        <v>359</v>
      </c>
      <c r="N15" s="423"/>
      <c r="O15" s="423" t="s">
        <v>359</v>
      </c>
      <c r="P15" s="423"/>
      <c r="Q15" s="423" t="s">
        <v>364</v>
      </c>
      <c r="R15" s="423"/>
      <c r="S15" s="423" t="s">
        <v>359</v>
      </c>
      <c r="T15" s="423"/>
      <c r="U15" s="423" t="s">
        <v>365</v>
      </c>
      <c r="V15" s="423"/>
      <c r="W15" s="423" t="s">
        <v>366</v>
      </c>
      <c r="Y15" s="425"/>
      <c r="AE15" s="426"/>
      <c r="AK15" s="430"/>
      <c r="AL15" s="431"/>
      <c r="AM15" s="431"/>
      <c r="AN15" s="431"/>
      <c r="AO15" s="431"/>
      <c r="AP15" s="431"/>
      <c r="AQ15" s="431"/>
      <c r="AR15" s="431"/>
      <c r="AS15" s="431"/>
      <c r="AT15" s="431"/>
      <c r="AU15" s="431"/>
    </row>
    <row r="16" spans="1:47" ht="15.75">
      <c r="A16" s="414"/>
      <c r="C16" s="260" t="s">
        <v>367</v>
      </c>
      <c r="D16" s="423" t="s">
        <v>368</v>
      </c>
      <c r="E16" s="423"/>
      <c r="F16" s="423"/>
      <c r="G16" s="423" t="s">
        <v>369</v>
      </c>
      <c r="H16" s="423"/>
      <c r="I16" s="423" t="s">
        <v>370</v>
      </c>
      <c r="J16" s="423"/>
      <c r="K16" s="423" t="s">
        <v>371</v>
      </c>
      <c r="L16" s="423"/>
      <c r="M16" s="423" t="s">
        <v>372</v>
      </c>
      <c r="N16" s="423"/>
      <c r="O16" s="423" t="s">
        <v>372</v>
      </c>
      <c r="P16" s="423"/>
      <c r="Q16" s="423" t="s">
        <v>373</v>
      </c>
      <c r="R16" s="423"/>
      <c r="S16" s="423" t="s">
        <v>374</v>
      </c>
      <c r="T16" s="423"/>
      <c r="U16" s="411" t="s">
        <v>1148</v>
      </c>
      <c r="V16" s="423"/>
      <c r="W16" s="423" t="s">
        <v>375</v>
      </c>
      <c r="Y16" s="425"/>
      <c r="AK16" s="430"/>
      <c r="AL16" s="431"/>
      <c r="AM16" s="431"/>
      <c r="AN16" s="431"/>
      <c r="AO16" s="431"/>
      <c r="AP16" s="431"/>
      <c r="AQ16" s="431"/>
      <c r="AR16" s="431"/>
      <c r="AS16" s="431"/>
      <c r="AT16" s="431"/>
      <c r="AU16" s="431"/>
    </row>
    <row r="17" spans="1:47" ht="15.75">
      <c r="A17" s="414"/>
      <c r="B17" s="261" t="s">
        <v>376</v>
      </c>
      <c r="C17" s="432" t="str">
        <f>C40</f>
        <v>12/31/2023</v>
      </c>
      <c r="E17" s="423"/>
      <c r="F17" s="423"/>
      <c r="G17" s="423"/>
      <c r="H17" s="423"/>
      <c r="I17" s="423" t="s">
        <v>523</v>
      </c>
      <c r="J17" s="423"/>
      <c r="K17" s="423" t="s">
        <v>1147</v>
      </c>
      <c r="L17" s="423"/>
      <c r="M17" s="423"/>
      <c r="N17" s="423"/>
      <c r="O17" s="423"/>
      <c r="P17" s="423"/>
      <c r="Q17" s="423" t="s">
        <v>525</v>
      </c>
      <c r="R17" s="423"/>
      <c r="S17" s="423" t="s">
        <v>524</v>
      </c>
      <c r="T17" s="423"/>
      <c r="U17" s="423"/>
      <c r="V17" s="423"/>
      <c r="Y17" s="425"/>
      <c r="AK17" s="430"/>
      <c r="AL17" s="431"/>
      <c r="AM17" s="431"/>
      <c r="AN17" s="431"/>
      <c r="AO17" s="431"/>
      <c r="AP17" s="431"/>
      <c r="AQ17" s="431"/>
      <c r="AR17" s="431"/>
      <c r="AS17" s="431"/>
      <c r="AT17" s="431"/>
      <c r="AU17" s="431"/>
    </row>
    <row r="18" spans="1:47">
      <c r="A18" s="414"/>
      <c r="B18" s="433" t="s">
        <v>377</v>
      </c>
      <c r="E18" s="434"/>
      <c r="F18" s="434"/>
      <c r="G18" s="434"/>
      <c r="H18" s="434"/>
      <c r="I18" s="434"/>
      <c r="J18" s="434"/>
      <c r="K18" s="434"/>
      <c r="L18" s="434"/>
      <c r="M18" s="434"/>
      <c r="N18" s="434"/>
      <c r="O18" s="423"/>
      <c r="P18" s="434"/>
      <c r="Q18" s="434"/>
      <c r="R18" s="434"/>
      <c r="S18" s="423"/>
      <c r="T18" s="423"/>
      <c r="U18" s="423"/>
      <c r="V18" s="423"/>
      <c r="Y18" s="425"/>
      <c r="AK18" s="430"/>
      <c r="AL18" s="431"/>
      <c r="AM18" s="431"/>
      <c r="AN18" s="431"/>
      <c r="AO18" s="431"/>
      <c r="AP18" s="431"/>
      <c r="AQ18" s="431"/>
      <c r="AR18" s="431"/>
      <c r="AS18" s="431"/>
      <c r="AT18" s="431"/>
      <c r="AU18" s="431"/>
    </row>
    <row r="19" spans="1:47">
      <c r="A19" s="679" t="s">
        <v>18</v>
      </c>
      <c r="B19" s="493" t="s">
        <v>1366</v>
      </c>
      <c r="C19" s="503"/>
      <c r="D19" s="501">
        <v>41605</v>
      </c>
      <c r="E19" s="504"/>
      <c r="F19" s="504"/>
      <c r="G19" s="501">
        <v>45397</v>
      </c>
      <c r="H19" s="434"/>
      <c r="I19" s="436">
        <f>I47</f>
        <v>400000000</v>
      </c>
      <c r="J19" s="436"/>
      <c r="K19" s="436">
        <f>S47</f>
        <v>396293412</v>
      </c>
      <c r="L19" s="436"/>
      <c r="M19" s="437">
        <v>399896387.57172996</v>
      </c>
      <c r="N19" s="504"/>
      <c r="O19" s="995">
        <v>12</v>
      </c>
      <c r="P19" s="434"/>
      <c r="Q19" s="438">
        <f>M19*O19/12</f>
        <v>399896387.57172996</v>
      </c>
      <c r="R19" s="434"/>
      <c r="S19" s="439">
        <f t="shared" ref="S19:S25" si="0">+Q19/$Q$26</f>
        <v>0.2262891730268925</v>
      </c>
      <c r="U19" s="439">
        <f>AA47</f>
        <v>4.2106340088779906E-2</v>
      </c>
      <c r="W19" s="439">
        <f>+S19*U19</f>
        <v>9.5282088778790956E-3</v>
      </c>
      <c r="Y19" s="425"/>
      <c r="Z19" s="440"/>
      <c r="AK19" s="430"/>
      <c r="AL19" s="431"/>
      <c r="AM19" s="431"/>
      <c r="AN19" s="431"/>
      <c r="AO19" s="431"/>
      <c r="AP19" s="431"/>
      <c r="AQ19" s="431"/>
      <c r="AR19" s="431"/>
      <c r="AS19" s="431"/>
      <c r="AT19" s="431"/>
      <c r="AU19" s="431"/>
    </row>
    <row r="20" spans="1:47">
      <c r="A20" s="679" t="s">
        <v>19</v>
      </c>
      <c r="B20" s="493" t="s">
        <v>1367</v>
      </c>
      <c r="C20" s="505"/>
      <c r="D20" s="501">
        <v>41605</v>
      </c>
      <c r="E20" s="442"/>
      <c r="F20" s="442"/>
      <c r="G20" s="501">
        <v>52580</v>
      </c>
      <c r="H20" s="442"/>
      <c r="I20" s="446">
        <f>I48</f>
        <v>600000000</v>
      </c>
      <c r="J20" s="446"/>
      <c r="K20" s="436">
        <f>S48</f>
        <v>592832162</v>
      </c>
      <c r="L20" s="446"/>
      <c r="M20" s="508">
        <v>595204627.44501269</v>
      </c>
      <c r="N20" s="506"/>
      <c r="O20" s="995">
        <v>12</v>
      </c>
      <c r="P20" s="443"/>
      <c r="Q20" s="438">
        <f t="shared" ref="Q20:Q25" si="1">M20*O20/12</f>
        <v>595204627.44501269</v>
      </c>
      <c r="R20" s="443"/>
      <c r="S20" s="439">
        <f t="shared" si="0"/>
        <v>0.33680815109176832</v>
      </c>
      <c r="T20" s="441"/>
      <c r="U20" s="439">
        <f>AA48</f>
        <v>5.4813132823697153E-2</v>
      </c>
      <c r="V20" s="441"/>
      <c r="W20" s="439">
        <f t="shared" ref="W20:W25" si="2">+S20*U20</f>
        <v>1.8461509921896956E-2</v>
      </c>
      <c r="X20" s="441"/>
      <c r="Y20" s="425"/>
      <c r="Z20" s="440"/>
      <c r="AK20" s="430"/>
      <c r="AL20" s="431"/>
      <c r="AM20" s="431"/>
      <c r="AN20" s="431"/>
      <c r="AO20" s="431"/>
      <c r="AP20" s="431"/>
      <c r="AQ20" s="431"/>
      <c r="AR20" s="431"/>
      <c r="AS20" s="431"/>
      <c r="AT20" s="431"/>
      <c r="AU20" s="431"/>
    </row>
    <row r="21" spans="1:47">
      <c r="A21" s="679" t="s">
        <v>20</v>
      </c>
      <c r="B21" s="493" t="s">
        <v>1368</v>
      </c>
      <c r="C21" s="500"/>
      <c r="D21" s="501">
        <v>42871</v>
      </c>
      <c r="E21" s="500"/>
      <c r="F21" s="500"/>
      <c r="G21" s="501">
        <v>46522</v>
      </c>
      <c r="H21" s="445"/>
      <c r="I21" s="446">
        <f>I49</f>
        <v>250000000</v>
      </c>
      <c r="J21" s="446"/>
      <c r="K21" s="436">
        <f>S49</f>
        <v>247368784</v>
      </c>
      <c r="L21" s="446"/>
      <c r="M21" s="437">
        <v>249112838.42892358</v>
      </c>
      <c r="N21" s="504"/>
      <c r="O21" s="995">
        <v>12</v>
      </c>
      <c r="P21" s="447"/>
      <c r="Q21" s="438">
        <f t="shared" si="1"/>
        <v>249112838.42892358</v>
      </c>
      <c r="R21" s="447"/>
      <c r="S21" s="439">
        <f t="shared" si="0"/>
        <v>0.14096535990426162</v>
      </c>
      <c r="U21" s="439">
        <f>AA49</f>
        <v>3.6767525709496547E-2</v>
      </c>
      <c r="W21" s="439">
        <f t="shared" si="2"/>
        <v>5.1829474944283726E-3</v>
      </c>
      <c r="Y21" s="425"/>
      <c r="AK21" s="430"/>
      <c r="AL21" s="431"/>
      <c r="AM21" s="431"/>
      <c r="AN21" s="431"/>
      <c r="AO21" s="431"/>
      <c r="AP21" s="431"/>
      <c r="AQ21" s="431"/>
      <c r="AR21" s="431"/>
      <c r="AS21" s="431"/>
      <c r="AT21" s="431"/>
      <c r="AU21" s="431"/>
    </row>
    <row r="22" spans="1:47">
      <c r="A22" s="679" t="s">
        <v>21</v>
      </c>
      <c r="B22" s="493" t="s">
        <v>1369</v>
      </c>
      <c r="C22" s="500"/>
      <c r="D22" s="501">
        <v>43783</v>
      </c>
      <c r="E22" s="500"/>
      <c r="F22" s="500"/>
      <c r="G22" s="501">
        <v>47437</v>
      </c>
      <c r="H22" s="440"/>
      <c r="I22" s="446">
        <f>I50</f>
        <v>155000000</v>
      </c>
      <c r="J22" s="446"/>
      <c r="K22" s="436">
        <f>S50</f>
        <v>154413237</v>
      </c>
      <c r="L22" s="446"/>
      <c r="M22" s="437">
        <v>154655393.15873015</v>
      </c>
      <c r="N22" s="506"/>
      <c r="O22" s="995">
        <v>12</v>
      </c>
      <c r="P22" s="434"/>
      <c r="Q22" s="438">
        <f t="shared" si="1"/>
        <v>154655393.15873015</v>
      </c>
      <c r="R22" s="434"/>
      <c r="S22" s="439">
        <f t="shared" si="0"/>
        <v>8.7514771600082392E-2</v>
      </c>
      <c r="U22" s="439">
        <f>AA50</f>
        <v>3.2746788845760377E-2</v>
      </c>
      <c r="W22" s="439">
        <f t="shared" si="2"/>
        <v>2.865827746472845E-3</v>
      </c>
      <c r="Y22" s="425"/>
      <c r="AK22" s="430"/>
      <c r="AL22" s="431"/>
      <c r="AM22" s="431"/>
      <c r="AN22" s="431"/>
      <c r="AO22" s="431"/>
      <c r="AP22" s="431"/>
      <c r="AQ22" s="431"/>
      <c r="AR22" s="431"/>
      <c r="AS22" s="431"/>
      <c r="AT22" s="431"/>
      <c r="AU22" s="431"/>
    </row>
    <row r="23" spans="1:47">
      <c r="A23" s="679" t="s">
        <v>22</v>
      </c>
      <c r="B23" s="493" t="s">
        <v>1370</v>
      </c>
      <c r="C23" s="500"/>
      <c r="D23" s="501">
        <v>43783</v>
      </c>
      <c r="E23" s="500"/>
      <c r="F23" s="500"/>
      <c r="G23" s="501">
        <v>54742</v>
      </c>
      <c r="H23" s="440"/>
      <c r="I23" s="446">
        <f t="shared" ref="I23:I24" si="3">I51</f>
        <v>45000000</v>
      </c>
      <c r="J23" s="446"/>
      <c r="K23" s="436">
        <f t="shared" ref="K23:K24" si="4">S51</f>
        <v>44413237</v>
      </c>
      <c r="L23" s="446"/>
      <c r="M23" s="437">
        <v>44493977.816132858</v>
      </c>
      <c r="N23" s="506"/>
      <c r="O23" s="995">
        <v>12</v>
      </c>
      <c r="P23" s="434"/>
      <c r="Q23" s="438">
        <f t="shared" si="1"/>
        <v>44493977.816132858</v>
      </c>
      <c r="R23" s="434"/>
      <c r="S23" s="439">
        <f t="shared" si="0"/>
        <v>2.5177785440443877E-2</v>
      </c>
      <c r="U23" s="439">
        <f>AA51</f>
        <v>4.0050582378275183E-2</v>
      </c>
      <c r="W23" s="439">
        <f t="shared" si="2"/>
        <v>1.0083849698850351E-3</v>
      </c>
      <c r="Y23" s="425"/>
      <c r="AK23" s="430"/>
      <c r="AL23" s="431"/>
      <c r="AM23" s="431"/>
      <c r="AN23" s="431"/>
      <c r="AO23" s="431"/>
      <c r="AP23" s="431"/>
      <c r="AQ23" s="431"/>
      <c r="AR23" s="431"/>
      <c r="AS23" s="431"/>
      <c r="AT23" s="431"/>
      <c r="AU23" s="431"/>
    </row>
    <row r="24" spans="1:47">
      <c r="A24" s="679" t="s">
        <v>23</v>
      </c>
      <c r="B24" s="493" t="s">
        <v>1368</v>
      </c>
      <c r="C24" s="500"/>
      <c r="D24" s="501">
        <v>44295</v>
      </c>
      <c r="E24" s="500"/>
      <c r="F24" s="500"/>
      <c r="G24" s="501">
        <v>46522</v>
      </c>
      <c r="H24" s="440"/>
      <c r="I24" s="446">
        <f t="shared" si="3"/>
        <v>200000000</v>
      </c>
      <c r="J24" s="446"/>
      <c r="K24" s="436">
        <f t="shared" si="4"/>
        <v>214302219</v>
      </c>
      <c r="L24" s="446"/>
      <c r="M24" s="437">
        <v>207905716.92366412</v>
      </c>
      <c r="N24" s="506"/>
      <c r="O24" s="995">
        <v>12</v>
      </c>
      <c r="P24" s="434"/>
      <c r="Q24" s="438">
        <f t="shared" si="1"/>
        <v>207905716.92366412</v>
      </c>
      <c r="R24" s="434"/>
      <c r="S24" s="439">
        <f t="shared" si="0"/>
        <v>0.11764750623505023</v>
      </c>
      <c r="U24" s="439">
        <f t="shared" ref="U24:U25" si="5">AA52</f>
        <v>2.2870468120259928E-2</v>
      </c>
      <c r="W24" s="439">
        <f t="shared" si="2"/>
        <v>2.6906535407767974E-3</v>
      </c>
      <c r="Y24" s="425"/>
      <c r="AK24" s="430"/>
      <c r="AL24" s="431"/>
      <c r="AM24" s="431"/>
      <c r="AN24" s="431"/>
      <c r="AO24" s="431"/>
      <c r="AP24" s="431"/>
      <c r="AQ24" s="431"/>
      <c r="AR24" s="431"/>
      <c r="AS24" s="431"/>
      <c r="AT24" s="431"/>
      <c r="AU24" s="431"/>
    </row>
    <row r="25" spans="1:47">
      <c r="A25" s="679" t="s">
        <v>1365</v>
      </c>
      <c r="B25" s="493" t="s">
        <v>1371</v>
      </c>
      <c r="C25" s="500"/>
      <c r="D25" s="501">
        <v>45184</v>
      </c>
      <c r="E25" s="500"/>
      <c r="F25" s="500"/>
      <c r="G25" s="501">
        <v>48990</v>
      </c>
      <c r="H25" s="440"/>
      <c r="I25" s="1061">
        <f t="shared" ref="I25" si="6">I53</f>
        <v>400000000</v>
      </c>
      <c r="J25" s="446"/>
      <c r="K25" s="436">
        <f t="shared" ref="K25" si="7">S53</f>
        <v>395306076</v>
      </c>
      <c r="L25" s="446"/>
      <c r="M25" s="470">
        <v>395438038.6558066</v>
      </c>
      <c r="N25" s="506"/>
      <c r="O25" s="995">
        <v>3.517808219178082</v>
      </c>
      <c r="P25" s="434"/>
      <c r="Q25" s="1062">
        <f t="shared" si="1"/>
        <v>115922931.87992138</v>
      </c>
      <c r="R25" s="434"/>
      <c r="S25" s="1063">
        <f t="shared" si="0"/>
        <v>6.5597252701501116E-2</v>
      </c>
      <c r="U25" s="439">
        <f t="shared" si="5"/>
        <v>6.0023666951105691E-2</v>
      </c>
      <c r="W25" s="1063">
        <f t="shared" si="2"/>
        <v>3.9373876490624207E-3</v>
      </c>
      <c r="Y25" s="425"/>
      <c r="AK25" s="430"/>
      <c r="AL25" s="431"/>
      <c r="AM25" s="431"/>
      <c r="AN25" s="431"/>
      <c r="AO25" s="431"/>
      <c r="AP25" s="431"/>
      <c r="AQ25" s="431"/>
      <c r="AR25" s="431"/>
      <c r="AS25" s="431"/>
      <c r="AT25" s="431"/>
      <c r="AU25" s="431"/>
    </row>
    <row r="26" spans="1:47" ht="15.75" thickBot="1">
      <c r="A26" s="435"/>
      <c r="B26" s="492"/>
      <c r="C26" s="440"/>
      <c r="E26" s="440"/>
      <c r="F26" s="440"/>
      <c r="G26" s="426"/>
      <c r="H26" s="440"/>
      <c r="I26" s="448">
        <f>SUM(I19:I25)</f>
        <v>2050000000</v>
      </c>
      <c r="J26" s="448"/>
      <c r="K26" s="448"/>
      <c r="L26" s="448"/>
      <c r="M26" s="448">
        <f>SUM(M19:M25)</f>
        <v>2046706979.9999998</v>
      </c>
      <c r="N26" s="426"/>
      <c r="O26" s="440"/>
      <c r="P26" s="426"/>
      <c r="Q26" s="446">
        <f>SUM(Q19:Q25)</f>
        <v>1767191873.2241147</v>
      </c>
      <c r="R26" s="426"/>
      <c r="S26" s="449">
        <f>SUM(S19:S25)</f>
        <v>1</v>
      </c>
      <c r="T26" s="440"/>
      <c r="V26" s="440"/>
      <c r="W26" s="626">
        <f>ROUND(SUM(W19:W25),4)</f>
        <v>4.3700000000000003E-2</v>
      </c>
      <c r="X26" s="686" t="s">
        <v>378</v>
      </c>
      <c r="Y26" s="425"/>
      <c r="AQ26" s="431"/>
      <c r="AS26" s="431"/>
    </row>
    <row r="27" spans="1:47" ht="15.75" thickTop="1">
      <c r="A27" s="414"/>
      <c r="C27" s="440"/>
      <c r="D27" s="440"/>
      <c r="E27" s="440"/>
      <c r="F27" s="440"/>
      <c r="G27" s="440"/>
      <c r="H27" s="440"/>
      <c r="I27" s="440"/>
      <c r="J27" s="440"/>
      <c r="K27" s="440"/>
      <c r="L27" s="440"/>
      <c r="M27" s="440"/>
      <c r="N27" s="440"/>
      <c r="O27" s="440"/>
      <c r="P27" s="440"/>
      <c r="Q27" s="450"/>
      <c r="R27" s="440"/>
      <c r="S27" s="440"/>
      <c r="T27" s="440"/>
      <c r="U27" s="440"/>
      <c r="V27" s="440"/>
      <c r="W27" s="449"/>
      <c r="X27" s="440"/>
      <c r="Y27" s="451"/>
      <c r="Z27" s="440"/>
      <c r="AQ27" s="431"/>
      <c r="AS27" s="431"/>
    </row>
    <row r="28" spans="1:47">
      <c r="A28" s="414"/>
      <c r="C28" s="440"/>
      <c r="D28" s="440"/>
      <c r="E28" s="440"/>
      <c r="F28" s="440"/>
      <c r="G28" s="440"/>
      <c r="H28" s="440"/>
      <c r="I28" s="440"/>
      <c r="J28" s="440"/>
      <c r="K28" s="440"/>
      <c r="L28" s="440"/>
      <c r="M28" s="440"/>
      <c r="N28" s="440"/>
      <c r="O28" s="440"/>
      <c r="P28" s="440"/>
      <c r="Q28" s="450"/>
      <c r="R28" s="440"/>
      <c r="S28" s="440"/>
      <c r="T28" s="440"/>
      <c r="U28" s="440"/>
      <c r="V28" s="440"/>
      <c r="W28" s="449"/>
      <c r="X28" s="440"/>
      <c r="Y28" s="451"/>
      <c r="Z28" s="440"/>
      <c r="AQ28" s="431"/>
      <c r="AS28" s="431"/>
    </row>
    <row r="29" spans="1:47">
      <c r="A29" s="414"/>
      <c r="B29" s="262" t="s">
        <v>379</v>
      </c>
      <c r="C29" s="440"/>
      <c r="D29" s="440"/>
      <c r="E29" s="440"/>
      <c r="F29" s="440"/>
      <c r="G29" s="440"/>
      <c r="H29" s="440"/>
      <c r="I29" s="440"/>
      <c r="J29" s="440"/>
      <c r="K29" s="440"/>
      <c r="L29" s="440"/>
      <c r="M29" s="440"/>
      <c r="N29" s="440"/>
      <c r="O29" s="440"/>
      <c r="P29" s="440"/>
      <c r="Q29" s="440"/>
      <c r="R29" s="440"/>
      <c r="S29" s="440"/>
      <c r="T29" s="440"/>
      <c r="U29" s="440"/>
      <c r="V29" s="440"/>
      <c r="W29" s="449"/>
      <c r="X29" s="440"/>
      <c r="Y29" s="451"/>
      <c r="Z29" s="440"/>
      <c r="AQ29" s="431"/>
      <c r="AS29" s="431"/>
    </row>
    <row r="30" spans="1:47">
      <c r="A30" s="414"/>
      <c r="B30" s="262" t="s">
        <v>380</v>
      </c>
      <c r="C30" s="440"/>
      <c r="D30" s="440"/>
      <c r="E30" s="440"/>
      <c r="F30" s="440"/>
      <c r="G30" s="440"/>
      <c r="H30" s="440"/>
      <c r="I30" s="440"/>
      <c r="J30" s="440"/>
      <c r="K30" s="440"/>
      <c r="L30" s="440"/>
      <c r="M30" s="440"/>
      <c r="N30" s="440"/>
      <c r="O30" s="440"/>
      <c r="P30" s="440"/>
      <c r="Q30" s="440"/>
      <c r="R30" s="440"/>
      <c r="S30" s="440"/>
      <c r="T30" s="440"/>
      <c r="U30" s="440"/>
      <c r="V30" s="440"/>
      <c r="W30" s="449"/>
      <c r="X30" s="440"/>
      <c r="Y30" s="451"/>
      <c r="Z30" s="440"/>
      <c r="AQ30" s="431"/>
      <c r="AS30" s="431"/>
    </row>
    <row r="31" spans="1:47">
      <c r="A31" s="414"/>
      <c r="B31" s="490" t="s">
        <v>381</v>
      </c>
      <c r="C31" s="440"/>
      <c r="D31" s="440"/>
      <c r="E31" s="440"/>
      <c r="F31" s="440"/>
      <c r="G31" s="440"/>
      <c r="H31" s="440"/>
      <c r="I31" s="440"/>
      <c r="J31" s="440"/>
      <c r="K31" s="440"/>
      <c r="L31" s="440"/>
      <c r="M31" s="440"/>
      <c r="N31" s="440"/>
      <c r="O31" s="440"/>
      <c r="P31" s="440"/>
      <c r="Q31" s="440"/>
      <c r="R31" s="440"/>
      <c r="S31" s="440"/>
      <c r="T31" s="440"/>
      <c r="U31" s="440"/>
      <c r="V31" s="440"/>
      <c r="W31" s="440"/>
      <c r="X31" s="440"/>
      <c r="Y31" s="451"/>
      <c r="Z31" s="440"/>
    </row>
    <row r="32" spans="1:47">
      <c r="A32" s="414"/>
      <c r="B32" s="490" t="s">
        <v>916</v>
      </c>
      <c r="C32" s="440"/>
      <c r="D32" s="440"/>
      <c r="E32" s="440"/>
      <c r="F32" s="440"/>
      <c r="G32" s="440"/>
      <c r="H32" s="440"/>
      <c r="I32" s="440"/>
      <c r="J32" s="440"/>
      <c r="K32" s="440"/>
      <c r="L32" s="440"/>
      <c r="M32" s="440"/>
      <c r="N32" s="440"/>
      <c r="O32" s="440"/>
      <c r="P32" s="440"/>
      <c r="Q32" s="440"/>
      <c r="R32" s="440"/>
      <c r="S32" s="440"/>
      <c r="T32" s="440"/>
      <c r="U32" s="440"/>
      <c r="V32" s="440"/>
      <c r="W32" s="440"/>
      <c r="X32" s="440"/>
      <c r="Y32" s="451"/>
      <c r="Z32" s="440"/>
    </row>
    <row r="33" spans="1:45">
      <c r="A33" s="452"/>
      <c r="B33" s="491" t="s">
        <v>382</v>
      </c>
      <c r="C33" s="453"/>
      <c r="D33" s="453"/>
      <c r="E33" s="453"/>
      <c r="F33" s="453"/>
      <c r="G33" s="453"/>
      <c r="H33" s="453"/>
      <c r="I33" s="453"/>
      <c r="J33" s="453"/>
      <c r="K33" s="453"/>
      <c r="L33" s="453"/>
      <c r="M33" s="453"/>
      <c r="N33" s="453"/>
      <c r="O33" s="453"/>
      <c r="P33" s="453"/>
      <c r="Q33" s="453"/>
      <c r="R33" s="453"/>
      <c r="S33" s="453"/>
      <c r="T33" s="453"/>
      <c r="U33" s="453"/>
      <c r="V33" s="453"/>
      <c r="W33" s="453"/>
      <c r="X33" s="453"/>
      <c r="Y33" s="454"/>
      <c r="Z33" s="440"/>
    </row>
    <row r="34" spans="1:45">
      <c r="A34" s="452"/>
      <c r="B34" s="491" t="s">
        <v>903</v>
      </c>
      <c r="C34" s="453"/>
      <c r="D34" s="453"/>
      <c r="E34" s="453"/>
      <c r="F34" s="453"/>
      <c r="G34" s="453"/>
      <c r="H34" s="453"/>
      <c r="I34" s="453"/>
      <c r="J34" s="453"/>
      <c r="K34" s="453"/>
      <c r="L34" s="453"/>
      <c r="M34" s="453"/>
      <c r="N34" s="453"/>
      <c r="O34" s="453"/>
      <c r="P34" s="453"/>
      <c r="Q34" s="453"/>
      <c r="R34" s="453"/>
      <c r="S34" s="453"/>
      <c r="T34" s="453"/>
      <c r="U34" s="453"/>
      <c r="V34" s="453"/>
      <c r="W34" s="453"/>
      <c r="X34" s="453"/>
      <c r="Y34" s="454"/>
      <c r="Z34" s="440"/>
    </row>
    <row r="35" spans="1:45">
      <c r="B35" s="449"/>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row>
    <row r="36" spans="1:45">
      <c r="B36" s="449"/>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row>
    <row r="37" spans="1:45" ht="15.75">
      <c r="B37" s="263"/>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53"/>
      <c r="AA37" s="455"/>
    </row>
    <row r="38" spans="1:45" ht="15.75">
      <c r="A38" s="412"/>
      <c r="B38" s="264" t="s">
        <v>383</v>
      </c>
      <c r="C38" s="456"/>
      <c r="D38" s="456"/>
      <c r="E38" s="456"/>
      <c r="F38" s="456"/>
      <c r="G38" s="456"/>
      <c r="H38" s="456"/>
      <c r="I38" s="456"/>
      <c r="J38" s="456"/>
      <c r="K38" s="456"/>
      <c r="L38" s="456"/>
      <c r="M38" s="456"/>
      <c r="N38" s="456"/>
      <c r="O38" s="456"/>
      <c r="P38" s="456"/>
      <c r="Q38" s="456"/>
      <c r="R38" s="456"/>
      <c r="S38" s="457"/>
      <c r="T38" s="456"/>
      <c r="U38" s="456"/>
      <c r="V38" s="456"/>
      <c r="W38" s="456"/>
      <c r="X38" s="456"/>
      <c r="Y38" s="456"/>
      <c r="Z38" s="440"/>
      <c r="AA38" s="458"/>
    </row>
    <row r="39" spans="1:45" ht="16.5" thickBot="1">
      <c r="A39" s="414"/>
      <c r="B39" s="261"/>
      <c r="C39" s="440"/>
      <c r="D39" s="440"/>
      <c r="E39" s="440"/>
      <c r="F39" s="440"/>
      <c r="G39" s="440"/>
      <c r="H39" s="440"/>
      <c r="I39" s="440"/>
      <c r="J39" s="440"/>
      <c r="K39" s="440"/>
      <c r="L39" s="440"/>
      <c r="M39" s="440"/>
      <c r="N39" s="440"/>
      <c r="O39" s="440"/>
      <c r="P39" s="440"/>
      <c r="Q39" s="440"/>
      <c r="R39" s="440"/>
      <c r="S39" s="451"/>
      <c r="T39" s="440"/>
      <c r="U39" s="440"/>
      <c r="V39" s="440"/>
      <c r="W39" s="440"/>
      <c r="X39" s="440"/>
      <c r="Y39" s="440"/>
      <c r="Z39" s="440"/>
      <c r="AA39" s="425"/>
    </row>
    <row r="40" spans="1:45" ht="16.5" thickBot="1">
      <c r="A40" s="414"/>
      <c r="B40" s="417" t="s">
        <v>355</v>
      </c>
      <c r="C40" s="418" t="str">
        <f>C9</f>
        <v>12/31/2023</v>
      </c>
      <c r="D40" s="440"/>
      <c r="E40" s="440"/>
      <c r="F40" s="440"/>
      <c r="G40" s="440"/>
      <c r="H40" s="440"/>
      <c r="I40" s="440"/>
      <c r="J40" s="440"/>
      <c r="K40" s="440"/>
      <c r="L40" s="440"/>
      <c r="M40" s="440"/>
      <c r="N40" s="440"/>
      <c r="O40" s="440"/>
      <c r="P40" s="440"/>
      <c r="Q40" s="440"/>
      <c r="R40" s="440"/>
      <c r="S40" s="1031"/>
      <c r="T40" s="1032"/>
      <c r="U40" s="1032"/>
      <c r="V40" s="1032"/>
      <c r="W40" s="1032"/>
      <c r="X40" s="1032"/>
      <c r="Y40" s="1032"/>
      <c r="Z40" s="1032"/>
      <c r="AA40" s="422"/>
    </row>
    <row r="41" spans="1:45" s="260" customFormat="1" ht="15.75">
      <c r="A41" s="420"/>
      <c r="D41" s="421" t="s">
        <v>384</v>
      </c>
      <c r="G41" s="421" t="s">
        <v>385</v>
      </c>
      <c r="I41" s="421" t="s">
        <v>386</v>
      </c>
      <c r="K41" s="421" t="s">
        <v>387</v>
      </c>
      <c r="M41" s="421" t="s">
        <v>388</v>
      </c>
      <c r="O41" s="421" t="s">
        <v>389</v>
      </c>
      <c r="Q41" s="1029"/>
      <c r="S41" s="422" t="s">
        <v>390</v>
      </c>
      <c r="T41" s="1029"/>
      <c r="U41" s="421" t="s">
        <v>391</v>
      </c>
      <c r="V41" s="1029"/>
      <c r="W41" s="421" t="s">
        <v>392</v>
      </c>
      <c r="X41" s="1029"/>
      <c r="Y41" s="260" t="s">
        <v>393</v>
      </c>
      <c r="Z41" s="1029"/>
      <c r="AA41" s="422" t="s">
        <v>1162</v>
      </c>
      <c r="AQ41" s="459"/>
      <c r="AS41" s="459"/>
    </row>
    <row r="42" spans="1:45" ht="15.75">
      <c r="A42" s="414"/>
      <c r="B42" s="263"/>
      <c r="K42" s="423" t="s">
        <v>394</v>
      </c>
      <c r="L42" s="423"/>
      <c r="O42" s="423" t="s">
        <v>395</v>
      </c>
      <c r="Q42" s="1030"/>
      <c r="S42" s="425"/>
      <c r="U42" s="423" t="s">
        <v>357</v>
      </c>
      <c r="AA42" s="460" t="s">
        <v>396</v>
      </c>
      <c r="AB42" s="423"/>
      <c r="AD42" s="423"/>
      <c r="AE42" s="423"/>
      <c r="AF42" s="423"/>
      <c r="AG42" s="423"/>
    </row>
    <row r="43" spans="1:45">
      <c r="A43" s="414"/>
      <c r="D43" s="423" t="s">
        <v>397</v>
      </c>
      <c r="E43" s="423"/>
      <c r="F43" s="423"/>
      <c r="G43" s="423" t="s">
        <v>398</v>
      </c>
      <c r="H43" s="423"/>
      <c r="I43" s="423" t="s">
        <v>8</v>
      </c>
      <c r="J43" s="423"/>
      <c r="K43" s="423" t="s">
        <v>399</v>
      </c>
      <c r="L43" s="423"/>
      <c r="M43" s="423" t="s">
        <v>400</v>
      </c>
      <c r="N43" s="423"/>
      <c r="O43" s="423" t="s">
        <v>401</v>
      </c>
      <c r="P43" s="423"/>
      <c r="Q43" s="1030"/>
      <c r="S43" s="460" t="s">
        <v>357</v>
      </c>
      <c r="T43" s="423"/>
      <c r="U43" s="423" t="s">
        <v>402</v>
      </c>
      <c r="V43" s="423"/>
      <c r="W43" s="423" t="s">
        <v>403</v>
      </c>
      <c r="X43" s="423"/>
      <c r="Y43" s="423" t="s">
        <v>404</v>
      </c>
      <c r="Z43" s="423"/>
      <c r="AA43" s="460" t="s">
        <v>405</v>
      </c>
      <c r="AB43" s="423"/>
      <c r="AD43" s="423"/>
      <c r="AF43" s="423"/>
      <c r="AG43" s="424"/>
      <c r="AH43" s="423"/>
    </row>
    <row r="44" spans="1:45" ht="15.75">
      <c r="A44" s="414"/>
      <c r="B44" s="261" t="s">
        <v>406</v>
      </c>
      <c r="C44" s="411" t="s">
        <v>407</v>
      </c>
      <c r="D44" s="423" t="s">
        <v>408</v>
      </c>
      <c r="E44" s="429"/>
      <c r="F44" s="429"/>
      <c r="G44" s="423" t="s">
        <v>408</v>
      </c>
      <c r="H44" s="429"/>
      <c r="I44" s="423" t="s">
        <v>409</v>
      </c>
      <c r="J44" s="429"/>
      <c r="K44" s="423" t="s">
        <v>410</v>
      </c>
      <c r="L44" s="429"/>
      <c r="M44" s="423" t="s">
        <v>411</v>
      </c>
      <c r="N44" s="423"/>
      <c r="O44" s="423" t="s">
        <v>412</v>
      </c>
      <c r="P44" s="423"/>
      <c r="Q44" s="423"/>
      <c r="S44" s="460" t="s">
        <v>402</v>
      </c>
      <c r="T44" s="423"/>
      <c r="U44" s="423" t="s">
        <v>413</v>
      </c>
      <c r="V44" s="429"/>
      <c r="W44" s="423" t="s">
        <v>414</v>
      </c>
      <c r="X44" s="429"/>
      <c r="Y44" s="423" t="s">
        <v>415</v>
      </c>
      <c r="Z44" s="429"/>
      <c r="AA44" s="460" t="s">
        <v>416</v>
      </c>
      <c r="AB44" s="423"/>
      <c r="AD44" s="423"/>
      <c r="AF44" s="423"/>
      <c r="AG44" s="424"/>
      <c r="AH44" s="423"/>
    </row>
    <row r="45" spans="1:45" ht="37.5" customHeight="1">
      <c r="A45" s="414"/>
      <c r="D45" s="423"/>
      <c r="E45" s="429"/>
      <c r="F45" s="429"/>
      <c r="G45" s="423"/>
      <c r="H45" s="429"/>
      <c r="I45" s="423"/>
      <c r="J45" s="429"/>
      <c r="K45" s="423"/>
      <c r="L45" s="429"/>
      <c r="M45" s="423"/>
      <c r="N45" s="423"/>
      <c r="O45" s="423"/>
      <c r="P45" s="423"/>
      <c r="S45" s="1052" t="s">
        <v>1204</v>
      </c>
      <c r="T45" s="423"/>
      <c r="U45" s="1033" t="s">
        <v>1149</v>
      </c>
      <c r="V45" s="429"/>
      <c r="W45" s="423"/>
      <c r="X45" s="429"/>
      <c r="Y45" s="423" t="s">
        <v>1161</v>
      </c>
      <c r="Z45" s="429"/>
      <c r="AA45" s="460"/>
      <c r="AB45" s="423"/>
      <c r="AD45" s="423"/>
      <c r="AF45" s="423"/>
      <c r="AG45" s="424"/>
      <c r="AH45" s="423"/>
    </row>
    <row r="46" spans="1:45">
      <c r="A46" s="414"/>
      <c r="B46" s="444"/>
      <c r="D46" s="423"/>
      <c r="E46" s="429"/>
      <c r="F46" s="429"/>
      <c r="G46" s="423"/>
      <c r="H46" s="429"/>
      <c r="I46" s="423"/>
      <c r="J46" s="429"/>
      <c r="K46" s="423"/>
      <c r="L46" s="429"/>
      <c r="M46" s="423"/>
      <c r="N46" s="423"/>
      <c r="O46" s="423"/>
      <c r="P46" s="423"/>
      <c r="S46" s="461"/>
      <c r="T46" s="423"/>
      <c r="U46" s="423"/>
      <c r="V46" s="429"/>
      <c r="W46" s="423"/>
      <c r="X46" s="429"/>
      <c r="Y46" s="423"/>
      <c r="Z46" s="429"/>
      <c r="AA46" s="460"/>
      <c r="AB46" s="423"/>
      <c r="AD46" s="423"/>
      <c r="AF46" s="423"/>
      <c r="AG46" s="423"/>
      <c r="AH46" s="423"/>
    </row>
    <row r="47" spans="1:45">
      <c r="A47" s="462" t="str">
        <f t="shared" ref="A47:B50" si="8">A19</f>
        <v>(1)</v>
      </c>
      <c r="B47" s="689" t="str">
        <f t="shared" si="8"/>
        <v>4.10%, Senior Unsecured Note</v>
      </c>
      <c r="C47" s="500"/>
      <c r="D47" s="501">
        <v>41605</v>
      </c>
      <c r="E47" s="500"/>
      <c r="F47" s="500"/>
      <c r="G47" s="501">
        <v>45397</v>
      </c>
      <c r="H47" s="500"/>
      <c r="I47" s="437">
        <v>400000000</v>
      </c>
      <c r="J47" s="500"/>
      <c r="K47" s="437">
        <v>-456000</v>
      </c>
      <c r="L47" s="500"/>
      <c r="M47" s="437">
        <v>3250588</v>
      </c>
      <c r="N47" s="463"/>
      <c r="O47" s="445">
        <v>0</v>
      </c>
      <c r="P47" s="463"/>
      <c r="Q47" s="423"/>
      <c r="S47" s="464">
        <f>+I47+K47-M47-O47</f>
        <v>396293412</v>
      </c>
      <c r="T47" s="463"/>
      <c r="U47" s="465">
        <f>(S47/I47)*100</f>
        <v>99.073352999999997</v>
      </c>
      <c r="W47" s="502">
        <v>4.1000000000000002E-2</v>
      </c>
      <c r="Y47" s="426">
        <f>W47*I47</f>
        <v>16400000</v>
      </c>
      <c r="AA47" s="466">
        <f>YIELD(D47,G47,W47,U47,100,2,0)</f>
        <v>4.2106340088779906E-2</v>
      </c>
      <c r="AB47" s="467"/>
      <c r="AD47" s="467"/>
      <c r="AF47" s="468"/>
      <c r="AG47" s="449"/>
      <c r="AH47" s="449"/>
    </row>
    <row r="48" spans="1:45">
      <c r="A48" s="462" t="str">
        <f t="shared" si="8"/>
        <v>(2)</v>
      </c>
      <c r="B48" s="689" t="str">
        <f t="shared" si="8"/>
        <v>5.40%, Senior Unsecured Note</v>
      </c>
      <c r="C48" s="500"/>
      <c r="D48" s="501">
        <v>41605</v>
      </c>
      <c r="E48" s="500"/>
      <c r="F48" s="500"/>
      <c r="G48" s="501">
        <v>52580</v>
      </c>
      <c r="H48" s="500"/>
      <c r="I48" s="437">
        <v>600000000</v>
      </c>
      <c r="J48" s="500"/>
      <c r="K48" s="437">
        <v>-1086000</v>
      </c>
      <c r="L48" s="500"/>
      <c r="M48" s="437">
        <v>6081838</v>
      </c>
      <c r="S48" s="464">
        <f>+I48+K48-M48-O48</f>
        <v>592832162</v>
      </c>
      <c r="U48" s="465">
        <f>(S48/I48)*100</f>
        <v>98.80536033333334</v>
      </c>
      <c r="W48" s="502">
        <v>5.3999999999999999E-2</v>
      </c>
      <c r="Y48" s="426">
        <f>W48*I48</f>
        <v>32400000</v>
      </c>
      <c r="AA48" s="466">
        <f t="shared" ref="AA48:AA53" si="9">YIELD(D48,G48,W48,U48,100,2,0)</f>
        <v>5.4813132823697153E-2</v>
      </c>
    </row>
    <row r="49" spans="1:35">
      <c r="A49" s="462" t="str">
        <f t="shared" si="8"/>
        <v>(3)</v>
      </c>
      <c r="B49" s="689" t="str">
        <f t="shared" si="8"/>
        <v>3.55%, Senior Unsecured Note</v>
      </c>
      <c r="C49" s="500"/>
      <c r="D49" s="501">
        <v>42871</v>
      </c>
      <c r="E49" s="500"/>
      <c r="F49" s="500"/>
      <c r="G49" s="501">
        <v>46522</v>
      </c>
      <c r="H49" s="500"/>
      <c r="I49" s="437">
        <v>250000000</v>
      </c>
      <c r="J49" s="500"/>
      <c r="K49" s="437">
        <v>-105000</v>
      </c>
      <c r="L49" s="500"/>
      <c r="M49" s="437">
        <v>2526216</v>
      </c>
      <c r="S49" s="464">
        <f t="shared" ref="S49" si="10">+I49+K49-M49-O49</f>
        <v>247368784</v>
      </c>
      <c r="U49" s="465">
        <f t="shared" ref="U49:U53" si="11">(S49/I49)*100</f>
        <v>98.947513600000008</v>
      </c>
      <c r="W49" s="502">
        <v>3.5499999999999997E-2</v>
      </c>
      <c r="Y49" s="426">
        <f t="shared" ref="Y49" si="12">W49*I49</f>
        <v>8875000</v>
      </c>
      <c r="AA49" s="466">
        <f t="shared" si="9"/>
        <v>3.6767525709496547E-2</v>
      </c>
    </row>
    <row r="50" spans="1:35">
      <c r="A50" s="462" t="str">
        <f t="shared" si="8"/>
        <v>(4)</v>
      </c>
      <c r="B50" s="689" t="str">
        <f t="shared" si="8"/>
        <v>3.23%, Senior Unsecured Note</v>
      </c>
      <c r="C50" s="500"/>
      <c r="D50" s="501">
        <v>43783</v>
      </c>
      <c r="E50" s="500"/>
      <c r="F50" s="500"/>
      <c r="G50" s="501">
        <v>47437</v>
      </c>
      <c r="H50" s="500"/>
      <c r="I50" s="437">
        <v>155000000</v>
      </c>
      <c r="J50" s="500"/>
      <c r="K50" s="437"/>
      <c r="L50" s="500"/>
      <c r="M50" s="437">
        <v>586763</v>
      </c>
      <c r="N50" s="469"/>
      <c r="O50" s="469"/>
      <c r="P50" s="469"/>
      <c r="S50" s="464">
        <f>+I50+K50-M50-O50</f>
        <v>154413237</v>
      </c>
      <c r="T50" s="469"/>
      <c r="U50" s="465">
        <f t="shared" si="11"/>
        <v>99.621443225806445</v>
      </c>
      <c r="W50" s="502">
        <v>3.2300000000000002E-2</v>
      </c>
      <c r="Y50" s="426">
        <f>W50*I50</f>
        <v>5006500</v>
      </c>
      <c r="AA50" s="466">
        <f t="shared" si="9"/>
        <v>3.2746788845760377E-2</v>
      </c>
      <c r="AG50" s="449"/>
    </row>
    <row r="51" spans="1:35">
      <c r="A51" s="462" t="str">
        <f t="shared" ref="A51:A53" si="13">A23</f>
        <v>(5)</v>
      </c>
      <c r="B51" s="689" t="str">
        <f>B23</f>
        <v>3.93%, Senior Unsecured Note</v>
      </c>
      <c r="C51" s="500"/>
      <c r="D51" s="501">
        <v>43783</v>
      </c>
      <c r="E51" s="500"/>
      <c r="F51" s="500"/>
      <c r="G51" s="501">
        <v>54742</v>
      </c>
      <c r="H51" s="500"/>
      <c r="I51" s="437">
        <v>45000000</v>
      </c>
      <c r="J51" s="500"/>
      <c r="K51" s="437"/>
      <c r="L51" s="500"/>
      <c r="M51" s="437">
        <v>586763</v>
      </c>
      <c r="N51" s="469"/>
      <c r="O51" s="469"/>
      <c r="P51" s="469"/>
      <c r="S51" s="464">
        <f>+I51+K51-M51-O51</f>
        <v>44413237</v>
      </c>
      <c r="T51" s="469"/>
      <c r="U51" s="465">
        <f t="shared" si="11"/>
        <v>98.69608222222223</v>
      </c>
      <c r="W51" s="502">
        <v>3.9300000000000002E-2</v>
      </c>
      <c r="Y51" s="426">
        <f>W51*I51</f>
        <v>1768500</v>
      </c>
      <c r="AA51" s="466">
        <f t="shared" si="9"/>
        <v>4.0050582378275183E-2</v>
      </c>
      <c r="AG51" s="449"/>
    </row>
    <row r="52" spans="1:35">
      <c r="A52" s="462" t="str">
        <f t="shared" si="13"/>
        <v>(6)</v>
      </c>
      <c r="B52" s="689" t="str">
        <f>B24</f>
        <v>3.55%, Senior Unsecured Note</v>
      </c>
      <c r="C52" s="500"/>
      <c r="D52" s="501">
        <v>44295</v>
      </c>
      <c r="E52" s="500"/>
      <c r="F52" s="500"/>
      <c r="G52" s="501">
        <v>46522</v>
      </c>
      <c r="H52" s="500"/>
      <c r="I52" s="437">
        <v>200000000</v>
      </c>
      <c r="J52" s="500"/>
      <c r="K52" s="437">
        <v>16358000</v>
      </c>
      <c r="L52" s="500"/>
      <c r="M52" s="437">
        <v>2055781</v>
      </c>
      <c r="N52" s="469"/>
      <c r="O52" s="469"/>
      <c r="P52" s="469"/>
      <c r="S52" s="464">
        <f t="shared" ref="S52:S53" si="14">+I52+K52-M52-O52</f>
        <v>214302219</v>
      </c>
      <c r="T52" s="469"/>
      <c r="U52" s="465">
        <f t="shared" si="11"/>
        <v>107.15110949999999</v>
      </c>
      <c r="W52" s="502">
        <v>3.5499999999999997E-2</v>
      </c>
      <c r="Y52" s="426">
        <f t="shared" ref="Y52:Y53" si="15">W52*I52</f>
        <v>7099999.9999999991</v>
      </c>
      <c r="AA52" s="466">
        <f t="shared" si="9"/>
        <v>2.2870468120259928E-2</v>
      </c>
      <c r="AG52" s="449"/>
    </row>
    <row r="53" spans="1:35">
      <c r="A53" s="462" t="str">
        <f t="shared" si="13"/>
        <v>(7)</v>
      </c>
      <c r="B53" s="689" t="str">
        <f>B25</f>
        <v>5.85%, Senior Unsecured Note</v>
      </c>
      <c r="C53" s="500"/>
      <c r="D53" s="501">
        <v>45184</v>
      </c>
      <c r="E53" s="500"/>
      <c r="F53" s="500"/>
      <c r="G53" s="501">
        <v>48990</v>
      </c>
      <c r="H53" s="500"/>
      <c r="I53" s="470">
        <v>400000000</v>
      </c>
      <c r="J53" s="500"/>
      <c r="K53" s="470">
        <v>-716000</v>
      </c>
      <c r="L53" s="500"/>
      <c r="M53" s="470">
        <v>3977924</v>
      </c>
      <c r="N53" s="469"/>
      <c r="O53" s="469"/>
      <c r="P53" s="469"/>
      <c r="S53" s="1037">
        <f t="shared" si="14"/>
        <v>395306076</v>
      </c>
      <c r="T53" s="469"/>
      <c r="U53" s="465">
        <f t="shared" si="11"/>
        <v>98.826519000000005</v>
      </c>
      <c r="W53" s="502">
        <v>5.8500000000000003E-2</v>
      </c>
      <c r="Y53" s="1064">
        <f t="shared" si="15"/>
        <v>23400000</v>
      </c>
      <c r="AA53" s="466">
        <f t="shared" si="9"/>
        <v>6.0023666951105691E-2</v>
      </c>
      <c r="AG53" s="449"/>
    </row>
    <row r="54" spans="1:35">
      <c r="A54" s="414"/>
      <c r="B54" s="471" t="s">
        <v>417</v>
      </c>
      <c r="D54" s="472"/>
      <c r="G54" s="473"/>
      <c r="I54" s="474">
        <f>SUM(I47:I53)</f>
        <v>2050000000</v>
      </c>
      <c r="K54" s="469">
        <f>SUM(K47:K53)</f>
        <v>13995000</v>
      </c>
      <c r="M54" s="474">
        <f>SUM(M47:M53)</f>
        <v>19065873</v>
      </c>
      <c r="N54" s="474"/>
      <c r="O54" s="469">
        <f>SUM(O47:O53)</f>
        <v>0</v>
      </c>
      <c r="P54" s="474"/>
      <c r="Q54" s="423"/>
      <c r="S54" s="475">
        <f>SUM(S47:S53)</f>
        <v>2044929127</v>
      </c>
      <c r="T54" s="474"/>
      <c r="Y54" s="474">
        <f>SUM(Y47:Y53)</f>
        <v>94950000</v>
      </c>
      <c r="AA54" s="466"/>
      <c r="AE54" s="468"/>
      <c r="AG54" s="449"/>
    </row>
    <row r="55" spans="1:35">
      <c r="A55" s="414"/>
      <c r="B55" s="262" t="s">
        <v>418</v>
      </c>
      <c r="D55" s="472"/>
      <c r="G55" s="473"/>
      <c r="I55" s="469"/>
      <c r="K55" s="469"/>
      <c r="M55" s="469"/>
      <c r="N55" s="469"/>
      <c r="O55" s="469"/>
      <c r="P55" s="469"/>
      <c r="Q55" s="469"/>
      <c r="R55" s="469"/>
      <c r="S55" s="425"/>
      <c r="W55" s="469"/>
      <c r="Y55" s="469"/>
      <c r="AA55" s="476"/>
      <c r="AE55" s="468"/>
      <c r="AG55" s="449"/>
      <c r="AI55" s="426"/>
    </row>
    <row r="56" spans="1:35" ht="16.5">
      <c r="A56" s="452"/>
      <c r="B56" s="491" t="s">
        <v>564</v>
      </c>
      <c r="C56" s="455"/>
      <c r="D56" s="455"/>
      <c r="E56" s="455"/>
      <c r="F56" s="455"/>
      <c r="G56" s="455"/>
      <c r="H56" s="455"/>
      <c r="I56" s="455"/>
      <c r="J56" s="455"/>
      <c r="K56" s="455"/>
      <c r="L56" s="455"/>
      <c r="M56" s="477"/>
      <c r="N56" s="477"/>
      <c r="O56" s="477"/>
      <c r="P56" s="477"/>
      <c r="Q56" s="477"/>
      <c r="R56" s="477"/>
      <c r="S56" s="478"/>
      <c r="T56" s="455"/>
      <c r="U56" s="455"/>
      <c r="V56" s="455"/>
      <c r="W56" s="455"/>
      <c r="X56" s="455"/>
      <c r="Y56" s="455"/>
      <c r="Z56" s="455"/>
      <c r="AA56" s="479"/>
    </row>
    <row r="57" spans="1:35">
      <c r="A57" s="452"/>
      <c r="B57" s="491"/>
      <c r="C57" s="455"/>
      <c r="D57" s="455"/>
      <c r="E57" s="455"/>
      <c r="F57" s="455"/>
      <c r="G57" s="455"/>
      <c r="H57" s="455"/>
      <c r="I57" s="455"/>
      <c r="J57" s="455"/>
      <c r="K57" s="455"/>
      <c r="L57" s="455"/>
      <c r="M57" s="477"/>
      <c r="N57" s="477"/>
      <c r="O57" s="477"/>
      <c r="P57" s="477"/>
      <c r="Q57" s="477"/>
      <c r="R57" s="477"/>
      <c r="S57" s="478"/>
      <c r="AA57" s="467"/>
    </row>
    <row r="58" spans="1:35">
      <c r="B58" s="449"/>
      <c r="M58" s="480"/>
      <c r="N58" s="480"/>
      <c r="O58" s="480"/>
      <c r="P58" s="480"/>
      <c r="Q58" s="480"/>
      <c r="R58" s="480"/>
      <c r="Y58" s="447"/>
    </row>
    <row r="59" spans="1:35" ht="18">
      <c r="B59" s="481"/>
      <c r="M59" s="482"/>
      <c r="N59" s="482"/>
      <c r="O59" s="482"/>
      <c r="P59" s="482"/>
      <c r="Q59" s="482"/>
      <c r="R59" s="482"/>
      <c r="Y59" s="469"/>
    </row>
    <row r="60" spans="1:35">
      <c r="Y60" s="469"/>
      <c r="AA60" s="447"/>
    </row>
    <row r="61" spans="1:35">
      <c r="D61" s="469"/>
      <c r="G61" s="469"/>
      <c r="M61" s="469"/>
      <c r="N61" s="469"/>
      <c r="O61" s="469"/>
      <c r="P61" s="469"/>
      <c r="Q61" s="469"/>
      <c r="R61" s="469"/>
      <c r="W61" s="483"/>
      <c r="Y61" s="469"/>
    </row>
    <row r="62" spans="1:35">
      <c r="W62" s="483"/>
    </row>
    <row r="63" spans="1:35">
      <c r="D63" s="484"/>
      <c r="G63" s="484"/>
      <c r="M63" s="484"/>
      <c r="N63" s="484"/>
      <c r="O63" s="484"/>
      <c r="P63" s="484"/>
      <c r="Q63" s="484"/>
      <c r="R63" s="484"/>
      <c r="W63" s="483"/>
      <c r="Y63" s="484"/>
    </row>
    <row r="64" spans="1:35">
      <c r="B64" s="449"/>
    </row>
    <row r="65" spans="2:26">
      <c r="B65" s="449"/>
    </row>
    <row r="67" spans="2:26">
      <c r="B67" s="485"/>
      <c r="D67" s="463"/>
    </row>
    <row r="68" spans="2:26">
      <c r="B68" s="485"/>
      <c r="D68" s="463"/>
    </row>
    <row r="69" spans="2:26" ht="15.75">
      <c r="B69" s="486"/>
      <c r="C69" s="258"/>
      <c r="D69" s="258"/>
      <c r="E69" s="258"/>
      <c r="F69" s="258"/>
      <c r="G69" s="258"/>
      <c r="H69" s="258"/>
      <c r="I69" s="258"/>
      <c r="J69" s="258"/>
      <c r="K69" s="258"/>
    </row>
    <row r="70" spans="2:26">
      <c r="D70" s="423"/>
      <c r="G70" s="423"/>
      <c r="I70" s="423"/>
      <c r="K70" s="423"/>
    </row>
    <row r="71" spans="2:26">
      <c r="D71" s="423"/>
      <c r="G71" s="423"/>
      <c r="I71" s="423"/>
      <c r="K71" s="423"/>
    </row>
    <row r="72" spans="2:26">
      <c r="D72" s="463"/>
      <c r="G72" s="487"/>
      <c r="I72" s="487"/>
      <c r="K72" s="487"/>
    </row>
    <row r="73" spans="2:26">
      <c r="D73" s="463"/>
      <c r="G73" s="487"/>
      <c r="I73" s="487"/>
    </row>
    <row r="74" spans="2:26">
      <c r="D74" s="463"/>
      <c r="G74" s="487"/>
      <c r="I74" s="487"/>
      <c r="K74" s="487"/>
    </row>
    <row r="75" spans="2:26">
      <c r="D75" s="463"/>
      <c r="G75" s="487"/>
      <c r="I75" s="487"/>
    </row>
    <row r="76" spans="2:26">
      <c r="D76" s="463"/>
      <c r="G76" s="487"/>
      <c r="I76" s="487"/>
      <c r="K76" s="487"/>
    </row>
    <row r="77" spans="2:26">
      <c r="D77" s="463"/>
      <c r="G77" s="487"/>
      <c r="I77" s="487"/>
    </row>
    <row r="78" spans="2:26" ht="15.75">
      <c r="D78" s="463"/>
      <c r="G78" s="487"/>
      <c r="K78" s="487"/>
      <c r="L78" s="258"/>
      <c r="M78" s="258"/>
      <c r="N78" s="258"/>
      <c r="O78" s="258"/>
      <c r="P78" s="258"/>
      <c r="Q78" s="258"/>
      <c r="R78" s="258"/>
      <c r="S78" s="258"/>
      <c r="T78" s="258"/>
      <c r="U78" s="258"/>
      <c r="V78" s="258"/>
      <c r="W78" s="258"/>
      <c r="X78" s="258"/>
      <c r="Y78" s="258"/>
      <c r="Z78" s="258"/>
    </row>
    <row r="79" spans="2:26" ht="15.75">
      <c r="D79" s="463"/>
      <c r="G79" s="487"/>
      <c r="K79" s="487"/>
      <c r="L79" s="258"/>
      <c r="M79" s="258"/>
      <c r="N79" s="258"/>
      <c r="O79" s="258"/>
      <c r="P79" s="258"/>
      <c r="Q79" s="258"/>
      <c r="R79" s="258"/>
      <c r="S79" s="258"/>
      <c r="T79" s="258"/>
      <c r="U79" s="258"/>
      <c r="V79" s="258"/>
      <c r="W79" s="258"/>
      <c r="X79" s="258"/>
      <c r="Y79" s="258"/>
      <c r="Z79" s="258"/>
    </row>
    <row r="80" spans="2:26" ht="15.75">
      <c r="D80" s="463"/>
      <c r="G80" s="487"/>
      <c r="K80" s="487"/>
      <c r="L80" s="258"/>
      <c r="M80" s="258"/>
      <c r="N80" s="258"/>
      <c r="O80" s="258"/>
      <c r="P80" s="258"/>
      <c r="Q80" s="258"/>
      <c r="R80" s="258"/>
      <c r="S80" s="258"/>
      <c r="T80" s="258"/>
      <c r="U80" s="258"/>
      <c r="V80" s="258"/>
      <c r="W80" s="258"/>
      <c r="X80" s="258"/>
      <c r="Y80" s="258"/>
      <c r="Z80" s="258"/>
    </row>
    <row r="81" spans="2:26" ht="15.75">
      <c r="D81" s="463"/>
      <c r="G81" s="487"/>
      <c r="K81" s="487"/>
      <c r="L81" s="258"/>
      <c r="M81" s="258"/>
      <c r="N81" s="258"/>
      <c r="O81" s="258"/>
      <c r="P81" s="258"/>
      <c r="Q81" s="258"/>
      <c r="R81" s="258"/>
      <c r="S81" s="258"/>
      <c r="T81" s="258"/>
      <c r="U81" s="258"/>
      <c r="V81" s="258"/>
      <c r="W81" s="258"/>
      <c r="X81" s="258"/>
      <c r="Y81" s="258"/>
      <c r="Z81" s="258"/>
    </row>
    <row r="82" spans="2:26" ht="15.75">
      <c r="B82" s="258"/>
      <c r="C82" s="258"/>
      <c r="D82" s="258"/>
      <c r="E82" s="258"/>
      <c r="F82" s="258"/>
      <c r="G82" s="258"/>
      <c r="H82" s="258"/>
      <c r="I82" s="258"/>
      <c r="J82" s="258"/>
      <c r="K82" s="258"/>
      <c r="L82" s="258"/>
      <c r="M82" s="258"/>
      <c r="N82" s="258"/>
      <c r="O82" s="258"/>
      <c r="P82" s="258"/>
      <c r="Q82" s="258"/>
      <c r="R82" s="258"/>
      <c r="S82" s="258"/>
      <c r="T82" s="258"/>
      <c r="U82" s="258"/>
      <c r="V82" s="258"/>
      <c r="W82" s="258"/>
      <c r="X82" s="258"/>
      <c r="Y82" s="258"/>
      <c r="Z82" s="258"/>
    </row>
    <row r="83" spans="2:26" ht="15.75">
      <c r="B83" s="257"/>
    </row>
    <row r="84" spans="2:26" ht="15.75">
      <c r="B84" s="261"/>
      <c r="G84" s="423"/>
      <c r="H84" s="423"/>
      <c r="I84" s="423"/>
      <c r="J84" s="423"/>
      <c r="K84" s="423"/>
      <c r="L84" s="423"/>
      <c r="M84" s="423"/>
      <c r="N84" s="423"/>
      <c r="O84" s="423"/>
      <c r="P84" s="423"/>
      <c r="Q84" s="423"/>
      <c r="R84" s="423"/>
      <c r="S84" s="423"/>
      <c r="T84" s="423"/>
      <c r="U84" s="423"/>
      <c r="V84" s="423"/>
    </row>
    <row r="85" spans="2:26">
      <c r="D85" s="423"/>
      <c r="E85" s="423"/>
      <c r="F85" s="423"/>
      <c r="G85" s="423"/>
      <c r="H85" s="423"/>
      <c r="I85" s="423"/>
      <c r="J85" s="423"/>
      <c r="K85" s="423"/>
      <c r="L85" s="423"/>
      <c r="M85" s="423"/>
      <c r="N85" s="423"/>
      <c r="O85" s="423"/>
      <c r="P85" s="423"/>
      <c r="Q85" s="423"/>
      <c r="R85" s="423"/>
      <c r="S85" s="423"/>
      <c r="T85" s="423"/>
      <c r="U85" s="423"/>
      <c r="V85" s="423"/>
      <c r="W85" s="423"/>
      <c r="Y85" s="423"/>
      <c r="Z85" s="423"/>
    </row>
    <row r="86" spans="2:26">
      <c r="B86" s="433"/>
      <c r="D86" s="423"/>
      <c r="E86" s="423"/>
      <c r="F86" s="423"/>
      <c r="G86" s="423"/>
      <c r="H86" s="423"/>
      <c r="I86" s="423"/>
      <c r="J86" s="423"/>
      <c r="K86" s="423"/>
      <c r="L86" s="423"/>
      <c r="M86" s="423"/>
      <c r="N86" s="423"/>
      <c r="O86" s="423"/>
      <c r="P86" s="423"/>
      <c r="Q86" s="423"/>
      <c r="R86" s="423"/>
      <c r="S86" s="423"/>
      <c r="T86" s="423"/>
      <c r="U86" s="423"/>
      <c r="V86" s="423"/>
      <c r="W86" s="423"/>
      <c r="Y86" s="423"/>
      <c r="Z86" s="423"/>
    </row>
    <row r="87" spans="2:26">
      <c r="B87" s="433"/>
      <c r="D87" s="423"/>
      <c r="E87" s="423"/>
      <c r="F87" s="423"/>
      <c r="G87" s="423"/>
      <c r="H87" s="423"/>
      <c r="I87" s="423"/>
      <c r="J87" s="423"/>
      <c r="K87" s="423"/>
      <c r="L87" s="423"/>
      <c r="M87" s="423"/>
      <c r="N87" s="423"/>
      <c r="O87" s="423"/>
      <c r="P87" s="423"/>
      <c r="Q87" s="423"/>
      <c r="R87" s="423"/>
      <c r="S87" s="423"/>
      <c r="T87" s="423"/>
      <c r="U87" s="423"/>
      <c r="V87" s="423"/>
      <c r="W87" s="423"/>
      <c r="Y87" s="423"/>
      <c r="Z87" s="423"/>
    </row>
    <row r="88" spans="2:26">
      <c r="B88" s="449"/>
      <c r="D88" s="426"/>
      <c r="E88" s="426"/>
      <c r="F88" s="426"/>
      <c r="G88" s="426"/>
      <c r="H88" s="440"/>
      <c r="I88" s="426"/>
      <c r="J88" s="440"/>
      <c r="K88" s="440"/>
      <c r="L88" s="440"/>
      <c r="M88" s="440"/>
      <c r="N88" s="440"/>
      <c r="O88" s="440"/>
      <c r="P88" s="440"/>
      <c r="Q88" s="440"/>
      <c r="R88" s="440"/>
      <c r="W88" s="449"/>
      <c r="Y88" s="440"/>
      <c r="Z88" s="423"/>
    </row>
    <row r="89" spans="2:26">
      <c r="B89" s="449"/>
      <c r="D89" s="426"/>
      <c r="E89" s="426"/>
      <c r="F89" s="426"/>
      <c r="G89" s="426"/>
      <c r="H89" s="440"/>
      <c r="I89" s="426"/>
      <c r="J89" s="440"/>
      <c r="K89" s="440"/>
      <c r="L89" s="440"/>
      <c r="M89" s="440"/>
      <c r="N89" s="440"/>
      <c r="O89" s="440"/>
      <c r="P89" s="440"/>
      <c r="Q89" s="440"/>
      <c r="R89" s="440"/>
      <c r="W89" s="449"/>
      <c r="Y89" s="440"/>
      <c r="Z89" s="423"/>
    </row>
    <row r="90" spans="2:26">
      <c r="B90" s="449"/>
      <c r="D90" s="426"/>
      <c r="E90" s="426"/>
      <c r="F90" s="426"/>
      <c r="G90" s="426"/>
      <c r="H90" s="440"/>
      <c r="I90" s="426"/>
      <c r="J90" s="440"/>
      <c r="K90" s="440"/>
      <c r="L90" s="440"/>
      <c r="M90" s="440"/>
      <c r="N90" s="440"/>
      <c r="O90" s="440"/>
      <c r="P90" s="440"/>
      <c r="Q90" s="440"/>
      <c r="R90" s="440"/>
      <c r="W90" s="449"/>
      <c r="Y90" s="440"/>
      <c r="Z90" s="423"/>
    </row>
    <row r="91" spans="2:26">
      <c r="B91" s="419"/>
      <c r="D91" s="426"/>
      <c r="E91" s="426"/>
      <c r="F91" s="426"/>
      <c r="G91" s="426"/>
      <c r="H91" s="440"/>
      <c r="I91" s="426"/>
      <c r="J91" s="440"/>
      <c r="K91" s="440"/>
      <c r="L91" s="440"/>
      <c r="M91" s="440"/>
      <c r="N91" s="440"/>
      <c r="O91" s="440"/>
      <c r="P91" s="440"/>
      <c r="Q91" s="440"/>
      <c r="R91" s="440"/>
      <c r="W91" s="449"/>
      <c r="Y91" s="440"/>
      <c r="Z91" s="423"/>
    </row>
    <row r="92" spans="2:26">
      <c r="B92" s="419"/>
      <c r="D92" s="426"/>
      <c r="E92" s="426"/>
      <c r="F92" s="426"/>
      <c r="G92" s="426"/>
      <c r="H92" s="440"/>
      <c r="I92" s="426"/>
      <c r="J92" s="440"/>
      <c r="K92" s="440"/>
      <c r="L92" s="440"/>
      <c r="M92" s="440"/>
      <c r="N92" s="440"/>
      <c r="O92" s="440"/>
      <c r="P92" s="440"/>
      <c r="Q92" s="440"/>
      <c r="R92" s="440"/>
      <c r="W92" s="449"/>
      <c r="Y92" s="440"/>
      <c r="Z92" s="423"/>
    </row>
    <row r="93" spans="2:26">
      <c r="B93" s="444"/>
      <c r="D93" s="426"/>
      <c r="E93" s="426"/>
      <c r="F93" s="426"/>
      <c r="G93" s="426"/>
      <c r="H93" s="440"/>
      <c r="I93" s="426"/>
      <c r="J93" s="440"/>
      <c r="K93" s="440"/>
      <c r="L93" s="440"/>
      <c r="M93" s="440"/>
      <c r="N93" s="440"/>
      <c r="O93" s="440"/>
      <c r="P93" s="440"/>
      <c r="Q93" s="440"/>
      <c r="R93" s="440"/>
      <c r="W93" s="449"/>
      <c r="Y93" s="440"/>
      <c r="Z93" s="423"/>
    </row>
    <row r="94" spans="2:26">
      <c r="B94" s="449"/>
      <c r="D94" s="426"/>
      <c r="E94" s="426"/>
      <c r="F94" s="426"/>
      <c r="G94" s="426"/>
      <c r="H94" s="440"/>
      <c r="I94" s="426"/>
      <c r="J94" s="440"/>
      <c r="K94" s="440"/>
      <c r="L94" s="440"/>
      <c r="M94" s="440"/>
      <c r="N94" s="440"/>
      <c r="O94" s="440"/>
      <c r="P94" s="440"/>
      <c r="Q94" s="440"/>
      <c r="R94" s="440"/>
      <c r="W94" s="449"/>
      <c r="Y94" s="440"/>
      <c r="Z94" s="423"/>
    </row>
    <row r="95" spans="2:26">
      <c r="B95" s="449"/>
      <c r="D95" s="426"/>
      <c r="E95" s="426"/>
      <c r="F95" s="426"/>
      <c r="G95" s="426"/>
      <c r="H95" s="440"/>
      <c r="I95" s="426"/>
      <c r="J95" s="440"/>
      <c r="K95" s="440"/>
      <c r="L95" s="440"/>
      <c r="M95" s="440"/>
      <c r="N95" s="440"/>
      <c r="O95" s="440"/>
      <c r="P95" s="440"/>
      <c r="Q95" s="440"/>
      <c r="R95" s="440"/>
      <c r="W95" s="449"/>
      <c r="Y95" s="440"/>
      <c r="Z95" s="423"/>
    </row>
    <row r="96" spans="2:26">
      <c r="B96" s="449"/>
      <c r="D96" s="426"/>
      <c r="E96" s="426"/>
      <c r="F96" s="426"/>
      <c r="G96" s="426"/>
      <c r="H96" s="440"/>
      <c r="I96" s="426"/>
      <c r="J96" s="440"/>
      <c r="K96" s="440"/>
      <c r="L96" s="440"/>
      <c r="M96" s="440"/>
      <c r="N96" s="440"/>
      <c r="O96" s="440"/>
      <c r="P96" s="440"/>
      <c r="Q96" s="440"/>
      <c r="R96" s="440"/>
      <c r="W96" s="449"/>
      <c r="Y96" s="440"/>
      <c r="Z96" s="423"/>
    </row>
    <row r="97" spans="2:26">
      <c r="B97" s="449"/>
      <c r="D97" s="426"/>
      <c r="E97" s="426"/>
      <c r="F97" s="426"/>
      <c r="G97" s="426"/>
      <c r="H97" s="440"/>
      <c r="I97" s="426"/>
      <c r="J97" s="440"/>
      <c r="K97" s="440"/>
      <c r="L97" s="440"/>
      <c r="M97" s="440"/>
      <c r="N97" s="440"/>
      <c r="O97" s="440"/>
      <c r="P97" s="440"/>
      <c r="Q97" s="440"/>
      <c r="R97" s="440"/>
      <c r="W97" s="449"/>
      <c r="Y97" s="440"/>
      <c r="Z97" s="423"/>
    </row>
    <row r="98" spans="2:26">
      <c r="B98" s="449"/>
      <c r="D98" s="426"/>
      <c r="E98" s="426"/>
      <c r="F98" s="426"/>
      <c r="G98" s="426"/>
      <c r="H98" s="440"/>
      <c r="I98" s="426"/>
      <c r="J98" s="440"/>
      <c r="K98" s="440"/>
      <c r="L98" s="440"/>
      <c r="M98" s="440"/>
      <c r="N98" s="440"/>
      <c r="O98" s="440"/>
      <c r="P98" s="440"/>
      <c r="Q98" s="440"/>
      <c r="R98" s="440"/>
      <c r="W98" s="449"/>
      <c r="Y98" s="440"/>
      <c r="Z98" s="423"/>
    </row>
    <row r="99" spans="2:26">
      <c r="B99" s="449"/>
      <c r="D99" s="426"/>
      <c r="E99" s="426"/>
      <c r="F99" s="426"/>
      <c r="G99" s="426"/>
      <c r="H99" s="440"/>
      <c r="I99" s="426"/>
      <c r="J99" s="440"/>
      <c r="K99" s="440"/>
      <c r="L99" s="440"/>
      <c r="M99" s="440"/>
      <c r="N99" s="440"/>
      <c r="O99" s="440"/>
      <c r="P99" s="440"/>
      <c r="Q99" s="440"/>
      <c r="R99" s="440"/>
      <c r="W99" s="449"/>
      <c r="Y99" s="440"/>
      <c r="Z99" s="423"/>
    </row>
    <row r="100" spans="2:26">
      <c r="B100" s="449"/>
      <c r="D100" s="426"/>
      <c r="E100" s="426"/>
      <c r="F100" s="426"/>
      <c r="G100" s="426"/>
      <c r="H100" s="440"/>
      <c r="I100" s="426"/>
      <c r="J100" s="440"/>
      <c r="K100" s="440"/>
      <c r="L100" s="440"/>
      <c r="M100" s="440"/>
      <c r="N100" s="440"/>
      <c r="O100" s="440"/>
      <c r="P100" s="440"/>
      <c r="Q100" s="440"/>
      <c r="R100" s="440"/>
      <c r="W100" s="449"/>
      <c r="Y100" s="440"/>
      <c r="Z100" s="423"/>
    </row>
    <row r="101" spans="2:26">
      <c r="B101" s="449"/>
      <c r="D101" s="426"/>
      <c r="E101" s="426"/>
      <c r="F101" s="426"/>
      <c r="G101" s="426"/>
      <c r="H101" s="440"/>
      <c r="I101" s="426"/>
      <c r="J101" s="440"/>
      <c r="K101" s="440"/>
      <c r="L101" s="440"/>
      <c r="M101" s="440"/>
      <c r="N101" s="440"/>
      <c r="O101" s="440"/>
      <c r="P101" s="440"/>
      <c r="Q101" s="440"/>
      <c r="R101" s="440"/>
      <c r="W101" s="449"/>
      <c r="Y101" s="440"/>
      <c r="Z101" s="423"/>
    </row>
    <row r="102" spans="2:26">
      <c r="B102" s="449"/>
      <c r="D102" s="426"/>
      <c r="E102" s="426"/>
      <c r="F102" s="426"/>
      <c r="G102" s="426"/>
      <c r="H102" s="440"/>
      <c r="I102" s="426"/>
      <c r="J102" s="440"/>
      <c r="K102" s="440"/>
      <c r="L102" s="440"/>
      <c r="M102" s="440"/>
      <c r="N102" s="440"/>
      <c r="O102" s="440"/>
      <c r="P102" s="440"/>
      <c r="Q102" s="440"/>
      <c r="R102" s="440"/>
      <c r="W102" s="449"/>
      <c r="Y102" s="440"/>
      <c r="Z102" s="423"/>
    </row>
    <row r="103" spans="2:26">
      <c r="B103" s="449"/>
      <c r="D103" s="426"/>
      <c r="E103" s="426"/>
      <c r="F103" s="426"/>
      <c r="G103" s="426"/>
      <c r="H103" s="440"/>
      <c r="I103" s="426"/>
      <c r="J103" s="440"/>
      <c r="K103" s="440"/>
      <c r="L103" s="440"/>
      <c r="M103" s="440"/>
      <c r="N103" s="440"/>
      <c r="O103" s="440"/>
      <c r="P103" s="440"/>
      <c r="Q103" s="440"/>
      <c r="R103" s="440"/>
      <c r="W103" s="449"/>
      <c r="Y103" s="440"/>
      <c r="Z103" s="423"/>
    </row>
    <row r="104" spans="2:26">
      <c r="B104" s="449"/>
      <c r="D104" s="426"/>
      <c r="E104" s="426"/>
      <c r="F104" s="426"/>
      <c r="G104" s="426"/>
      <c r="H104" s="440"/>
      <c r="I104" s="426"/>
      <c r="J104" s="440"/>
      <c r="K104" s="440"/>
      <c r="L104" s="440"/>
      <c r="M104" s="440"/>
      <c r="N104" s="440"/>
      <c r="O104" s="440"/>
      <c r="P104" s="440"/>
      <c r="Q104" s="440"/>
      <c r="R104" s="440"/>
      <c r="W104" s="449"/>
      <c r="Y104" s="440"/>
      <c r="Z104" s="423"/>
    </row>
    <row r="105" spans="2:26">
      <c r="D105" s="426"/>
      <c r="E105" s="426"/>
      <c r="F105" s="426"/>
      <c r="G105" s="426"/>
      <c r="I105" s="426"/>
      <c r="M105" s="440"/>
      <c r="N105" s="440"/>
      <c r="O105" s="440"/>
      <c r="P105" s="440"/>
      <c r="Q105" s="440"/>
      <c r="R105" s="440"/>
    </row>
    <row r="106" spans="2:26">
      <c r="B106" s="440"/>
      <c r="C106" s="440"/>
      <c r="D106" s="426"/>
      <c r="E106" s="426"/>
      <c r="F106" s="426"/>
      <c r="G106" s="426"/>
      <c r="H106" s="440"/>
      <c r="I106" s="426"/>
      <c r="J106" s="440"/>
      <c r="K106" s="426"/>
      <c r="L106" s="440"/>
      <c r="M106" s="440"/>
      <c r="N106" s="440"/>
      <c r="O106" s="440"/>
      <c r="P106" s="440"/>
      <c r="Q106" s="440"/>
      <c r="R106" s="440"/>
      <c r="S106" s="440"/>
      <c r="T106" s="440"/>
      <c r="U106" s="440"/>
      <c r="V106" s="440"/>
      <c r="W106" s="449"/>
      <c r="X106" s="440"/>
      <c r="Y106" s="440"/>
      <c r="Z106" s="440"/>
    </row>
    <row r="107" spans="2:26">
      <c r="B107" s="440"/>
      <c r="C107" s="440"/>
      <c r="D107" s="440"/>
      <c r="E107" s="440"/>
      <c r="F107" s="440"/>
      <c r="G107" s="440"/>
      <c r="H107" s="440"/>
      <c r="I107" s="440"/>
      <c r="J107" s="440"/>
      <c r="K107" s="440"/>
      <c r="L107" s="440"/>
      <c r="M107" s="440"/>
      <c r="N107" s="440"/>
      <c r="O107" s="440"/>
      <c r="P107" s="440"/>
      <c r="Q107" s="440"/>
      <c r="R107" s="440"/>
      <c r="S107" s="440"/>
      <c r="T107" s="440"/>
      <c r="U107" s="440"/>
      <c r="V107" s="440"/>
      <c r="W107" s="449"/>
      <c r="X107" s="440"/>
      <c r="Y107" s="440"/>
      <c r="Z107" s="440"/>
    </row>
    <row r="108" spans="2:26" ht="15.75">
      <c r="B108" s="263"/>
      <c r="C108" s="440"/>
      <c r="D108" s="440"/>
      <c r="E108" s="440"/>
      <c r="F108" s="440"/>
      <c r="G108" s="440"/>
      <c r="H108" s="440"/>
      <c r="I108" s="440"/>
      <c r="J108" s="440"/>
      <c r="K108" s="440"/>
      <c r="L108" s="440"/>
      <c r="M108" s="440"/>
      <c r="N108" s="440"/>
      <c r="O108" s="440"/>
      <c r="P108" s="440"/>
      <c r="Q108" s="440"/>
      <c r="R108" s="440"/>
      <c r="S108" s="440"/>
      <c r="T108" s="440"/>
      <c r="U108" s="440"/>
      <c r="V108" s="440"/>
      <c r="W108" s="440"/>
      <c r="X108" s="440"/>
      <c r="Y108" s="440"/>
      <c r="Z108" s="440"/>
    </row>
    <row r="109" spans="2:26" ht="15.75">
      <c r="B109" s="261"/>
    </row>
    <row r="110" spans="2:26">
      <c r="D110" s="484"/>
      <c r="K110" s="484"/>
      <c r="M110" s="426"/>
      <c r="N110" s="426"/>
      <c r="O110" s="426"/>
      <c r="P110" s="426"/>
      <c r="Q110" s="426"/>
      <c r="R110" s="426"/>
      <c r="W110" s="483"/>
      <c r="Y110" s="426"/>
    </row>
    <row r="111" spans="2:26">
      <c r="D111" s="469"/>
      <c r="K111" s="469"/>
      <c r="M111" s="469"/>
      <c r="N111" s="469"/>
      <c r="O111" s="469"/>
      <c r="P111" s="469"/>
      <c r="Q111" s="469"/>
      <c r="R111" s="469"/>
      <c r="W111" s="483"/>
      <c r="Y111" s="469"/>
    </row>
    <row r="112" spans="2:26">
      <c r="D112" s="469"/>
      <c r="K112" s="469"/>
      <c r="M112" s="469"/>
      <c r="N112" s="469"/>
      <c r="O112" s="469"/>
      <c r="P112" s="469"/>
      <c r="Q112" s="469"/>
      <c r="R112" s="469"/>
      <c r="W112" s="483"/>
      <c r="Y112" s="469"/>
    </row>
    <row r="113" spans="2:25">
      <c r="D113" s="469"/>
      <c r="K113" s="469"/>
      <c r="M113" s="469"/>
      <c r="N113" s="469"/>
      <c r="O113" s="469"/>
      <c r="P113" s="469"/>
      <c r="Q113" s="469"/>
      <c r="R113" s="469"/>
      <c r="W113" s="483"/>
      <c r="Y113" s="469"/>
    </row>
    <row r="114" spans="2:25">
      <c r="D114" s="469"/>
      <c r="K114" s="469"/>
      <c r="M114" s="469"/>
      <c r="N114" s="469"/>
      <c r="O114" s="469"/>
      <c r="P114" s="469"/>
      <c r="Q114" s="469"/>
      <c r="R114" s="469"/>
      <c r="W114" s="483"/>
      <c r="Y114" s="469"/>
    </row>
    <row r="115" spans="2:25">
      <c r="B115" s="449"/>
      <c r="W115" s="483"/>
    </row>
    <row r="116" spans="2:25">
      <c r="B116" s="449"/>
      <c r="D116" s="484"/>
      <c r="K116" s="484"/>
      <c r="M116" s="484"/>
      <c r="N116" s="484"/>
      <c r="O116" s="484"/>
      <c r="P116" s="484"/>
      <c r="Q116" s="484"/>
      <c r="R116" s="484"/>
      <c r="W116" s="483"/>
      <c r="Y116" s="484"/>
    </row>
    <row r="118" spans="2:25" ht="15.75">
      <c r="B118" s="261"/>
    </row>
    <row r="119" spans="2:25" ht="15.75">
      <c r="B119" s="257"/>
    </row>
    <row r="120" spans="2:25">
      <c r="D120" s="463"/>
    </row>
    <row r="121" spans="2:25">
      <c r="D121" s="431"/>
    </row>
    <row r="122" spans="2:25">
      <c r="D122" s="431"/>
    </row>
    <row r="123" spans="2:25">
      <c r="D123" s="488"/>
    </row>
    <row r="124" spans="2:25">
      <c r="D124" s="431"/>
    </row>
    <row r="125" spans="2:25">
      <c r="D125" s="431"/>
    </row>
    <row r="126" spans="2:25">
      <c r="B126" s="485"/>
      <c r="D126" s="463"/>
    </row>
    <row r="127" spans="2:25">
      <c r="B127" s="485"/>
    </row>
    <row r="128" spans="2:25" ht="15.75">
      <c r="C128" s="258"/>
    </row>
    <row r="129" spans="2:11" ht="15.75">
      <c r="B129" s="486"/>
      <c r="D129" s="423"/>
      <c r="G129" s="423"/>
      <c r="I129" s="423"/>
      <c r="K129" s="423"/>
    </row>
    <row r="130" spans="2:11">
      <c r="D130" s="423"/>
      <c r="G130" s="423"/>
      <c r="I130" s="423"/>
      <c r="K130" s="423"/>
    </row>
    <row r="131" spans="2:11">
      <c r="D131" s="463"/>
      <c r="G131" s="449"/>
      <c r="I131" s="449"/>
      <c r="K131" s="489"/>
    </row>
    <row r="132" spans="2:11">
      <c r="D132" s="463"/>
      <c r="G132" s="449"/>
      <c r="I132" s="449"/>
      <c r="K132" s="449"/>
    </row>
    <row r="133" spans="2:11">
      <c r="D133" s="463"/>
      <c r="G133" s="449"/>
      <c r="I133" s="449"/>
      <c r="K133" s="449"/>
    </row>
    <row r="134" spans="2:11">
      <c r="D134" s="463"/>
      <c r="G134" s="449"/>
      <c r="I134" s="449"/>
      <c r="K134" s="449"/>
    </row>
    <row r="135" spans="2:11">
      <c r="D135" s="463"/>
      <c r="G135" s="449"/>
      <c r="I135" s="449"/>
      <c r="K135" s="449"/>
    </row>
    <row r="136" spans="2:11">
      <c r="D136" s="463"/>
      <c r="G136" s="449"/>
      <c r="I136" s="449"/>
      <c r="K136" s="449"/>
    </row>
    <row r="137" spans="2:11">
      <c r="D137" s="463"/>
      <c r="G137" s="449"/>
      <c r="I137" s="449"/>
      <c r="K137" s="449"/>
    </row>
  </sheetData>
  <mergeCells count="1">
    <mergeCell ref="AT12:AU12"/>
  </mergeCells>
  <pageMargins left="0.17" right="0.16" top="1" bottom="1" header="0.5" footer="0.5"/>
  <pageSetup scale="29" orientation="landscape" r:id="rId1"/>
  <headerFooter alignWithMargins="0"/>
  <colBreaks count="1" manualBreakCount="1">
    <brk id="27" max="5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86"/>
  <sheetViews>
    <sheetView view="pageBreakPreview" zoomScale="60" zoomScaleNormal="70" workbookViewId="0"/>
  </sheetViews>
  <sheetFormatPr defaultColWidth="8.88671875" defaultRowHeight="15"/>
  <cols>
    <col min="1" max="1" width="6" style="80" customWidth="1"/>
    <col min="2" max="2" width="1.44140625" style="80" customWidth="1"/>
    <col min="3" max="3" width="62.109375" style="80" customWidth="1"/>
    <col min="4" max="4" width="33" style="80" customWidth="1"/>
    <col min="5" max="5" width="36.77734375" style="80" bestFit="1" customWidth="1"/>
    <col min="6" max="6" width="18.109375" style="80" customWidth="1"/>
    <col min="7" max="7" width="18" style="80" customWidth="1"/>
    <col min="8" max="8" width="15.88671875" style="80" customWidth="1"/>
    <col min="9" max="10" width="12.88671875" style="80" customWidth="1"/>
    <col min="11" max="11" width="15.109375" style="80" customWidth="1"/>
    <col min="12" max="13" width="15.88671875" style="80" customWidth="1"/>
    <col min="14" max="14" width="28.88671875" style="80" customWidth="1"/>
    <col min="15" max="15" width="16.109375" style="80" customWidth="1"/>
    <col min="16" max="16" width="23.109375" style="80" bestFit="1" customWidth="1"/>
    <col min="17" max="17" width="15.88671875" style="80" customWidth="1"/>
    <col min="18" max="18" width="18.77734375" style="80" customWidth="1"/>
    <col min="19" max="19" width="13.21875" style="80" customWidth="1"/>
    <col min="20" max="20" width="14.33203125" style="80" customWidth="1"/>
    <col min="21" max="16384" width="8.88671875" style="80"/>
  </cols>
  <sheetData>
    <row r="1" spans="1:20">
      <c r="O1" s="280"/>
      <c r="R1" s="280"/>
      <c r="T1" s="280" t="str">
        <f>'Attachment H-11A '!K1&amp;""&amp;", Attachment 11"</f>
        <v>Attachment H -11A, Attachment 11</v>
      </c>
    </row>
    <row r="2" spans="1:20" ht="15.75">
      <c r="G2" s="281"/>
      <c r="O2" s="280"/>
      <c r="R2" s="280"/>
      <c r="T2" s="280" t="s">
        <v>171</v>
      </c>
    </row>
    <row r="3" spans="1:20">
      <c r="O3" s="280"/>
      <c r="R3" s="280"/>
      <c r="T3" s="280" t="str">
        <f>'Attachment H-11A '!K4</f>
        <v>For the 12 months ended 12/31/2023</v>
      </c>
    </row>
    <row r="5" spans="1:20" ht="15.75">
      <c r="A5" s="1142" t="s">
        <v>565</v>
      </c>
      <c r="B5" s="1142"/>
      <c r="C5" s="1142"/>
      <c r="D5" s="1142"/>
      <c r="E5" s="1142"/>
      <c r="F5" s="1142"/>
      <c r="G5" s="1142"/>
      <c r="H5" s="1142"/>
      <c r="I5" s="1142"/>
      <c r="J5" s="1142"/>
      <c r="K5" s="1142"/>
      <c r="L5" s="1142"/>
      <c r="M5" s="1142"/>
      <c r="N5" s="1142"/>
      <c r="O5" s="1142"/>
    </row>
    <row r="6" spans="1:20">
      <c r="A6" s="1143" t="s">
        <v>906</v>
      </c>
      <c r="B6" s="1143"/>
      <c r="C6" s="1143"/>
      <c r="D6" s="1143"/>
      <c r="E6" s="1143"/>
      <c r="F6" s="1143"/>
      <c r="G6" s="1143"/>
      <c r="H6" s="1143"/>
      <c r="I6" s="1143"/>
      <c r="J6" s="1143"/>
      <c r="K6" s="1143"/>
      <c r="L6" s="1143"/>
      <c r="M6" s="1143"/>
      <c r="N6" s="1143"/>
      <c r="O6" s="1143"/>
    </row>
    <row r="7" spans="1:20">
      <c r="A7" s="1143"/>
      <c r="B7" s="1143"/>
      <c r="C7" s="1143"/>
      <c r="D7" s="1143"/>
      <c r="E7" s="1143"/>
      <c r="F7" s="1143"/>
      <c r="G7" s="1143"/>
      <c r="H7" s="1143"/>
      <c r="I7" s="1143"/>
      <c r="J7" s="1143"/>
      <c r="K7" s="1143"/>
      <c r="L7" s="1143"/>
      <c r="M7" s="293"/>
    </row>
    <row r="8" spans="1:20">
      <c r="A8" s="282"/>
      <c r="C8" s="204"/>
      <c r="D8" s="204"/>
      <c r="F8" s="204"/>
      <c r="H8" s="204"/>
      <c r="I8" s="204"/>
      <c r="J8" s="204"/>
      <c r="K8" s="204"/>
      <c r="L8" s="204"/>
      <c r="M8" s="204"/>
    </row>
    <row r="9" spans="1:20">
      <c r="A9" s="282"/>
      <c r="C9" s="204"/>
      <c r="D9" s="204"/>
      <c r="E9" s="204"/>
      <c r="F9" s="204"/>
      <c r="G9" s="283"/>
      <c r="H9" s="204"/>
      <c r="I9" s="204"/>
      <c r="J9" s="204"/>
      <c r="K9" s="204"/>
      <c r="L9" s="204"/>
      <c r="M9" s="204"/>
    </row>
    <row r="10" spans="1:20">
      <c r="A10" s="282"/>
      <c r="D10" s="204"/>
      <c r="E10" s="204"/>
      <c r="F10" s="204"/>
      <c r="G10" s="283"/>
      <c r="H10" s="204"/>
      <c r="I10" s="204"/>
      <c r="J10" s="204"/>
      <c r="K10" s="204"/>
      <c r="L10" s="204"/>
      <c r="M10" s="204"/>
    </row>
    <row r="11" spans="1:20">
      <c r="A11" s="282"/>
      <c r="C11" s="204"/>
      <c r="D11" s="204"/>
      <c r="E11" s="204"/>
      <c r="F11" s="204"/>
      <c r="G11" s="283"/>
      <c r="K11" s="1145"/>
      <c r="L11" s="1145"/>
      <c r="M11" s="1145"/>
      <c r="N11" s="1145"/>
      <c r="O11" s="1145"/>
      <c r="P11" s="1145"/>
      <c r="Q11" s="1145"/>
      <c r="R11" s="1145"/>
      <c r="S11" s="1145"/>
      <c r="T11" s="1145"/>
    </row>
    <row r="12" spans="1:20">
      <c r="A12" s="282"/>
      <c r="C12" s="204"/>
      <c r="D12" s="204"/>
      <c r="E12" s="204"/>
      <c r="F12" s="204"/>
      <c r="G12" s="204"/>
      <c r="K12" s="799"/>
      <c r="L12" s="798"/>
      <c r="M12" s="798"/>
      <c r="N12" s="799"/>
      <c r="O12" s="799"/>
      <c r="P12" s="799"/>
      <c r="Q12" s="799"/>
      <c r="R12" s="799"/>
      <c r="S12" s="799"/>
      <c r="T12" s="799"/>
    </row>
    <row r="13" spans="1:20">
      <c r="C13" s="285" t="s">
        <v>18</v>
      </c>
      <c r="D13" s="285"/>
      <c r="E13" s="285" t="s">
        <v>19</v>
      </c>
      <c r="F13" s="285"/>
      <c r="G13" s="285" t="s">
        <v>20</v>
      </c>
      <c r="I13" s="286" t="s">
        <v>21</v>
      </c>
      <c r="K13" s="800"/>
      <c r="L13" s="800"/>
      <c r="M13" s="800"/>
      <c r="N13" s="799"/>
      <c r="O13" s="799"/>
      <c r="P13" s="800"/>
      <c r="Q13" s="799"/>
      <c r="R13" s="800"/>
      <c r="S13" s="799"/>
      <c r="T13" s="800"/>
    </row>
    <row r="14" spans="1:20" ht="15.75">
      <c r="C14" s="204"/>
      <c r="D14" s="204"/>
      <c r="E14" s="287"/>
      <c r="F14" s="287"/>
      <c r="G14" s="288"/>
      <c r="K14" s="799"/>
      <c r="L14" s="799"/>
      <c r="M14" s="799"/>
      <c r="N14" s="799"/>
      <c r="O14" s="799"/>
      <c r="P14" s="799"/>
      <c r="Q14" s="799"/>
      <c r="R14" s="799"/>
      <c r="S14" s="799"/>
      <c r="T14" s="799"/>
    </row>
    <row r="15" spans="1:20" ht="15.75">
      <c r="A15" s="282" t="s">
        <v>5</v>
      </c>
      <c r="C15" s="204"/>
      <c r="D15" s="204"/>
      <c r="E15" s="289" t="s">
        <v>170</v>
      </c>
      <c r="F15" s="289"/>
      <c r="G15" s="290" t="s">
        <v>24</v>
      </c>
      <c r="I15" s="290" t="s">
        <v>10</v>
      </c>
      <c r="K15" s="811"/>
      <c r="L15" s="801"/>
      <c r="M15" s="801"/>
      <c r="N15" s="799"/>
      <c r="O15" s="799"/>
      <c r="P15" s="801"/>
      <c r="Q15" s="799"/>
      <c r="R15" s="801"/>
      <c r="S15" s="799"/>
      <c r="T15" s="801"/>
    </row>
    <row r="16" spans="1:20" ht="15.75">
      <c r="A16" s="282" t="s">
        <v>7</v>
      </c>
      <c r="C16" s="291"/>
      <c r="D16" s="291"/>
      <c r="E16" s="288"/>
      <c r="F16" s="288"/>
      <c r="G16" s="288"/>
      <c r="I16" s="288"/>
      <c r="K16" s="811"/>
      <c r="L16" s="799"/>
      <c r="M16" s="799"/>
      <c r="N16" s="799"/>
      <c r="O16" s="799"/>
      <c r="P16" s="799"/>
      <c r="Q16" s="799"/>
      <c r="R16" s="799"/>
      <c r="S16" s="799"/>
      <c r="T16" s="799"/>
    </row>
    <row r="17" spans="1:20" ht="15.75">
      <c r="A17" s="292"/>
      <c r="C17" s="204"/>
      <c r="D17" s="204"/>
      <c r="E17" s="288"/>
      <c r="F17" s="288"/>
      <c r="G17" s="288"/>
      <c r="I17" s="288"/>
      <c r="K17" s="799"/>
      <c r="L17" s="799"/>
      <c r="M17" s="799"/>
      <c r="N17" s="799"/>
      <c r="O17" s="799"/>
      <c r="P17" s="799"/>
      <c r="Q17" s="799"/>
      <c r="R17" s="799"/>
      <c r="S17" s="799"/>
      <c r="T17" s="799"/>
    </row>
    <row r="18" spans="1:20">
      <c r="A18" s="293">
        <v>1</v>
      </c>
      <c r="C18" s="204" t="s">
        <v>138</v>
      </c>
      <c r="D18" s="204"/>
      <c r="E18" s="293" t="s">
        <v>904</v>
      </c>
      <c r="F18" s="293"/>
      <c r="G18" s="294">
        <f>'Attachment H-11A '!I43</f>
        <v>625416008.34458816</v>
      </c>
      <c r="K18" s="799"/>
      <c r="L18" s="799"/>
      <c r="M18" s="799"/>
      <c r="N18" s="799"/>
      <c r="O18" s="799"/>
      <c r="P18" s="799"/>
      <c r="Q18" s="799"/>
      <c r="R18" s="799"/>
      <c r="S18" s="799"/>
      <c r="T18" s="799"/>
    </row>
    <row r="19" spans="1:20">
      <c r="A19" s="293">
        <v>2</v>
      </c>
      <c r="C19" s="204" t="s">
        <v>139</v>
      </c>
      <c r="D19" s="204"/>
      <c r="E19" s="293" t="s">
        <v>905</v>
      </c>
      <c r="F19" s="293"/>
      <c r="G19" s="294">
        <f>'Attachment H-11A '!I59</f>
        <v>420408042.85204411</v>
      </c>
      <c r="K19" s="799"/>
      <c r="L19" s="799"/>
      <c r="M19" s="799"/>
      <c r="N19" s="799"/>
      <c r="O19" s="799"/>
      <c r="P19" s="799"/>
      <c r="Q19" s="799"/>
      <c r="R19" s="799"/>
      <c r="S19" s="799"/>
      <c r="T19" s="799"/>
    </row>
    <row r="20" spans="1:20">
      <c r="A20" s="293"/>
      <c r="E20" s="293"/>
      <c r="F20" s="293"/>
      <c r="K20" s="799"/>
      <c r="L20" s="799"/>
      <c r="M20" s="799"/>
      <c r="N20" s="799"/>
      <c r="O20" s="799"/>
      <c r="P20" s="799"/>
      <c r="Q20" s="799"/>
      <c r="R20" s="799"/>
      <c r="S20" s="799"/>
      <c r="T20" s="799"/>
    </row>
    <row r="21" spans="1:20">
      <c r="A21" s="293"/>
      <c r="C21" s="204" t="s">
        <v>140</v>
      </c>
      <c r="D21" s="204"/>
      <c r="E21" s="293"/>
      <c r="F21" s="293"/>
      <c r="G21" s="288"/>
      <c r="I21" s="288"/>
      <c r="K21" s="799"/>
      <c r="L21" s="799"/>
      <c r="M21" s="799"/>
      <c r="N21" s="799"/>
      <c r="O21" s="799"/>
      <c r="P21" s="799"/>
      <c r="Q21" s="799"/>
      <c r="R21" s="799"/>
      <c r="S21" s="799"/>
      <c r="T21" s="799"/>
    </row>
    <row r="22" spans="1:20">
      <c r="A22" s="293">
        <v>3</v>
      </c>
      <c r="C22" s="204" t="s">
        <v>141</v>
      </c>
      <c r="D22" s="204"/>
      <c r="E22" s="293" t="s">
        <v>1154</v>
      </c>
      <c r="F22" s="293"/>
      <c r="G22" s="294">
        <f>'Attachment H-11A '!I123</f>
        <v>2654178.9776239386</v>
      </c>
      <c r="K22" s="799"/>
      <c r="L22" s="799"/>
      <c r="M22" s="799"/>
      <c r="N22" s="799"/>
      <c r="O22" s="799"/>
      <c r="P22" s="799"/>
      <c r="Q22" s="799"/>
      <c r="R22" s="799"/>
      <c r="S22" s="799"/>
      <c r="T22" s="799"/>
    </row>
    <row r="23" spans="1:20">
      <c r="A23" s="293">
        <v>4</v>
      </c>
      <c r="C23" s="204" t="s">
        <v>142</v>
      </c>
      <c r="D23" s="204"/>
      <c r="E23" s="293" t="s">
        <v>172</v>
      </c>
      <c r="F23" s="293"/>
      <c r="G23" s="295">
        <f>IF(G22=0,0,G22/G18)</f>
        <v>4.2438615932605837E-3</v>
      </c>
      <c r="I23" s="296">
        <f>G23</f>
        <v>4.2438615932605837E-3</v>
      </c>
      <c r="K23" s="799"/>
      <c r="L23" s="799"/>
      <c r="M23" s="799"/>
      <c r="N23" s="799"/>
      <c r="O23" s="799"/>
      <c r="P23" s="799"/>
      <c r="Q23" s="799"/>
      <c r="R23" s="799"/>
      <c r="S23" s="799"/>
      <c r="T23" s="799"/>
    </row>
    <row r="24" spans="1:20">
      <c r="A24" s="293"/>
      <c r="C24" s="204"/>
      <c r="D24" s="204"/>
      <c r="E24" s="293"/>
      <c r="F24" s="293"/>
      <c r="G24" s="295"/>
      <c r="I24" s="296"/>
      <c r="K24" s="799"/>
      <c r="L24" s="799"/>
      <c r="M24" s="799"/>
      <c r="N24" s="799"/>
      <c r="O24" s="799"/>
      <c r="P24" s="799"/>
      <c r="Q24" s="799"/>
      <c r="R24" s="799"/>
      <c r="S24" s="799"/>
      <c r="T24" s="799"/>
    </row>
    <row r="25" spans="1:20">
      <c r="A25" s="293"/>
      <c r="C25" s="204" t="s">
        <v>293</v>
      </c>
      <c r="D25" s="204"/>
      <c r="E25" s="293"/>
      <c r="F25" s="293"/>
      <c r="G25" s="295"/>
      <c r="I25" s="296"/>
      <c r="K25" s="799"/>
      <c r="L25" s="799"/>
      <c r="M25" s="799"/>
      <c r="N25" s="799"/>
      <c r="O25" s="799"/>
      <c r="P25" s="799"/>
      <c r="Q25" s="799"/>
      <c r="R25" s="799"/>
      <c r="S25" s="799"/>
      <c r="T25" s="799"/>
    </row>
    <row r="26" spans="1:20">
      <c r="A26" s="293">
        <v>5</v>
      </c>
      <c r="C26" s="204" t="s">
        <v>294</v>
      </c>
      <c r="D26" s="204"/>
      <c r="E26" s="293" t="s">
        <v>1155</v>
      </c>
      <c r="F26" s="293"/>
      <c r="G26" s="294">
        <f>'Attachment H-11A '!I127+'Attachment H-11A '!I129</f>
        <v>436332.75176488911</v>
      </c>
      <c r="I26" s="296"/>
      <c r="K26" s="799"/>
      <c r="L26" s="799"/>
      <c r="M26" s="799"/>
      <c r="N26" s="799"/>
      <c r="O26" s="799"/>
      <c r="P26" s="799"/>
      <c r="Q26" s="799"/>
      <c r="R26" s="799"/>
      <c r="S26" s="799"/>
      <c r="T26" s="799"/>
    </row>
    <row r="27" spans="1:20">
      <c r="A27" s="293">
        <v>6</v>
      </c>
      <c r="C27" s="204" t="s">
        <v>295</v>
      </c>
      <c r="D27" s="204"/>
      <c r="E27" s="293" t="s">
        <v>173</v>
      </c>
      <c r="F27" s="293"/>
      <c r="G27" s="295">
        <f>G26/G18</f>
        <v>6.9766802567113213E-4</v>
      </c>
      <c r="I27" s="296">
        <f>G27</f>
        <v>6.9766802567113213E-4</v>
      </c>
      <c r="K27" s="799"/>
      <c r="L27" s="799"/>
      <c r="M27" s="799"/>
      <c r="N27" s="799"/>
      <c r="O27" s="799"/>
      <c r="P27" s="799"/>
      <c r="Q27" s="799"/>
      <c r="R27" s="799"/>
      <c r="S27" s="799"/>
      <c r="T27" s="799"/>
    </row>
    <row r="28" spans="1:20">
      <c r="A28" s="293"/>
      <c r="C28" s="204"/>
      <c r="D28" s="204"/>
      <c r="E28" s="293"/>
      <c r="F28" s="293"/>
      <c r="G28" s="295"/>
      <c r="I28" s="296"/>
      <c r="K28" s="799"/>
      <c r="L28" s="799"/>
      <c r="M28" s="799"/>
      <c r="N28" s="799"/>
      <c r="O28" s="799"/>
      <c r="P28" s="799"/>
      <c r="Q28" s="799"/>
      <c r="R28" s="799"/>
      <c r="S28" s="799"/>
      <c r="T28" s="799"/>
    </row>
    <row r="29" spans="1:20">
      <c r="A29" s="286"/>
      <c r="C29" s="204" t="s">
        <v>143</v>
      </c>
      <c r="D29" s="204"/>
      <c r="E29" s="297"/>
      <c r="F29" s="297"/>
      <c r="G29" s="288"/>
      <c r="I29" s="295"/>
      <c r="K29" s="799"/>
      <c r="L29" s="799"/>
      <c r="M29" s="799"/>
      <c r="N29" s="799"/>
      <c r="O29" s="799"/>
      <c r="P29" s="799"/>
      <c r="Q29" s="799"/>
      <c r="R29" s="799"/>
      <c r="S29" s="799"/>
      <c r="T29" s="799"/>
    </row>
    <row r="30" spans="1:20">
      <c r="A30" s="286" t="s">
        <v>147</v>
      </c>
      <c r="C30" s="204" t="s">
        <v>145</v>
      </c>
      <c r="D30" s="204"/>
      <c r="E30" s="293" t="s">
        <v>1156</v>
      </c>
      <c r="F30" s="293"/>
      <c r="G30" s="294">
        <f>'Attachment H-11A '!I141</f>
        <v>2783987.3727949113</v>
      </c>
      <c r="I30" s="295"/>
      <c r="K30" s="799"/>
      <c r="L30" s="799"/>
      <c r="M30" s="799"/>
      <c r="N30" s="799"/>
      <c r="O30" s="799"/>
      <c r="P30" s="799"/>
      <c r="Q30" s="799"/>
      <c r="R30" s="799"/>
      <c r="S30" s="799"/>
      <c r="T30" s="799"/>
    </row>
    <row r="31" spans="1:20">
      <c r="A31" s="286" t="s">
        <v>150</v>
      </c>
      <c r="C31" s="204" t="s">
        <v>146</v>
      </c>
      <c r="D31" s="204"/>
      <c r="E31" s="293" t="s">
        <v>296</v>
      </c>
      <c r="F31" s="293"/>
      <c r="G31" s="295">
        <f>IF(G30=0,0,G30/G18)</f>
        <v>4.4514168739681597E-3</v>
      </c>
      <c r="I31" s="296">
        <f>G31</f>
        <v>4.4514168739681597E-3</v>
      </c>
      <c r="K31" s="799"/>
      <c r="L31" s="799"/>
      <c r="M31" s="799"/>
      <c r="N31" s="799"/>
      <c r="O31" s="799"/>
      <c r="P31" s="799"/>
      <c r="Q31" s="799"/>
      <c r="R31" s="799"/>
      <c r="S31" s="799"/>
      <c r="T31" s="799"/>
    </row>
    <row r="32" spans="1:20">
      <c r="A32" s="286"/>
      <c r="C32" s="204"/>
      <c r="D32" s="204"/>
      <c r="E32" s="293"/>
      <c r="F32" s="293"/>
      <c r="G32" s="295"/>
      <c r="I32" s="296"/>
      <c r="K32" s="799"/>
      <c r="L32" s="799"/>
      <c r="M32" s="799"/>
      <c r="N32" s="799"/>
      <c r="O32" s="799"/>
      <c r="P32" s="799"/>
      <c r="Q32" s="799"/>
      <c r="R32" s="799"/>
      <c r="S32" s="799"/>
      <c r="T32" s="799"/>
    </row>
    <row r="33" spans="1:20" ht="15.75">
      <c r="A33" s="298" t="s">
        <v>151</v>
      </c>
      <c r="B33" s="281"/>
      <c r="C33" s="291" t="s">
        <v>148</v>
      </c>
      <c r="D33" s="291"/>
      <c r="E33" s="287" t="s">
        <v>441</v>
      </c>
      <c r="F33" s="287"/>
      <c r="G33" s="299"/>
      <c r="I33" s="300">
        <f>I23+I27+I31</f>
        <v>9.3929464928998764E-3</v>
      </c>
      <c r="K33" s="799"/>
      <c r="L33" s="799"/>
      <c r="M33" s="799"/>
      <c r="N33" s="799"/>
      <c r="O33" s="799"/>
      <c r="P33" s="799"/>
      <c r="Q33" s="799"/>
      <c r="R33" s="799"/>
      <c r="S33" s="799"/>
      <c r="T33" s="799"/>
    </row>
    <row r="34" spans="1:20">
      <c r="A34" s="286"/>
      <c r="C34" s="204"/>
      <c r="D34" s="204"/>
      <c r="E34" s="293"/>
      <c r="F34" s="293"/>
      <c r="G34" s="288"/>
      <c r="I34" s="295"/>
      <c r="K34" s="799"/>
      <c r="L34" s="799"/>
      <c r="M34" s="799"/>
      <c r="N34" s="799"/>
      <c r="O34" s="799"/>
      <c r="P34" s="799"/>
      <c r="Q34" s="799"/>
      <c r="R34" s="799"/>
      <c r="S34" s="799"/>
      <c r="T34" s="799"/>
    </row>
    <row r="35" spans="1:20">
      <c r="A35" s="286"/>
      <c r="C35" s="288" t="s">
        <v>149</v>
      </c>
      <c r="D35" s="288"/>
      <c r="E35" s="293"/>
      <c r="F35" s="293"/>
      <c r="G35" s="288"/>
      <c r="I35" s="295"/>
      <c r="K35" s="800"/>
      <c r="L35" s="798"/>
      <c r="M35" s="798"/>
      <c r="N35" s="798"/>
      <c r="O35" s="798"/>
      <c r="P35" s="802"/>
      <c r="Q35" s="802"/>
      <c r="R35" s="798"/>
      <c r="S35" s="799"/>
      <c r="T35" s="804"/>
    </row>
    <row r="36" spans="1:20">
      <c r="A36" s="286" t="s">
        <v>153</v>
      </c>
      <c r="C36" s="288" t="s">
        <v>64</v>
      </c>
      <c r="D36" s="288"/>
      <c r="E36" s="293" t="s">
        <v>1157</v>
      </c>
      <c r="F36" s="293"/>
      <c r="G36" s="294">
        <f>'Attachment H-11A '!I156</f>
        <v>5452036.1066058232</v>
      </c>
      <c r="I36" s="295"/>
      <c r="K36" s="800"/>
      <c r="L36" s="798"/>
      <c r="M36" s="798"/>
      <c r="N36" s="798"/>
      <c r="O36" s="798"/>
      <c r="P36" s="802"/>
      <c r="Q36" s="802"/>
      <c r="R36" s="803"/>
      <c r="S36" s="799"/>
      <c r="T36" s="804"/>
    </row>
    <row r="37" spans="1:20">
      <c r="A37" s="286" t="s">
        <v>155</v>
      </c>
      <c r="C37" s="288" t="s">
        <v>152</v>
      </c>
      <c r="D37" s="288"/>
      <c r="E37" s="293" t="s">
        <v>526</v>
      </c>
      <c r="F37" s="293"/>
      <c r="G37" s="295">
        <f>IF(G36=0,0,G36/G19)</f>
        <v>1.2968439113626997E-2</v>
      </c>
      <c r="I37" s="296">
        <f>G37</f>
        <v>1.2968439113626997E-2</v>
      </c>
      <c r="K37" s="800"/>
      <c r="L37" s="798"/>
      <c r="M37" s="798"/>
      <c r="N37" s="798"/>
      <c r="O37" s="798"/>
      <c r="P37" s="802"/>
      <c r="Q37" s="802"/>
      <c r="R37" s="804"/>
      <c r="S37" s="799"/>
      <c r="T37" s="807"/>
    </row>
    <row r="38" spans="1:20">
      <c r="A38" s="286"/>
      <c r="C38" s="288"/>
      <c r="D38" s="288"/>
      <c r="E38" s="293"/>
      <c r="F38" s="293"/>
      <c r="G38" s="288"/>
      <c r="I38" s="295"/>
      <c r="K38" s="800"/>
      <c r="L38" s="798"/>
      <c r="M38" s="798"/>
      <c r="N38" s="798"/>
      <c r="O38" s="798"/>
      <c r="P38" s="802"/>
      <c r="Q38" s="802"/>
      <c r="R38" s="798"/>
      <c r="S38" s="799"/>
      <c r="T38" s="804"/>
    </row>
    <row r="39" spans="1:20">
      <c r="A39" s="286"/>
      <c r="C39" s="204" t="s">
        <v>65</v>
      </c>
      <c r="D39" s="204"/>
      <c r="E39" s="301"/>
      <c r="F39" s="301"/>
      <c r="I39" s="295"/>
      <c r="K39" s="800"/>
      <c r="L39" s="805"/>
      <c r="M39" s="805"/>
      <c r="N39" s="805"/>
      <c r="O39" s="805"/>
      <c r="P39" s="806"/>
      <c r="Q39" s="806"/>
      <c r="R39" s="799"/>
      <c r="S39" s="799"/>
      <c r="T39" s="804"/>
    </row>
    <row r="40" spans="1:20">
      <c r="A40" s="286" t="s">
        <v>157</v>
      </c>
      <c r="C40" s="204" t="s">
        <v>154</v>
      </c>
      <c r="D40" s="204"/>
      <c r="E40" s="293" t="s">
        <v>1158</v>
      </c>
      <c r="F40" s="293"/>
      <c r="G40" s="294">
        <f>'Attachment H-11A '!I158</f>
        <v>24476528.737574104</v>
      </c>
      <c r="I40" s="295"/>
      <c r="K40" s="800"/>
      <c r="L40" s="805"/>
      <c r="M40" s="805"/>
      <c r="N40" s="805"/>
      <c r="O40" s="805"/>
      <c r="P40" s="802"/>
      <c r="Q40" s="802"/>
      <c r="R40" s="803"/>
      <c r="S40" s="799"/>
      <c r="T40" s="804"/>
    </row>
    <row r="41" spans="1:20">
      <c r="A41" s="286" t="s">
        <v>193</v>
      </c>
      <c r="C41" s="288" t="s">
        <v>156</v>
      </c>
      <c r="D41" s="288"/>
      <c r="E41" s="293" t="s">
        <v>349</v>
      </c>
      <c r="F41" s="293"/>
      <c r="G41" s="296">
        <f>IF(G40=0,0,G40/G19)</f>
        <v>5.8220886002859434E-2</v>
      </c>
      <c r="I41" s="296">
        <f>G41</f>
        <v>5.8220886002859434E-2</v>
      </c>
      <c r="K41" s="800"/>
      <c r="L41" s="798"/>
      <c r="M41" s="798"/>
      <c r="N41" s="798"/>
      <c r="O41" s="798"/>
      <c r="P41" s="802"/>
      <c r="Q41" s="802"/>
      <c r="R41" s="807"/>
      <c r="S41" s="799"/>
      <c r="T41" s="807"/>
    </row>
    <row r="42" spans="1:20">
      <c r="A42" s="286"/>
      <c r="C42" s="204"/>
      <c r="D42" s="204"/>
      <c r="E42" s="293"/>
      <c r="F42" s="293"/>
      <c r="G42" s="288"/>
      <c r="I42" s="295"/>
      <c r="K42" s="800"/>
      <c r="L42" s="805"/>
      <c r="M42" s="805"/>
      <c r="N42" s="805"/>
      <c r="O42" s="805"/>
      <c r="P42" s="802"/>
      <c r="Q42" s="802"/>
      <c r="R42" s="798"/>
      <c r="S42" s="799"/>
      <c r="T42" s="804"/>
    </row>
    <row r="43" spans="1:20" ht="15.75">
      <c r="A43" s="298" t="s">
        <v>194</v>
      </c>
      <c r="B43" s="281"/>
      <c r="C43" s="291" t="s">
        <v>158</v>
      </c>
      <c r="D43" s="291"/>
      <c r="E43" s="287" t="s">
        <v>442</v>
      </c>
      <c r="F43" s="287"/>
      <c r="G43" s="299"/>
      <c r="I43" s="300">
        <f>I37+I41</f>
        <v>7.1189325116486429E-2</v>
      </c>
      <c r="K43" s="812"/>
      <c r="L43" s="808"/>
      <c r="M43" s="808"/>
      <c r="N43" s="808"/>
      <c r="O43" s="808"/>
      <c r="P43" s="809"/>
      <c r="Q43" s="809"/>
      <c r="R43" s="810"/>
      <c r="S43" s="799"/>
      <c r="T43" s="813"/>
    </row>
    <row r="44" spans="1:20">
      <c r="K44" s="799"/>
      <c r="L44" s="799"/>
      <c r="M44" s="799"/>
      <c r="N44" s="799"/>
      <c r="O44" s="799"/>
      <c r="P44" s="799"/>
      <c r="Q44" s="799"/>
      <c r="R44" s="799"/>
      <c r="S44" s="799"/>
      <c r="T44" s="799"/>
    </row>
    <row r="45" spans="1:20" ht="15.75">
      <c r="K45" s="812"/>
      <c r="L45" s="814"/>
      <c r="M45" s="814"/>
      <c r="N45" s="799"/>
      <c r="O45" s="799"/>
      <c r="P45" s="809"/>
      <c r="Q45" s="809"/>
      <c r="R45" s="814"/>
      <c r="S45" s="814"/>
      <c r="T45" s="815"/>
    </row>
    <row r="46" spans="1:20">
      <c r="A46" s="282"/>
      <c r="G46" s="288"/>
    </row>
    <row r="47" spans="1:20">
      <c r="O47" s="303"/>
      <c r="R47" s="303"/>
      <c r="T47" s="303" t="str">
        <f>T1</f>
        <v>Attachment H -11A, Attachment 11</v>
      </c>
    </row>
    <row r="48" spans="1:20">
      <c r="O48" s="303"/>
      <c r="R48" s="303"/>
      <c r="T48" s="303" t="s">
        <v>174</v>
      </c>
    </row>
    <row r="49" spans="1:20">
      <c r="O49" s="303"/>
      <c r="R49" s="303"/>
      <c r="T49" s="303" t="str">
        <f>'Attachment H-11A '!K4</f>
        <v>For the 12 months ended 12/31/2023</v>
      </c>
    </row>
    <row r="50" spans="1:20">
      <c r="A50" s="282"/>
      <c r="G50" s="288"/>
    </row>
    <row r="51" spans="1:20">
      <c r="A51" s="282"/>
      <c r="C51" s="204"/>
      <c r="D51" s="204"/>
    </row>
    <row r="52" spans="1:20">
      <c r="A52" s="282"/>
      <c r="C52" s="204"/>
      <c r="D52" s="204"/>
      <c r="L52" s="288"/>
      <c r="M52" s="288"/>
    </row>
    <row r="53" spans="1:20" ht="14.25" customHeight="1">
      <c r="A53" s="282"/>
    </row>
    <row r="54" spans="1:20" ht="15.75">
      <c r="A54" s="1140" t="str">
        <f>A5</f>
        <v>Transmission Enhancement Charge (TEC) Worksheet</v>
      </c>
      <c r="B54" s="1140"/>
      <c r="C54" s="1140"/>
      <c r="D54" s="1140"/>
      <c r="E54" s="1140"/>
      <c r="F54" s="1140"/>
      <c r="G54" s="1140"/>
      <c r="H54" s="1140"/>
      <c r="I54" s="1140"/>
      <c r="J54" s="1140"/>
      <c r="K54" s="1140"/>
      <c r="L54" s="1140"/>
      <c r="M54" s="1140"/>
      <c r="N54" s="1140"/>
      <c r="O54" s="1140"/>
    </row>
    <row r="55" spans="1:20" ht="15.75">
      <c r="A55" s="1141" t="str">
        <f>A6</f>
        <v>To be completed in conjunction with Attachment H-11A</v>
      </c>
      <c r="B55" s="1141"/>
      <c r="C55" s="1141"/>
      <c r="D55" s="1141"/>
      <c r="E55" s="1141"/>
      <c r="F55" s="1141"/>
      <c r="G55" s="1141"/>
      <c r="H55" s="1141"/>
      <c r="I55" s="1141"/>
      <c r="J55" s="1141"/>
      <c r="K55" s="1141"/>
      <c r="L55" s="1141"/>
      <c r="M55" s="1141"/>
      <c r="N55" s="1141"/>
      <c r="O55" s="1141"/>
      <c r="P55" s="1082"/>
    </row>
    <row r="56" spans="1:20" ht="15.75">
      <c r="A56" s="282"/>
      <c r="E56" s="291"/>
      <c r="H56" s="204"/>
      <c r="I56" s="204"/>
      <c r="J56" s="204"/>
      <c r="K56" s="204"/>
      <c r="L56" s="204"/>
      <c r="M56" s="204"/>
    </row>
    <row r="57" spans="1:20" ht="15.75">
      <c r="A57" s="282"/>
      <c r="E57" s="291"/>
      <c r="F57" s="291"/>
      <c r="H57" s="204"/>
      <c r="I57" s="204"/>
      <c r="J57" s="204"/>
      <c r="K57" s="204"/>
      <c r="L57" s="204"/>
      <c r="M57" s="204"/>
    </row>
    <row r="58" spans="1:20" ht="15.75">
      <c r="A58" s="282"/>
      <c r="C58" s="304">
        <v>-1</v>
      </c>
      <c r="D58" s="304">
        <v>-2</v>
      </c>
      <c r="E58" s="304">
        <v>-3</v>
      </c>
      <c r="F58" s="304">
        <v>-4</v>
      </c>
      <c r="G58" s="304">
        <v>-5</v>
      </c>
      <c r="H58" s="304">
        <v>-6</v>
      </c>
      <c r="I58" s="304">
        <v>-7</v>
      </c>
      <c r="J58" s="304">
        <v>-8</v>
      </c>
      <c r="K58" s="304">
        <v>-9</v>
      </c>
      <c r="L58" s="304">
        <v>-10</v>
      </c>
      <c r="M58" s="304">
        <v>-11</v>
      </c>
      <c r="N58" s="304">
        <v>-12</v>
      </c>
      <c r="O58" s="304">
        <v>-13</v>
      </c>
      <c r="P58" s="304">
        <v>-14</v>
      </c>
      <c r="Q58" s="304">
        <v>-15</v>
      </c>
      <c r="R58" s="304"/>
    </row>
    <row r="59" spans="1:20" ht="68.099999999999994" customHeight="1">
      <c r="A59" s="305" t="s">
        <v>159</v>
      </c>
      <c r="B59" s="306"/>
      <c r="C59" s="307" t="s">
        <v>160</v>
      </c>
      <c r="D59" s="308" t="s">
        <v>175</v>
      </c>
      <c r="E59" s="309" t="s">
        <v>255</v>
      </c>
      <c r="F59" s="309" t="s">
        <v>148</v>
      </c>
      <c r="G59" s="310" t="s">
        <v>161</v>
      </c>
      <c r="H59" s="309" t="s">
        <v>162</v>
      </c>
      <c r="I59" s="309" t="s">
        <v>158</v>
      </c>
      <c r="J59" s="310" t="s">
        <v>163</v>
      </c>
      <c r="K59" s="309" t="s">
        <v>164</v>
      </c>
      <c r="L59" s="311" t="s">
        <v>297</v>
      </c>
      <c r="M59" s="311" t="s">
        <v>774</v>
      </c>
      <c r="N59" s="311" t="s">
        <v>451</v>
      </c>
      <c r="O59" s="311" t="s">
        <v>423</v>
      </c>
      <c r="P59" s="311" t="s">
        <v>233</v>
      </c>
      <c r="Q59" s="311" t="s">
        <v>424</v>
      </c>
      <c r="R59" s="281"/>
      <c r="S59" s="281"/>
    </row>
    <row r="60" spans="1:20" ht="75" customHeight="1">
      <c r="A60" s="699">
        <v>1</v>
      </c>
      <c r="B60" s="313"/>
      <c r="C60" s="313"/>
      <c r="D60" s="313"/>
      <c r="E60" s="314" t="s">
        <v>449</v>
      </c>
      <c r="F60" s="314" t="s">
        <v>447</v>
      </c>
      <c r="G60" s="315" t="s">
        <v>165</v>
      </c>
      <c r="H60" s="314" t="s">
        <v>450</v>
      </c>
      <c r="I60" s="337" t="s">
        <v>448</v>
      </c>
      <c r="J60" s="315" t="s">
        <v>166</v>
      </c>
      <c r="K60" s="314" t="s">
        <v>131</v>
      </c>
      <c r="L60" s="316" t="s">
        <v>298</v>
      </c>
      <c r="M60" s="316" t="s">
        <v>539</v>
      </c>
      <c r="N60" s="887" t="s">
        <v>907</v>
      </c>
      <c r="O60" s="316" t="s">
        <v>772</v>
      </c>
      <c r="P60" s="316" t="s">
        <v>309</v>
      </c>
      <c r="Q60" s="316" t="s">
        <v>773</v>
      </c>
      <c r="R60" s="281"/>
      <c r="S60" s="281"/>
    </row>
    <row r="61" spans="1:20" ht="15.75">
      <c r="A61" s="317"/>
      <c r="B61" s="204"/>
      <c r="C61" s="285"/>
      <c r="D61" s="204"/>
      <c r="E61" s="204"/>
      <c r="F61" s="204"/>
      <c r="G61" s="318"/>
      <c r="H61" s="204"/>
      <c r="I61" s="204"/>
      <c r="J61" s="318"/>
      <c r="K61" s="204"/>
      <c r="L61" s="318"/>
      <c r="M61" s="318"/>
      <c r="N61" s="318"/>
      <c r="O61" s="318"/>
      <c r="P61" s="318"/>
      <c r="Q61" s="318"/>
      <c r="R61" s="281"/>
      <c r="S61" s="281"/>
    </row>
    <row r="62" spans="1:20" ht="15.75">
      <c r="A62" s="398" t="s">
        <v>464</v>
      </c>
      <c r="B62" s="297"/>
      <c r="C62" s="401" t="s">
        <v>1321</v>
      </c>
      <c r="D62" s="399" t="s">
        <v>1322</v>
      </c>
      <c r="E62" s="294">
        <f>'Attach 11a - TEC Cost Support'!E10</f>
        <v>701310.05</v>
      </c>
      <c r="F62" s="296">
        <f>$I$33</f>
        <v>9.3929464928998764E-3</v>
      </c>
      <c r="G62" s="320">
        <f>E62*F62</f>
        <v>6587.3677745829373</v>
      </c>
      <c r="H62" s="294">
        <f>'Attach 11a - TEC Cost Support'!AI10</f>
        <v>517817.07955999998</v>
      </c>
      <c r="I62" s="296">
        <f>$I$43</f>
        <v>7.1189325116486429E-2</v>
      </c>
      <c r="J62" s="320">
        <f>H62*I62</f>
        <v>36863.048427666356</v>
      </c>
      <c r="K62" s="321">
        <v>14026.200999999995</v>
      </c>
      <c r="L62" s="322">
        <f t="shared" ref="L62:L63" si="0">G62+J62+K62</f>
        <v>57476.61720224929</v>
      </c>
      <c r="M62" s="818"/>
      <c r="N62" s="817">
        <f>H62*'Attachment H-11A '!$I$234*(M62/100)</f>
        <v>0</v>
      </c>
      <c r="O62" s="322">
        <f>L62+N62</f>
        <v>57476.61720224929</v>
      </c>
      <c r="P62" s="323"/>
      <c r="Q62" s="322">
        <f>O62+P62</f>
        <v>57476.61720224929</v>
      </c>
      <c r="R62" s="281"/>
      <c r="S62" s="281"/>
    </row>
    <row r="63" spans="1:20" ht="45.75">
      <c r="A63" s="398" t="s">
        <v>465</v>
      </c>
      <c r="B63" s="297"/>
      <c r="C63" s="401" t="s">
        <v>1323</v>
      </c>
      <c r="D63" s="399" t="s">
        <v>1324</v>
      </c>
      <c r="E63" s="294">
        <f>'Attach 11a - TEC Cost Support'!E11</f>
        <v>2787621.2899999996</v>
      </c>
      <c r="F63" s="296">
        <f>$I$33</f>
        <v>9.3929464928998764E-3</v>
      </c>
      <c r="G63" s="320">
        <f>E63*F63</f>
        <v>26183.977619438527</v>
      </c>
      <c r="H63" s="294">
        <f>'Attach 11a - TEC Cost Support'!AI11</f>
        <v>2557608.1205674997</v>
      </c>
      <c r="I63" s="296">
        <f>$I$43</f>
        <v>7.1189325116486429E-2</v>
      </c>
      <c r="J63" s="320">
        <f>H63*I63</f>
        <v>182074.39601564556</v>
      </c>
      <c r="K63" s="321">
        <v>66429.511772999991</v>
      </c>
      <c r="L63" s="322">
        <f t="shared" si="0"/>
        <v>274687.88540808408</v>
      </c>
      <c r="M63" s="818"/>
      <c r="N63" s="817">
        <f>H63*'Attachment H-11A '!$I$234*(M63/100)</f>
        <v>0</v>
      </c>
      <c r="O63" s="322">
        <f t="shared" ref="O63" si="1">L63+N63</f>
        <v>274687.88540808408</v>
      </c>
      <c r="P63" s="323"/>
      <c r="Q63" s="322">
        <f t="shared" ref="Q63" si="2">O63+P63</f>
        <v>274687.88540808408</v>
      </c>
      <c r="R63" s="281"/>
      <c r="S63" s="281"/>
    </row>
    <row r="64" spans="1:20" ht="15.75">
      <c r="A64" s="284"/>
      <c r="C64" s="189"/>
      <c r="D64" s="189"/>
      <c r="E64" s="294"/>
      <c r="F64" s="189"/>
      <c r="G64" s="324"/>
      <c r="H64" s="189"/>
      <c r="I64" s="189"/>
      <c r="J64" s="324"/>
      <c r="K64" s="189"/>
      <c r="L64" s="324"/>
      <c r="M64" s="816"/>
      <c r="N64" s="817"/>
      <c r="O64" s="324"/>
      <c r="P64" s="324"/>
      <c r="Q64" s="324"/>
      <c r="R64" s="281"/>
      <c r="S64" s="281"/>
    </row>
    <row r="65" spans="1:17">
      <c r="A65" s="284"/>
      <c r="C65" s="189"/>
      <c r="D65" s="189"/>
      <c r="E65" s="189"/>
      <c r="F65" s="189"/>
      <c r="G65" s="324"/>
      <c r="H65" s="189"/>
      <c r="I65" s="189"/>
      <c r="J65" s="324"/>
      <c r="K65" s="189"/>
      <c r="L65" s="324"/>
      <c r="M65" s="324"/>
      <c r="N65" s="324"/>
      <c r="O65" s="324"/>
      <c r="P65" s="324"/>
      <c r="Q65" s="324"/>
    </row>
    <row r="66" spans="1:17">
      <c r="A66" s="284"/>
      <c r="C66" s="189"/>
      <c r="D66" s="189"/>
      <c r="E66" s="189"/>
      <c r="F66" s="189"/>
      <c r="G66" s="324"/>
      <c r="H66" s="189"/>
      <c r="I66" s="189"/>
      <c r="J66" s="324"/>
      <c r="K66" s="189"/>
      <c r="L66" s="324"/>
      <c r="M66" s="324"/>
      <c r="N66" s="324"/>
      <c r="O66" s="324"/>
      <c r="P66" s="324"/>
      <c r="Q66" s="324"/>
    </row>
    <row r="67" spans="1:17">
      <c r="A67" s="284"/>
      <c r="C67" s="189"/>
      <c r="D67" s="189"/>
      <c r="E67" s="189"/>
      <c r="F67" s="189"/>
      <c r="G67" s="324"/>
      <c r="H67" s="189"/>
      <c r="I67" s="189"/>
      <c r="J67" s="324"/>
      <c r="K67" s="189"/>
      <c r="L67" s="324"/>
      <c r="M67" s="324"/>
      <c r="N67" s="324"/>
      <c r="O67" s="324"/>
      <c r="P67" s="324"/>
      <c r="Q67" s="324"/>
    </row>
    <row r="68" spans="1:17">
      <c r="A68" s="284"/>
      <c r="C68" s="189"/>
      <c r="D68" s="189"/>
      <c r="E68" s="189"/>
      <c r="F68" s="189"/>
      <c r="G68" s="324"/>
      <c r="H68" s="189"/>
      <c r="I68" s="189"/>
      <c r="J68" s="324"/>
      <c r="K68" s="189"/>
      <c r="L68" s="324"/>
      <c r="M68" s="324"/>
      <c r="N68" s="324"/>
      <c r="O68" s="324"/>
      <c r="P68" s="324"/>
      <c r="Q68" s="324"/>
    </row>
    <row r="69" spans="1:17">
      <c r="A69" s="284"/>
      <c r="C69" s="189"/>
      <c r="D69" s="189"/>
      <c r="E69" s="189"/>
      <c r="F69" s="189"/>
      <c r="G69" s="324"/>
      <c r="H69" s="189"/>
      <c r="I69" s="189"/>
      <c r="J69" s="324"/>
      <c r="K69" s="189"/>
      <c r="L69" s="324"/>
      <c r="M69" s="324"/>
      <c r="N69" s="324"/>
      <c r="O69" s="324"/>
      <c r="P69" s="324"/>
      <c r="Q69" s="324"/>
    </row>
    <row r="70" spans="1:17">
      <c r="A70" s="284"/>
      <c r="C70" s="189"/>
      <c r="D70" s="189"/>
      <c r="E70" s="189"/>
      <c r="F70" s="189"/>
      <c r="G70" s="324"/>
      <c r="H70" s="189"/>
      <c r="I70" s="189"/>
      <c r="J70" s="324"/>
      <c r="K70" s="189"/>
      <c r="L70" s="324"/>
      <c r="M70" s="324"/>
      <c r="N70" s="324"/>
      <c r="O70" s="324"/>
      <c r="P70" s="324"/>
      <c r="Q70" s="324"/>
    </row>
    <row r="71" spans="1:17">
      <c r="A71" s="284"/>
      <c r="C71" s="189"/>
      <c r="D71" s="189"/>
      <c r="E71" s="189"/>
      <c r="F71" s="189"/>
      <c r="G71" s="324"/>
      <c r="H71" s="189"/>
      <c r="I71" s="189"/>
      <c r="J71" s="324"/>
      <c r="K71" s="189"/>
      <c r="L71" s="324"/>
      <c r="M71" s="324"/>
      <c r="N71" s="324"/>
      <c r="O71" s="324"/>
      <c r="P71" s="324"/>
      <c r="Q71" s="324"/>
    </row>
    <row r="72" spans="1:17">
      <c r="A72" s="284"/>
      <c r="C72" s="189"/>
      <c r="D72" s="189"/>
      <c r="E72" s="189"/>
      <c r="F72" s="189"/>
      <c r="G72" s="324"/>
      <c r="H72" s="189"/>
      <c r="I72" s="189"/>
      <c r="J72" s="324"/>
      <c r="K72" s="189"/>
      <c r="L72" s="324"/>
      <c r="M72" s="324"/>
      <c r="N72" s="324"/>
      <c r="O72" s="324"/>
      <c r="P72" s="324"/>
      <c r="Q72" s="324"/>
    </row>
    <row r="73" spans="1:17">
      <c r="A73" s="284"/>
      <c r="C73" s="189"/>
      <c r="D73" s="189"/>
      <c r="E73" s="189"/>
      <c r="F73" s="189"/>
      <c r="G73" s="324"/>
      <c r="H73" s="189"/>
      <c r="I73" s="189"/>
      <c r="J73" s="324"/>
      <c r="K73" s="189"/>
      <c r="L73" s="324"/>
      <c r="M73" s="324"/>
      <c r="N73" s="324"/>
      <c r="O73" s="324"/>
      <c r="P73" s="324"/>
      <c r="Q73" s="324"/>
    </row>
    <row r="74" spans="1:17">
      <c r="A74" s="284"/>
      <c r="C74" s="189"/>
      <c r="D74" s="189"/>
      <c r="E74" s="189"/>
      <c r="F74" s="189"/>
      <c r="G74" s="324"/>
      <c r="H74" s="189"/>
      <c r="I74" s="189"/>
      <c r="J74" s="324"/>
      <c r="K74" s="189"/>
      <c r="L74" s="324"/>
      <c r="M74" s="324"/>
      <c r="N74" s="324"/>
      <c r="O74" s="324"/>
      <c r="P74" s="324"/>
      <c r="Q74" s="324"/>
    </row>
    <row r="75" spans="1:17">
      <c r="A75" s="284"/>
      <c r="C75" s="189"/>
      <c r="D75" s="189"/>
      <c r="E75" s="189"/>
      <c r="F75" s="189"/>
      <c r="G75" s="324"/>
      <c r="H75" s="189"/>
      <c r="I75" s="189"/>
      <c r="J75" s="324"/>
      <c r="K75" s="189"/>
      <c r="L75" s="324"/>
      <c r="M75" s="324"/>
      <c r="N75" s="324"/>
      <c r="O75" s="324"/>
      <c r="P75" s="324"/>
      <c r="Q75" s="324"/>
    </row>
    <row r="76" spans="1:17">
      <c r="A76" s="284"/>
      <c r="C76" s="189"/>
      <c r="D76" s="189"/>
      <c r="E76" s="189"/>
      <c r="F76" s="189"/>
      <c r="G76" s="324"/>
      <c r="H76" s="189"/>
      <c r="I76" s="189"/>
      <c r="J76" s="324"/>
      <c r="K76" s="189"/>
      <c r="L76" s="324"/>
      <c r="M76" s="324"/>
      <c r="N76" s="324"/>
      <c r="O76" s="324"/>
      <c r="P76" s="324"/>
      <c r="Q76" s="324"/>
    </row>
    <row r="77" spans="1:17">
      <c r="A77" s="325"/>
      <c r="B77" s="302"/>
      <c r="C77" s="326"/>
      <c r="D77" s="326"/>
      <c r="E77" s="326"/>
      <c r="F77" s="326"/>
      <c r="G77" s="327"/>
      <c r="H77" s="326"/>
      <c r="I77" s="326"/>
      <c r="J77" s="327"/>
      <c r="K77" s="326"/>
      <c r="L77" s="327"/>
      <c r="M77" s="327"/>
      <c r="N77" s="327"/>
      <c r="O77" s="327"/>
      <c r="P77" s="327"/>
      <c r="Q77" s="327"/>
    </row>
    <row r="78" spans="1:17">
      <c r="A78" s="286" t="s">
        <v>191</v>
      </c>
      <c r="C78" s="80" t="s">
        <v>1150</v>
      </c>
      <c r="D78" s="204"/>
      <c r="E78" s="297"/>
      <c r="F78" s="297"/>
      <c r="G78" s="288"/>
      <c r="H78" s="288"/>
      <c r="I78" s="288"/>
      <c r="J78" s="288"/>
      <c r="K78" s="288"/>
      <c r="L78" s="328"/>
      <c r="M78" s="328"/>
      <c r="N78" s="328"/>
      <c r="O78" s="678">
        <f>SUM(O62:O77)</f>
        <v>332164.50261033338</v>
      </c>
      <c r="P78" s="294"/>
      <c r="Q78" s="328"/>
    </row>
    <row r="79" spans="1:17">
      <c r="A79" s="329" t="s">
        <v>192</v>
      </c>
      <c r="B79" s="189"/>
      <c r="C79" s="80" t="s">
        <v>1151</v>
      </c>
      <c r="D79" s="189"/>
      <c r="E79" s="189"/>
      <c r="F79" s="189"/>
      <c r="G79" s="189"/>
      <c r="H79" s="189"/>
      <c r="I79" s="189"/>
      <c r="J79" s="189"/>
      <c r="K79" s="189"/>
      <c r="L79" s="189"/>
      <c r="M79" s="189"/>
      <c r="N79" s="80">
        <f>SUM(N62:N77)</f>
        <v>0</v>
      </c>
      <c r="O79" s="189"/>
      <c r="P79" s="189"/>
    </row>
    <row r="80" spans="1:17">
      <c r="A80" s="189"/>
      <c r="B80" s="189"/>
      <c r="C80" s="189"/>
      <c r="D80" s="189"/>
      <c r="E80" s="189"/>
      <c r="F80" s="189"/>
      <c r="G80" s="189"/>
      <c r="H80" s="189"/>
      <c r="I80" s="189"/>
      <c r="J80" s="189"/>
      <c r="K80" s="189"/>
      <c r="L80" s="189"/>
      <c r="M80" s="189"/>
      <c r="N80" s="189"/>
      <c r="O80" s="189"/>
      <c r="P80" s="189"/>
    </row>
    <row r="81" spans="1:13">
      <c r="A81" s="330" t="s">
        <v>176</v>
      </c>
      <c r="B81" s="189"/>
      <c r="C81" s="189"/>
      <c r="D81" s="189"/>
      <c r="E81" s="189"/>
      <c r="F81" s="189"/>
      <c r="G81" s="189"/>
      <c r="H81" s="189"/>
      <c r="I81" s="189"/>
      <c r="J81" s="189"/>
      <c r="K81" s="189"/>
      <c r="L81" s="189"/>
      <c r="M81" s="189"/>
    </row>
    <row r="82" spans="1:13">
      <c r="A82" s="297" t="s">
        <v>101</v>
      </c>
      <c r="C82" s="1139" t="s">
        <v>908</v>
      </c>
      <c r="D82" s="1139"/>
      <c r="E82" s="1139"/>
      <c r="F82" s="1139"/>
      <c r="G82" s="1139"/>
      <c r="H82" s="1139"/>
      <c r="I82" s="1139"/>
      <c r="J82" s="1139"/>
      <c r="K82" s="1139"/>
      <c r="L82" s="1139"/>
      <c r="M82" s="767"/>
    </row>
    <row r="83" spans="1:13">
      <c r="A83" s="297" t="s">
        <v>102</v>
      </c>
      <c r="C83" s="1139" t="s">
        <v>909</v>
      </c>
      <c r="D83" s="1139"/>
      <c r="E83" s="1139"/>
      <c r="F83" s="1139"/>
      <c r="G83" s="1139"/>
      <c r="H83" s="1139"/>
      <c r="I83" s="1139"/>
      <c r="J83" s="1139"/>
      <c r="K83" s="1139"/>
      <c r="L83" s="1139"/>
      <c r="M83" s="767"/>
    </row>
    <row r="84" spans="1:13" ht="15" customHeight="1">
      <c r="A84" s="331" t="s">
        <v>103</v>
      </c>
      <c r="C84" s="1144" t="s">
        <v>178</v>
      </c>
      <c r="D84" s="1144"/>
      <c r="E84" s="1144"/>
      <c r="F84" s="1144"/>
      <c r="G84" s="1144"/>
      <c r="H84" s="1144"/>
      <c r="I84" s="1144"/>
      <c r="J84" s="1144"/>
      <c r="K84" s="1144"/>
      <c r="L84" s="1144"/>
      <c r="M84" s="768"/>
    </row>
    <row r="85" spans="1:13">
      <c r="A85" s="331" t="s">
        <v>104</v>
      </c>
      <c r="C85" s="1144" t="s">
        <v>167</v>
      </c>
      <c r="D85" s="1144"/>
      <c r="E85" s="1144"/>
      <c r="F85" s="1144"/>
      <c r="G85" s="1144"/>
      <c r="H85" s="1144"/>
      <c r="I85" s="1144"/>
      <c r="J85" s="1144"/>
      <c r="K85" s="1144"/>
      <c r="L85" s="1144"/>
      <c r="M85" s="768"/>
    </row>
    <row r="86" spans="1:13">
      <c r="A86" s="297" t="s">
        <v>105</v>
      </c>
      <c r="C86" s="1139" t="s">
        <v>1152</v>
      </c>
      <c r="D86" s="1139"/>
      <c r="E86" s="1139"/>
      <c r="F86" s="1139"/>
      <c r="G86" s="1139"/>
      <c r="H86" s="1139"/>
      <c r="I86" s="1139"/>
      <c r="J86" s="1139"/>
      <c r="K86" s="1139"/>
      <c r="L86" s="1139"/>
      <c r="M86" s="767"/>
    </row>
    <row r="87" spans="1:13">
      <c r="A87" s="297" t="s">
        <v>106</v>
      </c>
      <c r="C87" s="80" t="s">
        <v>918</v>
      </c>
    </row>
    <row r="88" spans="1:13">
      <c r="A88" s="297" t="s">
        <v>107</v>
      </c>
      <c r="C88" s="80" t="s">
        <v>913</v>
      </c>
    </row>
    <row r="89" spans="1:13">
      <c r="A89" s="297" t="s">
        <v>109</v>
      </c>
      <c r="C89" s="80" t="s">
        <v>348</v>
      </c>
      <c r="D89" s="286"/>
      <c r="E89" s="297"/>
      <c r="F89" s="297"/>
      <c r="G89" s="288"/>
      <c r="J89" s="333"/>
    </row>
    <row r="90" spans="1:13">
      <c r="A90" s="286"/>
      <c r="C90" s="353"/>
      <c r="D90" s="286"/>
      <c r="E90" s="297"/>
      <c r="F90" s="297"/>
      <c r="G90" s="288"/>
      <c r="J90" s="333"/>
    </row>
    <row r="91" spans="1:13">
      <c r="C91" s="189"/>
      <c r="D91" s="189"/>
      <c r="E91" s="189"/>
      <c r="F91" s="189"/>
      <c r="G91" s="189"/>
      <c r="H91" s="189"/>
      <c r="I91" s="189"/>
      <c r="J91" s="189"/>
      <c r="K91" s="189"/>
      <c r="L91" s="189"/>
      <c r="M91" s="189"/>
    </row>
    <row r="92" spans="1:13">
      <c r="C92" s="189"/>
      <c r="D92" s="189"/>
      <c r="E92" s="189"/>
      <c r="F92" s="189"/>
      <c r="G92" s="189"/>
      <c r="H92" s="189"/>
      <c r="I92" s="189"/>
      <c r="J92" s="189"/>
      <c r="K92" s="189"/>
      <c r="L92" s="189"/>
      <c r="M92" s="189"/>
    </row>
    <row r="93" spans="1:13">
      <c r="C93" s="189"/>
      <c r="D93" s="189"/>
      <c r="E93" s="189"/>
      <c r="F93" s="189"/>
      <c r="G93" s="189"/>
      <c r="H93" s="189"/>
      <c r="I93" s="189"/>
      <c r="J93" s="189"/>
      <c r="K93" s="189"/>
      <c r="L93" s="189"/>
      <c r="M93" s="189"/>
    </row>
    <row r="94" spans="1:13">
      <c r="C94" s="189"/>
      <c r="D94" s="189"/>
      <c r="E94" s="189"/>
      <c r="F94" s="189"/>
      <c r="G94" s="189"/>
      <c r="H94" s="189"/>
      <c r="I94" s="189"/>
      <c r="J94" s="189"/>
      <c r="K94" s="189"/>
      <c r="L94" s="189"/>
      <c r="M94" s="189"/>
    </row>
    <row r="95" spans="1:13">
      <c r="C95" s="189"/>
      <c r="D95" s="189"/>
      <c r="E95" s="189"/>
      <c r="F95" s="189"/>
      <c r="G95" s="189"/>
      <c r="H95" s="189"/>
      <c r="I95" s="189"/>
      <c r="J95" s="189"/>
      <c r="K95" s="189"/>
      <c r="L95" s="189"/>
      <c r="M95" s="189"/>
    </row>
    <row r="96" spans="1:13">
      <c r="C96" s="189"/>
      <c r="D96" s="189"/>
      <c r="E96" s="189"/>
      <c r="F96" s="189"/>
      <c r="G96" s="189"/>
      <c r="H96" s="189"/>
      <c r="I96" s="189"/>
      <c r="J96" s="189"/>
      <c r="K96" s="189"/>
      <c r="L96" s="189"/>
      <c r="M96" s="189"/>
    </row>
    <row r="97" spans="3:13">
      <c r="C97" s="189"/>
      <c r="D97" s="189"/>
      <c r="E97" s="189"/>
      <c r="F97" s="189"/>
      <c r="G97" s="189"/>
      <c r="H97" s="189"/>
      <c r="I97" s="189"/>
      <c r="J97" s="189"/>
      <c r="K97" s="189"/>
      <c r="L97" s="189"/>
      <c r="M97" s="189"/>
    </row>
    <row r="98" spans="3:13">
      <c r="C98" s="189"/>
      <c r="D98" s="189"/>
      <c r="E98" s="189"/>
      <c r="F98" s="189"/>
      <c r="G98" s="189"/>
      <c r="H98" s="189"/>
      <c r="I98" s="189"/>
      <c r="J98" s="189"/>
      <c r="K98" s="189"/>
      <c r="L98" s="189"/>
      <c r="M98" s="189"/>
    </row>
    <row r="99" spans="3:13">
      <c r="C99" s="189"/>
      <c r="D99" s="189"/>
      <c r="E99" s="189"/>
      <c r="F99" s="189"/>
      <c r="G99" s="189"/>
      <c r="H99" s="189"/>
      <c r="I99" s="189"/>
      <c r="J99" s="189"/>
      <c r="K99" s="189"/>
      <c r="L99" s="189"/>
      <c r="M99" s="189"/>
    </row>
    <row r="100" spans="3:13">
      <c r="C100" s="189"/>
      <c r="D100" s="189"/>
      <c r="E100" s="189"/>
      <c r="F100" s="189"/>
      <c r="G100" s="189"/>
      <c r="H100" s="189"/>
      <c r="I100" s="189"/>
      <c r="J100" s="189"/>
      <c r="K100" s="189"/>
      <c r="L100" s="189"/>
      <c r="M100" s="189"/>
    </row>
    <row r="101" spans="3:13">
      <c r="C101" s="189"/>
      <c r="D101" s="189"/>
      <c r="E101" s="189"/>
      <c r="F101" s="189"/>
      <c r="G101" s="189"/>
      <c r="H101" s="189"/>
      <c r="I101" s="189"/>
      <c r="J101" s="189"/>
      <c r="K101" s="189"/>
      <c r="L101" s="189"/>
      <c r="M101" s="189"/>
    </row>
    <row r="102" spans="3:13">
      <c r="C102" s="189"/>
      <c r="D102" s="189"/>
      <c r="E102" s="189"/>
      <c r="F102" s="189"/>
      <c r="G102" s="189"/>
      <c r="H102" s="189"/>
      <c r="I102" s="189"/>
      <c r="J102" s="189"/>
      <c r="K102" s="189"/>
      <c r="L102" s="189"/>
      <c r="M102" s="189"/>
    </row>
    <row r="103" spans="3:13">
      <c r="C103" s="189"/>
      <c r="D103" s="189"/>
      <c r="E103" s="189"/>
      <c r="F103" s="189"/>
      <c r="G103" s="189"/>
      <c r="H103" s="189"/>
      <c r="I103" s="189"/>
      <c r="J103" s="189"/>
      <c r="K103" s="189"/>
      <c r="L103" s="189"/>
      <c r="M103" s="189"/>
    </row>
    <row r="104" spans="3:13">
      <c r="C104" s="189"/>
      <c r="D104" s="189"/>
      <c r="E104" s="189"/>
      <c r="F104" s="189"/>
      <c r="G104" s="189"/>
      <c r="H104" s="189"/>
      <c r="I104" s="189"/>
      <c r="J104" s="189"/>
      <c r="K104" s="189"/>
      <c r="L104" s="189"/>
      <c r="M104" s="189"/>
    </row>
    <row r="105" spans="3:13">
      <c r="C105" s="189"/>
      <c r="D105" s="189"/>
      <c r="E105" s="189"/>
      <c r="F105" s="189"/>
      <c r="G105" s="189"/>
      <c r="H105" s="189"/>
      <c r="I105" s="189"/>
      <c r="J105" s="189"/>
      <c r="K105" s="189"/>
      <c r="L105" s="189"/>
      <c r="M105" s="189"/>
    </row>
    <row r="106" spans="3:13">
      <c r="C106" s="189"/>
      <c r="D106" s="189"/>
      <c r="E106" s="189"/>
      <c r="F106" s="189"/>
      <c r="G106" s="189"/>
      <c r="H106" s="189"/>
      <c r="I106" s="189"/>
      <c r="J106" s="189"/>
      <c r="K106" s="189"/>
      <c r="L106" s="189"/>
      <c r="M106" s="189"/>
    </row>
    <row r="107" spans="3:13">
      <c r="C107" s="189"/>
      <c r="D107" s="189"/>
      <c r="E107" s="189"/>
      <c r="F107" s="189"/>
      <c r="G107" s="189"/>
      <c r="H107" s="189"/>
      <c r="I107" s="189"/>
      <c r="J107" s="189"/>
      <c r="K107" s="189"/>
      <c r="L107" s="189"/>
      <c r="M107" s="189"/>
    </row>
    <row r="108" spans="3:13">
      <c r="C108" s="189"/>
      <c r="D108" s="189"/>
      <c r="E108" s="189"/>
      <c r="F108" s="189"/>
      <c r="G108" s="189"/>
      <c r="H108" s="189"/>
      <c r="I108" s="189"/>
      <c r="J108" s="189"/>
      <c r="K108" s="189"/>
      <c r="L108" s="189"/>
      <c r="M108" s="189"/>
    </row>
    <row r="109" spans="3:13">
      <c r="C109" s="189"/>
      <c r="D109" s="189"/>
      <c r="E109" s="189"/>
      <c r="F109" s="189"/>
      <c r="G109" s="189"/>
      <c r="H109" s="189"/>
      <c r="I109" s="189"/>
      <c r="J109" s="189"/>
      <c r="K109" s="189"/>
      <c r="L109" s="189"/>
      <c r="M109" s="189"/>
    </row>
    <row r="110" spans="3:13">
      <c r="C110" s="189"/>
      <c r="D110" s="189"/>
      <c r="E110" s="189"/>
      <c r="F110" s="189"/>
      <c r="G110" s="189"/>
      <c r="H110" s="189"/>
      <c r="I110" s="189"/>
      <c r="J110" s="189"/>
      <c r="K110" s="189"/>
      <c r="L110" s="189"/>
      <c r="M110" s="189"/>
    </row>
    <row r="111" spans="3:13">
      <c r="C111" s="189"/>
      <c r="D111" s="189"/>
      <c r="E111" s="189"/>
      <c r="F111" s="189"/>
      <c r="G111" s="189"/>
      <c r="H111" s="189"/>
      <c r="I111" s="189"/>
      <c r="J111" s="189"/>
      <c r="K111" s="189"/>
      <c r="L111" s="189"/>
      <c r="M111" s="189"/>
    </row>
    <row r="112" spans="3:13">
      <c r="C112" s="189"/>
      <c r="D112" s="189"/>
      <c r="E112" s="189"/>
      <c r="F112" s="189"/>
      <c r="G112" s="189"/>
      <c r="H112" s="189"/>
      <c r="I112" s="189"/>
      <c r="J112" s="189"/>
      <c r="K112" s="189"/>
      <c r="L112" s="189"/>
      <c r="M112" s="189"/>
    </row>
    <row r="113" spans="3:13">
      <c r="C113" s="189"/>
      <c r="D113" s="189"/>
      <c r="E113" s="189"/>
      <c r="F113" s="189"/>
      <c r="G113" s="189"/>
      <c r="H113" s="189"/>
      <c r="I113" s="189"/>
      <c r="J113" s="189"/>
      <c r="K113" s="189"/>
      <c r="L113" s="189"/>
      <c r="M113" s="189"/>
    </row>
    <row r="114" spans="3:13">
      <c r="C114" s="189"/>
      <c r="D114" s="189"/>
      <c r="E114" s="189"/>
      <c r="F114" s="189"/>
      <c r="G114" s="189"/>
      <c r="H114" s="189"/>
      <c r="I114" s="189"/>
      <c r="J114" s="189"/>
      <c r="K114" s="189"/>
      <c r="L114" s="189"/>
      <c r="M114" s="189"/>
    </row>
    <row r="115" spans="3:13">
      <c r="C115" s="189"/>
      <c r="D115" s="189"/>
      <c r="E115" s="189"/>
      <c r="F115" s="189"/>
      <c r="G115" s="189"/>
      <c r="H115" s="189"/>
      <c r="I115" s="189"/>
      <c r="J115" s="189"/>
      <c r="K115" s="189"/>
      <c r="L115" s="189"/>
      <c r="M115" s="189"/>
    </row>
    <row r="116" spans="3:13">
      <c r="C116" s="189"/>
      <c r="D116" s="189"/>
      <c r="E116" s="189"/>
      <c r="F116" s="189"/>
      <c r="G116" s="189"/>
      <c r="H116" s="189"/>
      <c r="I116" s="189"/>
      <c r="J116" s="189"/>
      <c r="K116" s="189"/>
      <c r="L116" s="189"/>
      <c r="M116" s="189"/>
    </row>
    <row r="117" spans="3:13">
      <c r="C117" s="189"/>
      <c r="D117" s="189"/>
      <c r="E117" s="189"/>
      <c r="F117" s="189"/>
      <c r="G117" s="189"/>
      <c r="H117" s="189"/>
      <c r="I117" s="189"/>
      <c r="J117" s="189"/>
      <c r="K117" s="189"/>
      <c r="L117" s="189"/>
      <c r="M117" s="189"/>
    </row>
    <row r="118" spans="3:13">
      <c r="C118" s="189"/>
      <c r="D118" s="189"/>
      <c r="E118" s="189"/>
      <c r="F118" s="189"/>
      <c r="G118" s="189"/>
      <c r="H118" s="189"/>
      <c r="I118" s="189"/>
      <c r="J118" s="189"/>
      <c r="K118" s="189"/>
      <c r="L118" s="189"/>
      <c r="M118" s="189"/>
    </row>
    <row r="119" spans="3:13">
      <c r="C119" s="189"/>
      <c r="D119" s="189"/>
      <c r="E119" s="189"/>
      <c r="F119" s="189"/>
      <c r="G119" s="189"/>
      <c r="H119" s="189"/>
      <c r="I119" s="189"/>
      <c r="J119" s="189"/>
      <c r="K119" s="189"/>
      <c r="L119" s="189"/>
      <c r="M119" s="189"/>
    </row>
    <row r="120" spans="3:13">
      <c r="C120" s="189"/>
      <c r="D120" s="189"/>
      <c r="E120" s="189"/>
      <c r="F120" s="189"/>
      <c r="G120" s="189"/>
      <c r="H120" s="189"/>
      <c r="I120" s="189"/>
      <c r="J120" s="189"/>
      <c r="K120" s="189"/>
      <c r="L120" s="189"/>
      <c r="M120" s="189"/>
    </row>
    <row r="121" spans="3:13">
      <c r="C121" s="189"/>
      <c r="D121" s="189"/>
      <c r="E121" s="189"/>
      <c r="F121" s="189"/>
      <c r="G121" s="189"/>
      <c r="H121" s="189"/>
      <c r="I121" s="189"/>
      <c r="J121" s="189"/>
      <c r="K121" s="189"/>
      <c r="L121" s="189"/>
      <c r="M121" s="189"/>
    </row>
    <row r="122" spans="3:13">
      <c r="C122" s="189"/>
      <c r="D122" s="189"/>
      <c r="E122" s="189"/>
      <c r="F122" s="189"/>
      <c r="G122" s="189"/>
      <c r="H122" s="189"/>
      <c r="I122" s="189"/>
      <c r="J122" s="189"/>
      <c r="K122" s="189"/>
      <c r="L122" s="189"/>
      <c r="M122" s="189"/>
    </row>
    <row r="123" spans="3:13">
      <c r="C123" s="189"/>
      <c r="D123" s="189"/>
      <c r="E123" s="189"/>
      <c r="F123" s="189"/>
      <c r="G123" s="189"/>
      <c r="H123" s="189"/>
      <c r="I123" s="189"/>
      <c r="J123" s="189"/>
      <c r="K123" s="189"/>
      <c r="L123" s="189"/>
      <c r="M123" s="189"/>
    </row>
    <row r="124" spans="3:13">
      <c r="C124" s="189"/>
      <c r="D124" s="189"/>
      <c r="E124" s="189"/>
      <c r="F124" s="189"/>
      <c r="G124" s="189"/>
      <c r="H124" s="189"/>
      <c r="I124" s="189"/>
      <c r="J124" s="189"/>
      <c r="K124" s="189"/>
      <c r="L124" s="189"/>
      <c r="M124" s="189"/>
    </row>
    <row r="125" spans="3:13">
      <c r="C125" s="189"/>
      <c r="D125" s="189"/>
      <c r="E125" s="189"/>
      <c r="F125" s="189"/>
      <c r="G125" s="189"/>
      <c r="H125" s="189"/>
      <c r="I125" s="189"/>
      <c r="J125" s="189"/>
      <c r="K125" s="189"/>
      <c r="L125" s="189"/>
      <c r="M125" s="189"/>
    </row>
    <row r="126" spans="3:13">
      <c r="C126" s="189"/>
      <c r="D126" s="189"/>
      <c r="E126" s="189"/>
      <c r="F126" s="189"/>
      <c r="G126" s="189"/>
      <c r="H126" s="189"/>
      <c r="I126" s="189"/>
      <c r="J126" s="189"/>
      <c r="K126" s="189"/>
      <c r="L126" s="189"/>
      <c r="M126" s="189"/>
    </row>
    <row r="127" spans="3:13">
      <c r="C127" s="189"/>
      <c r="D127" s="189"/>
      <c r="E127" s="189"/>
      <c r="F127" s="189"/>
      <c r="G127" s="189"/>
      <c r="H127" s="189"/>
      <c r="I127" s="189"/>
      <c r="J127" s="189"/>
      <c r="K127" s="189"/>
      <c r="L127" s="189"/>
      <c r="M127" s="189"/>
    </row>
    <row r="128" spans="3:13">
      <c r="C128" s="189"/>
      <c r="D128" s="189"/>
      <c r="E128" s="189"/>
      <c r="F128" s="189"/>
      <c r="G128" s="189"/>
      <c r="H128" s="189"/>
      <c r="I128" s="189"/>
      <c r="J128" s="189"/>
      <c r="K128" s="189"/>
      <c r="L128" s="189"/>
      <c r="M128" s="189"/>
    </row>
    <row r="129" spans="3:13">
      <c r="C129" s="189"/>
      <c r="D129" s="189"/>
      <c r="E129" s="189"/>
      <c r="F129" s="189"/>
      <c r="G129" s="189"/>
      <c r="H129" s="189"/>
      <c r="I129" s="189"/>
      <c r="J129" s="189"/>
      <c r="K129" s="189"/>
      <c r="L129" s="189"/>
      <c r="M129" s="189"/>
    </row>
    <row r="130" spans="3:13">
      <c r="C130" s="189"/>
      <c r="D130" s="189"/>
      <c r="E130" s="189"/>
      <c r="F130" s="189"/>
      <c r="G130" s="189"/>
      <c r="H130" s="189"/>
      <c r="I130" s="189"/>
      <c r="J130" s="189"/>
      <c r="K130" s="189"/>
      <c r="L130" s="189"/>
      <c r="M130" s="189"/>
    </row>
    <row r="131" spans="3:13">
      <c r="C131" s="189"/>
      <c r="D131" s="189"/>
      <c r="E131" s="189"/>
      <c r="F131" s="189"/>
      <c r="G131" s="189"/>
      <c r="H131" s="189"/>
      <c r="I131" s="189"/>
      <c r="J131" s="189"/>
      <c r="K131" s="189"/>
      <c r="L131" s="189"/>
      <c r="M131" s="189"/>
    </row>
    <row r="132" spans="3:13">
      <c r="C132" s="189"/>
      <c r="D132" s="189"/>
      <c r="E132" s="189"/>
      <c r="F132" s="189"/>
      <c r="G132" s="189"/>
      <c r="H132" s="189"/>
      <c r="I132" s="189"/>
      <c r="J132" s="189"/>
      <c r="K132" s="189"/>
      <c r="L132" s="189"/>
      <c r="M132" s="189"/>
    </row>
    <row r="133" spans="3:13">
      <c r="C133" s="189"/>
      <c r="D133" s="189"/>
      <c r="E133" s="189"/>
      <c r="F133" s="189"/>
      <c r="G133" s="189"/>
      <c r="H133" s="189"/>
      <c r="I133" s="189"/>
      <c r="J133" s="189"/>
      <c r="K133" s="189"/>
      <c r="L133" s="189"/>
      <c r="M133" s="189"/>
    </row>
    <row r="134" spans="3:13">
      <c r="C134" s="189"/>
      <c r="D134" s="189"/>
      <c r="E134" s="189"/>
      <c r="F134" s="189"/>
      <c r="G134" s="189"/>
      <c r="H134" s="189"/>
      <c r="I134" s="189"/>
      <c r="J134" s="189"/>
      <c r="K134" s="189"/>
      <c r="L134" s="189"/>
      <c r="M134" s="189"/>
    </row>
    <row r="135" spans="3:13">
      <c r="C135" s="189"/>
      <c r="D135" s="189"/>
      <c r="E135" s="189"/>
      <c r="F135" s="189"/>
      <c r="G135" s="189"/>
      <c r="H135" s="189"/>
      <c r="I135" s="189"/>
      <c r="J135" s="189"/>
      <c r="K135" s="189"/>
      <c r="L135" s="189"/>
      <c r="M135" s="189"/>
    </row>
    <row r="136" spans="3:13">
      <c r="C136" s="189"/>
      <c r="D136" s="189"/>
      <c r="E136" s="189"/>
      <c r="F136" s="189"/>
      <c r="G136" s="189"/>
      <c r="H136" s="189"/>
      <c r="I136" s="189"/>
      <c r="J136" s="189"/>
      <c r="K136" s="189"/>
      <c r="L136" s="189"/>
      <c r="M136" s="189"/>
    </row>
    <row r="137" spans="3:13">
      <c r="C137" s="189"/>
      <c r="D137" s="189"/>
      <c r="E137" s="189"/>
      <c r="F137" s="189"/>
      <c r="G137" s="189"/>
      <c r="H137" s="189"/>
      <c r="I137" s="189"/>
      <c r="J137" s="189"/>
      <c r="K137" s="189"/>
      <c r="L137" s="189"/>
      <c r="M137" s="189"/>
    </row>
    <row r="138" spans="3:13">
      <c r="C138" s="189"/>
      <c r="D138" s="189"/>
      <c r="E138" s="189"/>
      <c r="F138" s="189"/>
      <c r="G138" s="189"/>
      <c r="H138" s="189"/>
      <c r="I138" s="189"/>
      <c r="J138" s="189"/>
      <c r="K138" s="189"/>
      <c r="L138" s="189"/>
      <c r="M138" s="189"/>
    </row>
    <row r="139" spans="3:13">
      <c r="C139" s="189"/>
      <c r="D139" s="189"/>
      <c r="E139" s="189"/>
      <c r="F139" s="189"/>
      <c r="G139" s="189"/>
      <c r="H139" s="189"/>
      <c r="I139" s="189"/>
      <c r="J139" s="189"/>
      <c r="K139" s="189"/>
      <c r="L139" s="189"/>
      <c r="M139" s="189"/>
    </row>
    <row r="140" spans="3:13">
      <c r="C140" s="189"/>
      <c r="D140" s="189"/>
      <c r="E140" s="189"/>
      <c r="F140" s="189"/>
      <c r="G140" s="189"/>
      <c r="H140" s="189"/>
      <c r="I140" s="189"/>
      <c r="J140" s="189"/>
      <c r="K140" s="189"/>
      <c r="L140" s="189"/>
      <c r="M140" s="189"/>
    </row>
    <row r="141" spans="3:13">
      <c r="C141" s="189"/>
      <c r="D141" s="189"/>
      <c r="E141" s="189"/>
      <c r="F141" s="189"/>
      <c r="G141" s="189"/>
      <c r="H141" s="189"/>
      <c r="I141" s="189"/>
      <c r="J141" s="189"/>
      <c r="K141" s="189"/>
      <c r="L141" s="189"/>
      <c r="M141" s="189"/>
    </row>
    <row r="142" spans="3:13">
      <c r="C142" s="189"/>
      <c r="D142" s="189"/>
      <c r="E142" s="189"/>
      <c r="F142" s="189"/>
      <c r="G142" s="189"/>
      <c r="H142" s="189"/>
      <c r="I142" s="189"/>
      <c r="J142" s="189"/>
      <c r="K142" s="189"/>
      <c r="L142" s="189"/>
      <c r="M142" s="189"/>
    </row>
    <row r="143" spans="3:13">
      <c r="C143" s="189"/>
      <c r="D143" s="189"/>
      <c r="E143" s="189"/>
      <c r="F143" s="189"/>
      <c r="G143" s="189"/>
      <c r="H143" s="189"/>
      <c r="I143" s="189"/>
      <c r="J143" s="189"/>
      <c r="K143" s="189"/>
      <c r="L143" s="189"/>
      <c r="M143" s="189"/>
    </row>
    <row r="144" spans="3:13">
      <c r="C144" s="189"/>
      <c r="D144" s="189"/>
      <c r="E144" s="189"/>
      <c r="F144" s="189"/>
      <c r="G144" s="189"/>
      <c r="H144" s="189"/>
      <c r="I144" s="189"/>
      <c r="J144" s="189"/>
      <c r="K144" s="189"/>
      <c r="L144" s="189"/>
      <c r="M144" s="189"/>
    </row>
    <row r="145" spans="3:13">
      <c r="C145" s="189"/>
      <c r="D145" s="189"/>
      <c r="E145" s="189"/>
      <c r="F145" s="189"/>
      <c r="G145" s="189"/>
      <c r="H145" s="189"/>
      <c r="I145" s="189"/>
      <c r="J145" s="189"/>
      <c r="K145" s="189"/>
      <c r="L145" s="189"/>
      <c r="M145" s="189"/>
    </row>
    <row r="146" spans="3:13">
      <c r="C146" s="189"/>
      <c r="D146" s="189"/>
      <c r="E146" s="189"/>
      <c r="F146" s="189"/>
      <c r="G146" s="189"/>
      <c r="H146" s="189"/>
      <c r="I146" s="189"/>
      <c r="J146" s="189"/>
      <c r="K146" s="189"/>
      <c r="L146" s="189"/>
      <c r="M146" s="189"/>
    </row>
    <row r="147" spans="3:13">
      <c r="C147" s="189"/>
      <c r="D147" s="189"/>
      <c r="E147" s="189"/>
      <c r="F147" s="189"/>
      <c r="G147" s="189"/>
      <c r="H147" s="189"/>
      <c r="I147" s="189"/>
      <c r="J147" s="189"/>
      <c r="K147" s="189"/>
      <c r="L147" s="189"/>
      <c r="M147" s="189"/>
    </row>
    <row r="148" spans="3:13">
      <c r="C148" s="189"/>
      <c r="D148" s="189"/>
      <c r="E148" s="189"/>
      <c r="F148" s="189"/>
      <c r="G148" s="189"/>
      <c r="H148" s="189"/>
      <c r="I148" s="189"/>
      <c r="J148" s="189"/>
      <c r="K148" s="189"/>
      <c r="L148" s="189"/>
      <c r="M148" s="189"/>
    </row>
    <row r="149" spans="3:13">
      <c r="C149" s="189"/>
      <c r="D149" s="189"/>
      <c r="E149" s="189"/>
      <c r="F149" s="189"/>
      <c r="G149" s="189"/>
      <c r="H149" s="189"/>
      <c r="I149" s="189"/>
      <c r="J149" s="189"/>
      <c r="K149" s="189"/>
      <c r="L149" s="189"/>
      <c r="M149" s="189"/>
    </row>
    <row r="150" spans="3:13">
      <c r="C150" s="189"/>
      <c r="D150" s="189"/>
      <c r="E150" s="189"/>
      <c r="F150" s="189"/>
      <c r="G150" s="189"/>
      <c r="H150" s="189"/>
      <c r="I150" s="189"/>
      <c r="J150" s="189"/>
      <c r="K150" s="189"/>
      <c r="L150" s="189"/>
      <c r="M150" s="189"/>
    </row>
    <row r="151" spans="3:13">
      <c r="C151" s="189"/>
      <c r="D151" s="189"/>
      <c r="E151" s="189"/>
      <c r="F151" s="189"/>
      <c r="G151" s="189"/>
      <c r="H151" s="189"/>
      <c r="I151" s="189"/>
      <c r="J151" s="189"/>
      <c r="K151" s="189"/>
      <c r="L151" s="189"/>
      <c r="M151" s="189"/>
    </row>
    <row r="152" spans="3:13">
      <c r="C152" s="189"/>
      <c r="D152" s="189"/>
      <c r="E152" s="189"/>
      <c r="F152" s="189"/>
      <c r="G152" s="189"/>
      <c r="H152" s="189"/>
      <c r="I152" s="189"/>
      <c r="J152" s="189"/>
      <c r="K152" s="189"/>
      <c r="L152" s="189"/>
      <c r="M152" s="189"/>
    </row>
    <row r="153" spans="3:13">
      <c r="C153" s="189"/>
      <c r="D153" s="189"/>
      <c r="E153" s="189"/>
      <c r="F153" s="189"/>
      <c r="G153" s="189"/>
      <c r="H153" s="189"/>
      <c r="I153" s="189"/>
      <c r="J153" s="189"/>
      <c r="K153" s="189"/>
      <c r="L153" s="189"/>
      <c r="M153" s="189"/>
    </row>
    <row r="154" spans="3:13">
      <c r="C154" s="189"/>
      <c r="D154" s="189"/>
      <c r="E154" s="189"/>
      <c r="F154" s="189"/>
      <c r="G154" s="189"/>
      <c r="H154" s="189"/>
      <c r="I154" s="189"/>
      <c r="J154" s="189"/>
      <c r="K154" s="189"/>
      <c r="L154" s="189"/>
      <c r="M154" s="189"/>
    </row>
    <row r="155" spans="3:13">
      <c r="C155" s="189"/>
      <c r="D155" s="189"/>
      <c r="E155" s="189"/>
      <c r="F155" s="189"/>
      <c r="G155" s="189"/>
      <c r="H155" s="189"/>
      <c r="I155" s="189"/>
      <c r="J155" s="189"/>
      <c r="K155" s="189"/>
      <c r="L155" s="189"/>
      <c r="M155" s="189"/>
    </row>
    <row r="156" spans="3:13">
      <c r="C156" s="189"/>
      <c r="D156" s="189"/>
      <c r="E156" s="189"/>
      <c r="F156" s="189"/>
      <c r="G156" s="189"/>
      <c r="H156" s="189"/>
      <c r="I156" s="189"/>
      <c r="J156" s="189"/>
      <c r="K156" s="189"/>
      <c r="L156" s="189"/>
      <c r="M156" s="189"/>
    </row>
    <row r="157" spans="3:13">
      <c r="C157" s="189"/>
      <c r="D157" s="189"/>
      <c r="E157" s="189"/>
      <c r="F157" s="189"/>
      <c r="G157" s="189"/>
      <c r="H157" s="189"/>
      <c r="I157" s="189"/>
      <c r="J157" s="189"/>
      <c r="K157" s="189"/>
      <c r="L157" s="189"/>
      <c r="M157" s="189"/>
    </row>
    <row r="158" spans="3:13">
      <c r="C158" s="189"/>
      <c r="D158" s="189"/>
      <c r="E158" s="189"/>
      <c r="F158" s="189"/>
      <c r="G158" s="189"/>
      <c r="H158" s="189"/>
      <c r="I158" s="189"/>
      <c r="J158" s="189"/>
      <c r="K158" s="189"/>
      <c r="L158" s="189"/>
      <c r="M158" s="189"/>
    </row>
    <row r="159" spans="3:13">
      <c r="C159" s="189"/>
      <c r="D159" s="189"/>
      <c r="E159" s="189"/>
      <c r="F159" s="189"/>
      <c r="G159" s="189"/>
      <c r="H159" s="189"/>
      <c r="I159" s="189"/>
      <c r="J159" s="189"/>
      <c r="K159" s="189"/>
      <c r="L159" s="189"/>
      <c r="M159" s="189"/>
    </row>
    <row r="160" spans="3:13">
      <c r="C160" s="189"/>
      <c r="D160" s="189"/>
      <c r="E160" s="189"/>
      <c r="F160" s="189"/>
      <c r="G160" s="189"/>
      <c r="H160" s="189"/>
      <c r="I160" s="189"/>
      <c r="J160" s="189"/>
      <c r="K160" s="189"/>
      <c r="L160" s="189"/>
      <c r="M160" s="189"/>
    </row>
    <row r="161" spans="3:13">
      <c r="C161" s="189"/>
      <c r="D161" s="189"/>
      <c r="E161" s="189"/>
      <c r="F161" s="189"/>
      <c r="G161" s="189"/>
      <c r="H161" s="189"/>
      <c r="I161" s="189"/>
      <c r="J161" s="189"/>
      <c r="K161" s="189"/>
      <c r="L161" s="189"/>
      <c r="M161" s="189"/>
    </row>
    <row r="162" spans="3:13">
      <c r="C162" s="189"/>
      <c r="D162" s="189"/>
      <c r="E162" s="189"/>
      <c r="F162" s="189"/>
      <c r="G162" s="189"/>
      <c r="H162" s="189"/>
      <c r="I162" s="189"/>
      <c r="J162" s="189"/>
      <c r="K162" s="189"/>
      <c r="L162" s="189"/>
      <c r="M162" s="189"/>
    </row>
    <row r="163" spans="3:13">
      <c r="C163" s="189"/>
      <c r="D163" s="189"/>
      <c r="E163" s="189"/>
      <c r="F163" s="189"/>
      <c r="G163" s="189"/>
      <c r="H163" s="189"/>
      <c r="I163" s="189"/>
      <c r="J163" s="189"/>
      <c r="K163" s="189"/>
      <c r="L163" s="189"/>
      <c r="M163" s="189"/>
    </row>
    <row r="164" spans="3:13">
      <c r="C164" s="189"/>
      <c r="D164" s="189"/>
      <c r="E164" s="189"/>
      <c r="F164" s="189"/>
      <c r="G164" s="189"/>
      <c r="H164" s="189"/>
      <c r="I164" s="189"/>
      <c r="J164" s="189"/>
      <c r="K164" s="189"/>
      <c r="L164" s="189"/>
      <c r="M164" s="189"/>
    </row>
    <row r="165" spans="3:13">
      <c r="C165" s="189"/>
      <c r="D165" s="189"/>
      <c r="E165" s="189"/>
      <c r="F165" s="189"/>
      <c r="G165" s="189"/>
      <c r="H165" s="189"/>
      <c r="I165" s="189"/>
      <c r="J165" s="189"/>
      <c r="K165" s="189"/>
      <c r="L165" s="189"/>
      <c r="M165" s="189"/>
    </row>
    <row r="166" spans="3:13">
      <c r="C166" s="189"/>
      <c r="D166" s="189"/>
      <c r="E166" s="189"/>
      <c r="F166" s="189"/>
      <c r="G166" s="189"/>
      <c r="H166" s="189"/>
      <c r="I166" s="189"/>
      <c r="J166" s="189"/>
      <c r="K166" s="189"/>
      <c r="L166" s="189"/>
      <c r="M166" s="189"/>
    </row>
    <row r="167" spans="3:13">
      <c r="C167" s="189"/>
      <c r="D167" s="189"/>
      <c r="E167" s="189"/>
      <c r="F167" s="189"/>
      <c r="G167" s="189"/>
      <c r="H167" s="189"/>
      <c r="I167" s="189"/>
      <c r="J167" s="189"/>
      <c r="K167" s="189"/>
      <c r="L167" s="189"/>
      <c r="M167" s="189"/>
    </row>
    <row r="168" spans="3:13">
      <c r="C168" s="189"/>
      <c r="D168" s="189"/>
      <c r="E168" s="189"/>
      <c r="F168" s="189"/>
      <c r="G168" s="189"/>
      <c r="H168" s="189"/>
      <c r="I168" s="189"/>
      <c r="J168" s="189"/>
      <c r="K168" s="189"/>
      <c r="L168" s="189"/>
      <c r="M168" s="189"/>
    </row>
    <row r="169" spans="3:13">
      <c r="C169" s="189"/>
      <c r="D169" s="189"/>
      <c r="E169" s="189"/>
      <c r="F169" s="189"/>
      <c r="G169" s="189"/>
      <c r="H169" s="189"/>
      <c r="I169" s="189"/>
      <c r="J169" s="189"/>
      <c r="K169" s="189"/>
      <c r="L169" s="189"/>
      <c r="M169" s="189"/>
    </row>
    <row r="170" spans="3:13">
      <c r="C170" s="189"/>
      <c r="D170" s="189"/>
      <c r="E170" s="189"/>
      <c r="F170" s="189"/>
      <c r="G170" s="189"/>
      <c r="H170" s="189"/>
      <c r="I170" s="189"/>
      <c r="J170" s="189"/>
      <c r="K170" s="189"/>
      <c r="L170" s="189"/>
      <c r="M170" s="189"/>
    </row>
    <row r="171" spans="3:13">
      <c r="C171" s="189"/>
      <c r="D171" s="189"/>
      <c r="E171" s="189"/>
      <c r="F171" s="189"/>
      <c r="G171" s="189"/>
      <c r="H171" s="189"/>
      <c r="I171" s="189"/>
      <c r="J171" s="189"/>
      <c r="K171" s="189"/>
      <c r="L171" s="189"/>
      <c r="M171" s="189"/>
    </row>
    <row r="172" spans="3:13">
      <c r="C172" s="189"/>
      <c r="D172" s="189"/>
      <c r="E172" s="189"/>
      <c r="F172" s="189"/>
      <c r="G172" s="189"/>
      <c r="H172" s="189"/>
      <c r="I172" s="189"/>
      <c r="J172" s="189"/>
      <c r="K172" s="189"/>
      <c r="L172" s="189"/>
      <c r="M172" s="189"/>
    </row>
    <row r="173" spans="3:13">
      <c r="C173" s="189"/>
      <c r="D173" s="189"/>
      <c r="E173" s="189"/>
      <c r="F173" s="189"/>
      <c r="G173" s="189"/>
      <c r="H173" s="189"/>
      <c r="I173" s="189"/>
      <c r="J173" s="189"/>
      <c r="K173" s="189"/>
      <c r="L173" s="189"/>
      <c r="M173" s="189"/>
    </row>
    <row r="174" spans="3:13">
      <c r="C174" s="189"/>
      <c r="D174" s="189"/>
      <c r="E174" s="189"/>
      <c r="F174" s="189"/>
      <c r="G174" s="189"/>
      <c r="H174" s="189"/>
      <c r="I174" s="189"/>
      <c r="J174" s="189"/>
      <c r="K174" s="189"/>
      <c r="L174" s="189"/>
      <c r="M174" s="189"/>
    </row>
    <row r="175" spans="3:13">
      <c r="C175" s="189"/>
      <c r="D175" s="189"/>
      <c r="E175" s="189"/>
      <c r="F175" s="189"/>
      <c r="G175" s="189"/>
      <c r="H175" s="189"/>
      <c r="I175" s="189"/>
      <c r="J175" s="189"/>
      <c r="K175" s="189"/>
      <c r="L175" s="189"/>
      <c r="M175" s="189"/>
    </row>
    <row r="176" spans="3:13">
      <c r="C176" s="189"/>
      <c r="D176" s="189"/>
      <c r="E176" s="189"/>
      <c r="F176" s="189"/>
      <c r="G176" s="189"/>
      <c r="H176" s="189"/>
      <c r="I176" s="189"/>
      <c r="J176" s="189"/>
      <c r="K176" s="189"/>
      <c r="L176" s="189"/>
      <c r="M176" s="189"/>
    </row>
    <row r="177" spans="3:13">
      <c r="C177" s="189"/>
      <c r="D177" s="189"/>
      <c r="E177" s="189"/>
      <c r="F177" s="189"/>
      <c r="G177" s="189"/>
      <c r="H177" s="189"/>
      <c r="I177" s="189"/>
      <c r="J177" s="189"/>
      <c r="K177" s="189"/>
      <c r="L177" s="189"/>
      <c r="M177" s="189"/>
    </row>
    <row r="178" spans="3:13">
      <c r="C178" s="189"/>
      <c r="D178" s="189"/>
      <c r="E178" s="189"/>
      <c r="F178" s="189"/>
      <c r="G178" s="189"/>
      <c r="H178" s="189"/>
      <c r="I178" s="189"/>
      <c r="J178" s="189"/>
      <c r="K178" s="189"/>
      <c r="L178" s="189"/>
      <c r="M178" s="189"/>
    </row>
    <row r="179" spans="3:13">
      <c r="C179" s="189"/>
      <c r="D179" s="189"/>
      <c r="E179" s="189"/>
      <c r="F179" s="189"/>
      <c r="G179" s="189"/>
      <c r="H179" s="189"/>
      <c r="I179" s="189"/>
      <c r="J179" s="189"/>
      <c r="K179" s="189"/>
      <c r="L179" s="189"/>
      <c r="M179" s="189"/>
    </row>
    <row r="180" spans="3:13">
      <c r="C180" s="189"/>
      <c r="D180" s="189"/>
      <c r="E180" s="189"/>
      <c r="F180" s="189"/>
      <c r="G180" s="189"/>
      <c r="H180" s="189"/>
      <c r="I180" s="189"/>
      <c r="J180" s="189"/>
      <c r="K180" s="189"/>
      <c r="L180" s="189"/>
      <c r="M180" s="189"/>
    </row>
    <row r="181" spans="3:13">
      <c r="C181" s="189"/>
      <c r="D181" s="189"/>
      <c r="E181" s="189"/>
      <c r="F181" s="189"/>
      <c r="G181" s="189"/>
      <c r="H181" s="189"/>
      <c r="I181" s="189"/>
      <c r="J181" s="189"/>
      <c r="K181" s="189"/>
      <c r="L181" s="189"/>
      <c r="M181" s="189"/>
    </row>
    <row r="182" spans="3:13">
      <c r="C182" s="189"/>
      <c r="D182" s="189"/>
      <c r="E182" s="189"/>
      <c r="F182" s="189"/>
      <c r="G182" s="189"/>
      <c r="H182" s="189"/>
      <c r="I182" s="189"/>
      <c r="J182" s="189"/>
      <c r="K182" s="189"/>
      <c r="L182" s="189"/>
      <c r="M182" s="189"/>
    </row>
    <row r="183" spans="3:13">
      <c r="C183" s="189"/>
      <c r="D183" s="189"/>
      <c r="E183" s="189"/>
      <c r="F183" s="189"/>
      <c r="G183" s="189"/>
      <c r="H183" s="189"/>
      <c r="I183" s="189"/>
      <c r="J183" s="189"/>
      <c r="K183" s="189"/>
      <c r="L183" s="189"/>
      <c r="M183" s="189"/>
    </row>
    <row r="184" spans="3:13">
      <c r="C184" s="189"/>
      <c r="D184" s="189"/>
      <c r="E184" s="189"/>
      <c r="F184" s="189"/>
      <c r="G184" s="189"/>
      <c r="H184" s="189"/>
      <c r="I184" s="189"/>
      <c r="J184" s="189"/>
      <c r="K184" s="189"/>
      <c r="L184" s="189"/>
      <c r="M184" s="189"/>
    </row>
    <row r="185" spans="3:13">
      <c r="C185" s="189"/>
      <c r="D185" s="189"/>
      <c r="E185" s="189"/>
      <c r="F185" s="189"/>
      <c r="G185" s="189"/>
      <c r="H185" s="189"/>
      <c r="I185" s="189"/>
      <c r="J185" s="189"/>
      <c r="K185" s="189"/>
      <c r="L185" s="189"/>
      <c r="M185" s="189"/>
    </row>
    <row r="186" spans="3:13">
      <c r="C186" s="189"/>
      <c r="D186" s="189"/>
      <c r="E186" s="189"/>
      <c r="F186" s="189"/>
      <c r="G186" s="189"/>
      <c r="H186" s="189"/>
      <c r="I186" s="189"/>
      <c r="J186" s="189"/>
      <c r="K186" s="189"/>
      <c r="L186" s="189"/>
      <c r="M186" s="189"/>
    </row>
    <row r="187" spans="3:13">
      <c r="C187" s="189"/>
      <c r="D187" s="189"/>
      <c r="E187" s="189"/>
      <c r="F187" s="189"/>
      <c r="G187" s="189"/>
      <c r="H187" s="189"/>
      <c r="I187" s="189"/>
      <c r="J187" s="189"/>
      <c r="K187" s="189"/>
      <c r="L187" s="189"/>
      <c r="M187" s="189"/>
    </row>
    <row r="188" spans="3:13">
      <c r="C188" s="189"/>
      <c r="D188" s="189"/>
      <c r="E188" s="189"/>
      <c r="F188" s="189"/>
      <c r="G188" s="189"/>
      <c r="H188" s="189"/>
      <c r="I188" s="189"/>
      <c r="J188" s="189"/>
      <c r="K188" s="189"/>
      <c r="L188" s="189"/>
      <c r="M188" s="189"/>
    </row>
    <row r="189" spans="3:13">
      <c r="C189" s="189"/>
      <c r="D189" s="189"/>
      <c r="E189" s="189"/>
      <c r="F189" s="189"/>
      <c r="G189" s="189"/>
      <c r="H189" s="189"/>
      <c r="I189" s="189"/>
      <c r="J189" s="189"/>
      <c r="K189" s="189"/>
      <c r="L189" s="189"/>
      <c r="M189" s="189"/>
    </row>
    <row r="190" spans="3:13">
      <c r="C190" s="189"/>
      <c r="D190" s="189"/>
      <c r="E190" s="189"/>
      <c r="F190" s="189"/>
      <c r="G190" s="189"/>
      <c r="H190" s="189"/>
      <c r="I190" s="189"/>
      <c r="J190" s="189"/>
      <c r="K190" s="189"/>
      <c r="L190" s="189"/>
      <c r="M190" s="189"/>
    </row>
    <row r="191" spans="3:13">
      <c r="C191" s="189"/>
      <c r="D191" s="189"/>
      <c r="E191" s="189"/>
      <c r="F191" s="189"/>
      <c r="G191" s="189"/>
      <c r="H191" s="189"/>
      <c r="I191" s="189"/>
      <c r="J191" s="189"/>
      <c r="K191" s="189"/>
      <c r="L191" s="189"/>
      <c r="M191" s="189"/>
    </row>
    <row r="192" spans="3:13">
      <c r="C192" s="189"/>
      <c r="D192" s="189"/>
      <c r="E192" s="189"/>
      <c r="F192" s="189"/>
      <c r="G192" s="189"/>
      <c r="H192" s="189"/>
      <c r="I192" s="189"/>
      <c r="J192" s="189"/>
      <c r="K192" s="189"/>
      <c r="L192" s="189"/>
      <c r="M192" s="189"/>
    </row>
    <row r="193" spans="3:13">
      <c r="C193" s="189"/>
      <c r="D193" s="189"/>
      <c r="E193" s="189"/>
      <c r="F193" s="189"/>
      <c r="G193" s="189"/>
      <c r="H193" s="189"/>
      <c r="I193" s="189"/>
      <c r="J193" s="189"/>
      <c r="K193" s="189"/>
      <c r="L193" s="189"/>
      <c r="M193" s="189"/>
    </row>
    <row r="194" spans="3:13">
      <c r="C194" s="189"/>
      <c r="D194" s="189"/>
      <c r="E194" s="189"/>
      <c r="F194" s="189"/>
      <c r="G194" s="189"/>
      <c r="H194" s="189"/>
      <c r="I194" s="189"/>
      <c r="J194" s="189"/>
      <c r="K194" s="189"/>
      <c r="L194" s="189"/>
      <c r="M194" s="189"/>
    </row>
    <row r="195" spans="3:13">
      <c r="C195" s="189"/>
      <c r="D195" s="189"/>
      <c r="E195" s="189"/>
      <c r="F195" s="189"/>
      <c r="G195" s="189"/>
      <c r="H195" s="189"/>
      <c r="I195" s="189"/>
      <c r="J195" s="189"/>
      <c r="K195" s="189"/>
      <c r="L195" s="189"/>
      <c r="M195" s="189"/>
    </row>
    <row r="196" spans="3:13">
      <c r="C196" s="189"/>
      <c r="D196" s="189"/>
      <c r="E196" s="189"/>
      <c r="F196" s="189"/>
      <c r="G196" s="189"/>
      <c r="H196" s="189"/>
      <c r="I196" s="189"/>
      <c r="J196" s="189"/>
      <c r="K196" s="189"/>
      <c r="L196" s="189"/>
      <c r="M196" s="189"/>
    </row>
    <row r="197" spans="3:13">
      <c r="C197" s="189"/>
      <c r="D197" s="189"/>
      <c r="E197" s="189"/>
      <c r="F197" s="189"/>
      <c r="G197" s="189"/>
      <c r="H197" s="189"/>
      <c r="I197" s="189"/>
      <c r="J197" s="189"/>
      <c r="K197" s="189"/>
      <c r="L197" s="189"/>
      <c r="M197" s="189"/>
    </row>
    <row r="198" spans="3:13">
      <c r="C198" s="189"/>
      <c r="D198" s="189"/>
      <c r="E198" s="189"/>
      <c r="F198" s="189"/>
      <c r="G198" s="189"/>
      <c r="H198" s="189"/>
      <c r="I198" s="189"/>
      <c r="J198" s="189"/>
      <c r="K198" s="189"/>
      <c r="L198" s="189"/>
      <c r="M198" s="189"/>
    </row>
    <row r="199" spans="3:13">
      <c r="C199" s="189"/>
      <c r="D199" s="189"/>
      <c r="E199" s="189"/>
      <c r="F199" s="189"/>
      <c r="G199" s="189"/>
      <c r="H199" s="189"/>
      <c r="I199" s="189"/>
      <c r="J199" s="189"/>
      <c r="K199" s="189"/>
      <c r="L199" s="189"/>
      <c r="M199" s="189"/>
    </row>
    <row r="200" spans="3:13">
      <c r="C200" s="189"/>
      <c r="D200" s="189"/>
      <c r="E200" s="189"/>
      <c r="F200" s="189"/>
      <c r="G200" s="189"/>
      <c r="H200" s="189"/>
      <c r="I200" s="189"/>
      <c r="J200" s="189"/>
      <c r="K200" s="189"/>
      <c r="L200" s="189"/>
      <c r="M200" s="189"/>
    </row>
    <row r="201" spans="3:13">
      <c r="C201" s="189"/>
      <c r="D201" s="189"/>
      <c r="E201" s="189"/>
      <c r="F201" s="189"/>
      <c r="G201" s="189"/>
      <c r="H201" s="189"/>
      <c r="I201" s="189"/>
      <c r="J201" s="189"/>
      <c r="K201" s="189"/>
      <c r="L201" s="189"/>
      <c r="M201" s="189"/>
    </row>
    <row r="202" spans="3:13">
      <c r="C202" s="189"/>
      <c r="D202" s="189"/>
      <c r="E202" s="189"/>
      <c r="F202" s="189"/>
      <c r="G202" s="189"/>
      <c r="H202" s="189"/>
      <c r="I202" s="189"/>
      <c r="J202" s="189"/>
      <c r="K202" s="189"/>
      <c r="L202" s="189"/>
      <c r="M202" s="189"/>
    </row>
    <row r="203" spans="3:13">
      <c r="C203" s="189"/>
      <c r="D203" s="189"/>
      <c r="E203" s="189"/>
      <c r="F203" s="189"/>
      <c r="G203" s="189"/>
      <c r="H203" s="189"/>
      <c r="I203" s="189"/>
      <c r="J203" s="189"/>
      <c r="K203" s="189"/>
      <c r="L203" s="189"/>
      <c r="M203" s="189"/>
    </row>
    <row r="204" spans="3:13">
      <c r="C204" s="189"/>
      <c r="D204" s="189"/>
      <c r="E204" s="189"/>
      <c r="F204" s="189"/>
      <c r="G204" s="189"/>
      <c r="H204" s="189"/>
      <c r="I204" s="189"/>
      <c r="J204" s="189"/>
      <c r="K204" s="189"/>
      <c r="L204" s="189"/>
      <c r="M204" s="189"/>
    </row>
    <row r="205" spans="3:13">
      <c r="C205" s="189"/>
      <c r="D205" s="189"/>
      <c r="E205" s="189"/>
      <c r="F205" s="189"/>
      <c r="G205" s="189"/>
      <c r="H205" s="189"/>
      <c r="I205" s="189"/>
      <c r="J205" s="189"/>
      <c r="K205" s="189"/>
      <c r="L205" s="189"/>
      <c r="M205" s="189"/>
    </row>
    <row r="206" spans="3:13">
      <c r="C206" s="189"/>
      <c r="D206" s="189"/>
      <c r="E206" s="189"/>
      <c r="F206" s="189"/>
      <c r="G206" s="189"/>
      <c r="H206" s="189"/>
      <c r="I206" s="189"/>
      <c r="J206" s="189"/>
      <c r="K206" s="189"/>
      <c r="L206" s="189"/>
      <c r="M206" s="189"/>
    </row>
    <row r="207" spans="3:13">
      <c r="C207" s="189"/>
      <c r="D207" s="189"/>
      <c r="E207" s="189"/>
      <c r="F207" s="189"/>
      <c r="G207" s="189"/>
      <c r="H207" s="189"/>
      <c r="I207" s="189"/>
      <c r="J207" s="189"/>
      <c r="K207" s="189"/>
      <c r="L207" s="189"/>
      <c r="M207" s="189"/>
    </row>
    <row r="208" spans="3:13">
      <c r="C208" s="189"/>
      <c r="D208" s="189"/>
      <c r="E208" s="189"/>
      <c r="F208" s="189"/>
      <c r="G208" s="189"/>
      <c r="H208" s="189"/>
      <c r="I208" s="189"/>
      <c r="J208" s="189"/>
      <c r="K208" s="189"/>
      <c r="L208" s="189"/>
      <c r="M208" s="189"/>
    </row>
    <row r="209" spans="3:13">
      <c r="C209" s="189"/>
      <c r="D209" s="189"/>
      <c r="E209" s="189"/>
      <c r="F209" s="189"/>
      <c r="G209" s="189"/>
      <c r="H209" s="189"/>
      <c r="I209" s="189"/>
      <c r="J209" s="189"/>
      <c r="K209" s="189"/>
      <c r="L209" s="189"/>
      <c r="M209" s="189"/>
    </row>
    <row r="210" spans="3:13">
      <c r="C210" s="189"/>
      <c r="D210" s="189"/>
      <c r="E210" s="189"/>
      <c r="F210" s="189"/>
      <c r="G210" s="189"/>
      <c r="H210" s="189"/>
      <c r="I210" s="189"/>
      <c r="J210" s="189"/>
      <c r="K210" s="189"/>
      <c r="L210" s="189"/>
      <c r="M210" s="189"/>
    </row>
    <row r="211" spans="3:13">
      <c r="C211" s="189"/>
      <c r="D211" s="189"/>
      <c r="E211" s="189"/>
      <c r="F211" s="189"/>
      <c r="G211" s="189"/>
      <c r="H211" s="189"/>
      <c r="I211" s="189"/>
      <c r="J211" s="189"/>
      <c r="K211" s="189"/>
      <c r="L211" s="189"/>
      <c r="M211" s="189"/>
    </row>
    <row r="212" spans="3:13">
      <c r="C212" s="189"/>
      <c r="D212" s="189"/>
      <c r="E212" s="189"/>
      <c r="F212" s="189"/>
      <c r="G212" s="189"/>
      <c r="H212" s="189"/>
      <c r="I212" s="189"/>
      <c r="J212" s="189"/>
      <c r="K212" s="189"/>
      <c r="L212" s="189"/>
      <c r="M212" s="189"/>
    </row>
    <row r="213" spans="3:13">
      <c r="C213" s="189"/>
      <c r="D213" s="189"/>
      <c r="E213" s="189"/>
      <c r="F213" s="189"/>
      <c r="G213" s="189"/>
      <c r="H213" s="189"/>
      <c r="I213" s="189"/>
      <c r="J213" s="189"/>
      <c r="K213" s="189"/>
      <c r="L213" s="189"/>
      <c r="M213" s="189"/>
    </row>
    <row r="214" spans="3:13">
      <c r="C214" s="189"/>
      <c r="D214" s="189"/>
      <c r="E214" s="189"/>
      <c r="F214" s="189"/>
      <c r="G214" s="189"/>
      <c r="H214" s="189"/>
      <c r="I214" s="189"/>
      <c r="J214" s="189"/>
      <c r="K214" s="189"/>
      <c r="L214" s="189"/>
      <c r="M214" s="189"/>
    </row>
    <row r="215" spans="3:13">
      <c r="C215" s="189"/>
      <c r="D215" s="189"/>
      <c r="E215" s="189"/>
      <c r="F215" s="189"/>
      <c r="G215" s="189"/>
      <c r="H215" s="189"/>
      <c r="I215" s="189"/>
      <c r="J215" s="189"/>
      <c r="K215" s="189"/>
      <c r="L215" s="189"/>
      <c r="M215" s="189"/>
    </row>
    <row r="216" spans="3:13">
      <c r="C216" s="189"/>
      <c r="D216" s="189"/>
      <c r="E216" s="189"/>
      <c r="F216" s="189"/>
      <c r="G216" s="189"/>
      <c r="H216" s="189"/>
      <c r="I216" s="189"/>
      <c r="J216" s="189"/>
      <c r="K216" s="189"/>
      <c r="L216" s="189"/>
      <c r="M216" s="189"/>
    </row>
    <row r="217" spans="3:13">
      <c r="C217" s="189"/>
      <c r="D217" s="189"/>
      <c r="E217" s="189"/>
      <c r="F217" s="189"/>
      <c r="G217" s="189"/>
      <c r="H217" s="189"/>
      <c r="I217" s="189"/>
      <c r="J217" s="189"/>
      <c r="K217" s="189"/>
      <c r="L217" s="189"/>
      <c r="M217" s="189"/>
    </row>
    <row r="218" spans="3:13">
      <c r="C218" s="189"/>
      <c r="D218" s="189"/>
      <c r="E218" s="189"/>
      <c r="F218" s="189"/>
      <c r="G218" s="189"/>
      <c r="H218" s="189"/>
      <c r="I218" s="189"/>
      <c r="J218" s="189"/>
      <c r="K218" s="189"/>
      <c r="L218" s="189"/>
      <c r="M218" s="189"/>
    </row>
    <row r="219" spans="3:13">
      <c r="C219" s="189"/>
      <c r="D219" s="189"/>
      <c r="E219" s="189"/>
      <c r="F219" s="189"/>
      <c r="G219" s="189"/>
      <c r="H219" s="189"/>
      <c r="I219" s="189"/>
      <c r="J219" s="189"/>
      <c r="K219" s="189"/>
      <c r="L219" s="189"/>
      <c r="M219" s="189"/>
    </row>
    <row r="220" spans="3:13">
      <c r="C220" s="189"/>
      <c r="D220" s="189"/>
      <c r="E220" s="189"/>
      <c r="F220" s="189"/>
      <c r="G220" s="189"/>
      <c r="H220" s="189"/>
      <c r="I220" s="189"/>
      <c r="J220" s="189"/>
      <c r="K220" s="189"/>
      <c r="L220" s="189"/>
      <c r="M220" s="189"/>
    </row>
    <row r="221" spans="3:13">
      <c r="C221" s="189"/>
      <c r="D221" s="189"/>
      <c r="E221" s="189"/>
      <c r="F221" s="189"/>
      <c r="G221" s="189"/>
      <c r="H221" s="189"/>
      <c r="I221" s="189"/>
      <c r="J221" s="189"/>
      <c r="K221" s="189"/>
      <c r="L221" s="189"/>
      <c r="M221" s="189"/>
    </row>
    <row r="222" spans="3:13">
      <c r="C222" s="189"/>
      <c r="D222" s="189"/>
      <c r="E222" s="189"/>
      <c r="F222" s="189"/>
      <c r="G222" s="189"/>
      <c r="H222" s="189"/>
      <c r="I222" s="189"/>
      <c r="J222" s="189"/>
      <c r="K222" s="189"/>
      <c r="L222" s="189"/>
      <c r="M222" s="189"/>
    </row>
    <row r="223" spans="3:13">
      <c r="C223" s="189"/>
      <c r="D223" s="189"/>
      <c r="E223" s="189"/>
      <c r="F223" s="189"/>
      <c r="G223" s="189"/>
      <c r="H223" s="189"/>
      <c r="I223" s="189"/>
      <c r="J223" s="189"/>
      <c r="K223" s="189"/>
      <c r="L223" s="189"/>
      <c r="M223" s="189"/>
    </row>
    <row r="224" spans="3:13">
      <c r="C224" s="189"/>
      <c r="D224" s="189"/>
      <c r="E224" s="189"/>
      <c r="F224" s="189"/>
      <c r="G224" s="189"/>
      <c r="H224" s="189"/>
      <c r="I224" s="189"/>
      <c r="J224" s="189"/>
      <c r="K224" s="189"/>
      <c r="L224" s="189"/>
      <c r="M224" s="189"/>
    </row>
    <row r="225" spans="3:13">
      <c r="C225" s="189"/>
      <c r="D225" s="189"/>
      <c r="E225" s="189"/>
      <c r="F225" s="189"/>
      <c r="G225" s="189"/>
      <c r="H225" s="189"/>
      <c r="I225" s="189"/>
      <c r="J225" s="189"/>
      <c r="K225" s="189"/>
      <c r="L225" s="189"/>
      <c r="M225" s="189"/>
    </row>
    <row r="226" spans="3:13">
      <c r="C226" s="189"/>
      <c r="D226" s="189"/>
      <c r="E226" s="189"/>
      <c r="F226" s="189"/>
      <c r="G226" s="189"/>
      <c r="H226" s="189"/>
      <c r="I226" s="189"/>
      <c r="J226" s="189"/>
      <c r="K226" s="189"/>
      <c r="L226" s="189"/>
      <c r="M226" s="189"/>
    </row>
    <row r="227" spans="3:13">
      <c r="C227" s="189"/>
      <c r="D227" s="189"/>
      <c r="E227" s="189"/>
      <c r="F227" s="189"/>
      <c r="G227" s="189"/>
      <c r="H227" s="189"/>
      <c r="I227" s="189"/>
      <c r="J227" s="189"/>
      <c r="K227" s="189"/>
      <c r="L227" s="189"/>
      <c r="M227" s="189"/>
    </row>
    <row r="228" spans="3:13">
      <c r="C228" s="189"/>
      <c r="D228" s="189"/>
      <c r="E228" s="189"/>
      <c r="F228" s="189"/>
      <c r="G228" s="189"/>
      <c r="H228" s="189"/>
      <c r="I228" s="189"/>
      <c r="J228" s="189"/>
      <c r="K228" s="189"/>
      <c r="L228" s="189"/>
      <c r="M228" s="189"/>
    </row>
    <row r="229" spans="3:13">
      <c r="C229" s="189"/>
      <c r="D229" s="189"/>
      <c r="E229" s="189"/>
      <c r="F229" s="189"/>
      <c r="G229" s="189"/>
      <c r="H229" s="189"/>
      <c r="I229" s="189"/>
      <c r="J229" s="189"/>
      <c r="K229" s="189"/>
      <c r="L229" s="189"/>
      <c r="M229" s="189"/>
    </row>
    <row r="230" spans="3:13">
      <c r="C230" s="189"/>
      <c r="D230" s="189"/>
      <c r="E230" s="189"/>
      <c r="F230" s="189"/>
      <c r="G230" s="189"/>
      <c r="H230" s="189"/>
      <c r="I230" s="189"/>
      <c r="J230" s="189"/>
      <c r="K230" s="189"/>
      <c r="L230" s="189"/>
      <c r="M230" s="189"/>
    </row>
    <row r="231" spans="3:13">
      <c r="C231" s="189"/>
      <c r="D231" s="189"/>
      <c r="E231" s="189"/>
      <c r="F231" s="189"/>
      <c r="G231" s="189"/>
      <c r="H231" s="189"/>
      <c r="I231" s="189"/>
      <c r="J231" s="189"/>
      <c r="K231" s="189"/>
      <c r="L231" s="189"/>
      <c r="M231" s="189"/>
    </row>
    <row r="232" spans="3:13">
      <c r="C232" s="189"/>
      <c r="D232" s="189"/>
      <c r="E232" s="189"/>
      <c r="F232" s="189"/>
      <c r="G232" s="189"/>
      <c r="H232" s="189"/>
      <c r="I232" s="189"/>
      <c r="J232" s="189"/>
      <c r="K232" s="189"/>
      <c r="L232" s="189"/>
      <c r="M232" s="189"/>
    </row>
    <row r="233" spans="3:13">
      <c r="C233" s="189"/>
      <c r="D233" s="189"/>
      <c r="E233" s="189"/>
      <c r="F233" s="189"/>
      <c r="G233" s="189"/>
      <c r="H233" s="189"/>
      <c r="I233" s="189"/>
      <c r="J233" s="189"/>
      <c r="K233" s="189"/>
      <c r="L233" s="189"/>
      <c r="M233" s="189"/>
    </row>
    <row r="234" spans="3:13">
      <c r="C234" s="189"/>
      <c r="D234" s="189"/>
      <c r="E234" s="189"/>
      <c r="F234" s="189"/>
      <c r="G234" s="189"/>
      <c r="H234" s="189"/>
      <c r="I234" s="189"/>
      <c r="J234" s="189"/>
      <c r="K234" s="189"/>
      <c r="L234" s="189"/>
      <c r="M234" s="189"/>
    </row>
    <row r="235" spans="3:13">
      <c r="C235" s="189"/>
      <c r="D235" s="189"/>
      <c r="E235" s="189"/>
      <c r="F235" s="189"/>
      <c r="G235" s="189"/>
      <c r="H235" s="189"/>
      <c r="I235" s="189"/>
      <c r="J235" s="189"/>
      <c r="K235" s="189"/>
      <c r="L235" s="189"/>
      <c r="M235" s="189"/>
    </row>
    <row r="236" spans="3:13">
      <c r="C236" s="189"/>
      <c r="D236" s="189"/>
      <c r="E236" s="189"/>
      <c r="F236" s="189"/>
      <c r="G236" s="189"/>
      <c r="H236" s="189"/>
      <c r="I236" s="189"/>
      <c r="J236" s="189"/>
      <c r="K236" s="189"/>
      <c r="L236" s="189"/>
      <c r="M236" s="189"/>
    </row>
    <row r="237" spans="3:13">
      <c r="C237" s="189"/>
      <c r="D237" s="189"/>
      <c r="E237" s="189"/>
      <c r="F237" s="189"/>
      <c r="G237" s="189"/>
      <c r="H237" s="189"/>
      <c r="I237" s="189"/>
      <c r="J237" s="189"/>
      <c r="K237" s="189"/>
      <c r="L237" s="189"/>
      <c r="M237" s="189"/>
    </row>
    <row r="238" spans="3:13">
      <c r="C238" s="189"/>
      <c r="D238" s="189"/>
      <c r="E238" s="189"/>
      <c r="F238" s="189"/>
      <c r="G238" s="189"/>
      <c r="H238" s="189"/>
      <c r="I238" s="189"/>
      <c r="J238" s="189"/>
      <c r="K238" s="189"/>
      <c r="L238" s="189"/>
      <c r="M238" s="189"/>
    </row>
    <row r="239" spans="3:13">
      <c r="C239" s="189"/>
      <c r="D239" s="189"/>
      <c r="E239" s="189"/>
      <c r="F239" s="189"/>
      <c r="G239" s="189"/>
      <c r="H239" s="189"/>
      <c r="I239" s="189"/>
      <c r="J239" s="189"/>
      <c r="K239" s="189"/>
      <c r="L239" s="189"/>
      <c r="M239" s="189"/>
    </row>
    <row r="240" spans="3:13">
      <c r="C240" s="189"/>
      <c r="D240" s="189"/>
      <c r="E240" s="189"/>
      <c r="F240" s="189"/>
      <c r="G240" s="189"/>
      <c r="H240" s="189"/>
      <c r="I240" s="189"/>
      <c r="J240" s="189"/>
      <c r="K240" s="189"/>
      <c r="L240" s="189"/>
      <c r="M240" s="189"/>
    </row>
    <row r="241" spans="3:13">
      <c r="C241" s="189"/>
      <c r="D241" s="189"/>
      <c r="E241" s="189"/>
      <c r="F241" s="189"/>
      <c r="G241" s="189"/>
      <c r="H241" s="189"/>
      <c r="I241" s="189"/>
      <c r="J241" s="189"/>
      <c r="K241" s="189"/>
      <c r="L241" s="189"/>
      <c r="M241" s="189"/>
    </row>
    <row r="242" spans="3:13">
      <c r="C242" s="189"/>
      <c r="D242" s="189"/>
      <c r="E242" s="189"/>
      <c r="F242" s="189"/>
      <c r="G242" s="189"/>
      <c r="H242" s="189"/>
      <c r="I242" s="189"/>
      <c r="J242" s="189"/>
      <c r="K242" s="189"/>
      <c r="L242" s="189"/>
      <c r="M242" s="189"/>
    </row>
    <row r="243" spans="3:13">
      <c r="C243" s="189"/>
      <c r="D243" s="189"/>
      <c r="E243" s="189"/>
      <c r="F243" s="189"/>
      <c r="G243" s="189"/>
      <c r="H243" s="189"/>
      <c r="I243" s="189"/>
      <c r="J243" s="189"/>
      <c r="K243" s="189"/>
      <c r="L243" s="189"/>
      <c r="M243" s="189"/>
    </row>
    <row r="244" spans="3:13">
      <c r="C244" s="189"/>
      <c r="D244" s="189"/>
      <c r="E244" s="189"/>
      <c r="F244" s="189"/>
      <c r="G244" s="189"/>
      <c r="H244" s="189"/>
      <c r="I244" s="189"/>
      <c r="J244" s="189"/>
      <c r="K244" s="189"/>
      <c r="L244" s="189"/>
      <c r="M244" s="189"/>
    </row>
    <row r="245" spans="3:13">
      <c r="C245" s="189"/>
      <c r="D245" s="189"/>
      <c r="E245" s="189"/>
      <c r="F245" s="189"/>
      <c r="G245" s="189"/>
      <c r="H245" s="189"/>
      <c r="I245" s="189"/>
      <c r="J245" s="189"/>
      <c r="K245" s="189"/>
      <c r="L245" s="189"/>
      <c r="M245" s="189"/>
    </row>
    <row r="246" spans="3:13">
      <c r="C246" s="189"/>
      <c r="D246" s="189"/>
      <c r="E246" s="189"/>
      <c r="F246" s="189"/>
      <c r="G246" s="189"/>
      <c r="H246" s="189"/>
      <c r="I246" s="189"/>
      <c r="J246" s="189"/>
      <c r="K246" s="189"/>
      <c r="L246" s="189"/>
      <c r="M246" s="189"/>
    </row>
    <row r="247" spans="3:13">
      <c r="C247" s="189"/>
      <c r="D247" s="189"/>
      <c r="E247" s="189"/>
      <c r="F247" s="189"/>
      <c r="G247" s="189"/>
      <c r="H247" s="189"/>
      <c r="I247" s="189"/>
      <c r="J247" s="189"/>
      <c r="K247" s="189"/>
      <c r="L247" s="189"/>
      <c r="M247" s="189"/>
    </row>
    <row r="248" spans="3:13">
      <c r="C248" s="189"/>
      <c r="D248" s="189"/>
      <c r="E248" s="189"/>
      <c r="F248" s="189"/>
      <c r="G248" s="189"/>
      <c r="H248" s="189"/>
      <c r="I248" s="189"/>
      <c r="J248" s="189"/>
      <c r="K248" s="189"/>
      <c r="L248" s="189"/>
      <c r="M248" s="189"/>
    </row>
    <row r="249" spans="3:13">
      <c r="C249" s="189"/>
      <c r="D249" s="189"/>
      <c r="E249" s="189"/>
      <c r="F249" s="189"/>
      <c r="G249" s="189"/>
      <c r="H249" s="189"/>
      <c r="I249" s="189"/>
      <c r="J249" s="189"/>
      <c r="K249" s="189"/>
      <c r="L249" s="189"/>
      <c r="M249" s="189"/>
    </row>
    <row r="250" spans="3:13">
      <c r="C250" s="189"/>
      <c r="D250" s="189"/>
      <c r="E250" s="189"/>
      <c r="F250" s="189"/>
      <c r="G250" s="189"/>
      <c r="H250" s="189"/>
      <c r="I250" s="189"/>
      <c r="J250" s="189"/>
      <c r="K250" s="189"/>
      <c r="L250" s="189"/>
      <c r="M250" s="189"/>
    </row>
    <row r="251" spans="3:13">
      <c r="C251" s="189"/>
      <c r="D251" s="189"/>
      <c r="E251" s="189"/>
      <c r="F251" s="189"/>
      <c r="G251" s="189"/>
      <c r="H251" s="189"/>
      <c r="I251" s="189"/>
      <c r="J251" s="189"/>
      <c r="K251" s="189"/>
      <c r="L251" s="189"/>
      <c r="M251" s="189"/>
    </row>
    <row r="252" spans="3:13">
      <c r="C252" s="189"/>
      <c r="D252" s="189"/>
      <c r="E252" s="189"/>
      <c r="F252" s="189"/>
      <c r="G252" s="189"/>
      <c r="H252" s="189"/>
      <c r="I252" s="189"/>
      <c r="J252" s="189"/>
      <c r="K252" s="189"/>
      <c r="L252" s="189"/>
      <c r="M252" s="189"/>
    </row>
    <row r="253" spans="3:13">
      <c r="C253" s="189"/>
      <c r="D253" s="189"/>
      <c r="E253" s="189"/>
      <c r="F253" s="189"/>
      <c r="G253" s="189"/>
      <c r="H253" s="189"/>
      <c r="I253" s="189"/>
      <c r="J253" s="189"/>
      <c r="K253" s="189"/>
      <c r="L253" s="189"/>
      <c r="M253" s="189"/>
    </row>
    <row r="254" spans="3:13">
      <c r="C254" s="189"/>
      <c r="D254" s="189"/>
      <c r="E254" s="189"/>
      <c r="F254" s="189"/>
      <c r="G254" s="189"/>
      <c r="H254" s="189"/>
      <c r="I254" s="189"/>
      <c r="J254" s="189"/>
      <c r="K254" s="189"/>
      <c r="L254" s="189"/>
      <c r="M254" s="189"/>
    </row>
    <row r="255" spans="3:13">
      <c r="C255" s="189"/>
      <c r="D255" s="189"/>
      <c r="E255" s="189"/>
      <c r="F255" s="189"/>
      <c r="G255" s="189"/>
      <c r="H255" s="189"/>
      <c r="I255" s="189"/>
      <c r="J255" s="189"/>
      <c r="K255" s="189"/>
      <c r="L255" s="189"/>
      <c r="M255" s="189"/>
    </row>
    <row r="256" spans="3:13">
      <c r="C256" s="189"/>
      <c r="D256" s="189"/>
      <c r="E256" s="189"/>
      <c r="F256" s="189"/>
      <c r="G256" s="189"/>
      <c r="H256" s="189"/>
      <c r="I256" s="189"/>
      <c r="J256" s="189"/>
      <c r="K256" s="189"/>
      <c r="L256" s="189"/>
      <c r="M256" s="189"/>
    </row>
    <row r="257" spans="3:13">
      <c r="C257" s="189"/>
      <c r="D257" s="189"/>
      <c r="E257" s="189"/>
      <c r="F257" s="189"/>
      <c r="G257" s="189"/>
      <c r="H257" s="189"/>
      <c r="I257" s="189"/>
      <c r="J257" s="189"/>
      <c r="K257" s="189"/>
      <c r="L257" s="189"/>
      <c r="M257" s="189"/>
    </row>
    <row r="258" spans="3:13">
      <c r="C258" s="189"/>
      <c r="D258" s="189"/>
      <c r="E258" s="189"/>
      <c r="F258" s="189"/>
      <c r="G258" s="189"/>
      <c r="H258" s="189"/>
      <c r="I258" s="189"/>
      <c r="J258" s="189"/>
      <c r="K258" s="189"/>
      <c r="L258" s="189"/>
      <c r="M258" s="189"/>
    </row>
    <row r="259" spans="3:13">
      <c r="C259" s="189"/>
      <c r="D259" s="189"/>
      <c r="E259" s="189"/>
      <c r="F259" s="189"/>
      <c r="G259" s="189"/>
      <c r="H259" s="189"/>
      <c r="I259" s="189"/>
      <c r="J259" s="189"/>
      <c r="K259" s="189"/>
      <c r="L259" s="189"/>
      <c r="M259" s="189"/>
    </row>
    <row r="260" spans="3:13">
      <c r="C260" s="189"/>
      <c r="D260" s="189"/>
      <c r="E260" s="189"/>
      <c r="F260" s="189"/>
      <c r="G260" s="189"/>
      <c r="H260" s="189"/>
      <c r="I260" s="189"/>
      <c r="J260" s="189"/>
      <c r="K260" s="189"/>
      <c r="L260" s="189"/>
      <c r="M260" s="189"/>
    </row>
    <row r="261" spans="3:13">
      <c r="C261" s="189"/>
      <c r="D261" s="189"/>
      <c r="E261" s="189"/>
      <c r="F261" s="189"/>
      <c r="G261" s="189"/>
      <c r="H261" s="189"/>
      <c r="I261" s="189"/>
      <c r="J261" s="189"/>
      <c r="K261" s="189"/>
      <c r="L261" s="189"/>
      <c r="M261" s="189"/>
    </row>
    <row r="262" spans="3:13">
      <c r="C262" s="189"/>
      <c r="D262" s="189"/>
      <c r="E262" s="189"/>
      <c r="F262" s="189"/>
      <c r="G262" s="189"/>
      <c r="H262" s="189"/>
      <c r="I262" s="189"/>
      <c r="J262" s="189"/>
      <c r="K262" s="189"/>
      <c r="L262" s="189"/>
      <c r="M262" s="189"/>
    </row>
    <row r="263" spans="3:13">
      <c r="C263" s="189"/>
      <c r="D263" s="189"/>
      <c r="E263" s="189"/>
      <c r="F263" s="189"/>
      <c r="G263" s="189"/>
      <c r="H263" s="189"/>
      <c r="I263" s="189"/>
      <c r="J263" s="189"/>
      <c r="K263" s="189"/>
      <c r="L263" s="189"/>
      <c r="M263" s="189"/>
    </row>
    <row r="264" spans="3:13">
      <c r="C264" s="189"/>
      <c r="D264" s="189"/>
      <c r="E264" s="189"/>
      <c r="F264" s="189"/>
      <c r="G264" s="189"/>
      <c r="H264" s="189"/>
      <c r="I264" s="189"/>
      <c r="J264" s="189"/>
      <c r="K264" s="189"/>
      <c r="L264" s="189"/>
      <c r="M264" s="189"/>
    </row>
    <row r="265" spans="3:13">
      <c r="C265" s="189"/>
      <c r="D265" s="189"/>
      <c r="E265" s="189"/>
      <c r="F265" s="189"/>
      <c r="G265" s="189"/>
      <c r="H265" s="189"/>
      <c r="I265" s="189"/>
      <c r="J265" s="189"/>
      <c r="K265" s="189"/>
      <c r="L265" s="189"/>
      <c r="M265" s="189"/>
    </row>
    <row r="266" spans="3:13">
      <c r="C266" s="189"/>
      <c r="D266" s="189"/>
      <c r="E266" s="189"/>
      <c r="F266" s="189"/>
      <c r="G266" s="189"/>
      <c r="H266" s="189"/>
      <c r="I266" s="189"/>
      <c r="J266" s="189"/>
      <c r="K266" s="189"/>
      <c r="L266" s="189"/>
      <c r="M266" s="189"/>
    </row>
    <row r="267" spans="3:13">
      <c r="C267" s="189"/>
      <c r="D267" s="189"/>
      <c r="E267" s="189"/>
      <c r="F267" s="189"/>
      <c r="G267" s="189"/>
      <c r="H267" s="189"/>
      <c r="I267" s="189"/>
      <c r="J267" s="189"/>
      <c r="K267" s="189"/>
      <c r="L267" s="189"/>
      <c r="M267" s="189"/>
    </row>
    <row r="268" spans="3:13">
      <c r="C268" s="189"/>
      <c r="D268" s="189"/>
      <c r="E268" s="189"/>
      <c r="F268" s="189"/>
      <c r="G268" s="189"/>
      <c r="H268" s="189"/>
      <c r="I268" s="189"/>
      <c r="J268" s="189"/>
      <c r="K268" s="189"/>
      <c r="L268" s="189"/>
      <c r="M268" s="189"/>
    </row>
    <row r="269" spans="3:13">
      <c r="C269" s="189"/>
      <c r="D269" s="189"/>
      <c r="E269" s="189"/>
      <c r="F269" s="189"/>
      <c r="G269" s="189"/>
      <c r="H269" s="189"/>
      <c r="I269" s="189"/>
      <c r="J269" s="189"/>
      <c r="K269" s="189"/>
      <c r="L269" s="189"/>
      <c r="M269" s="189"/>
    </row>
    <row r="270" spans="3:13">
      <c r="C270" s="189"/>
      <c r="D270" s="189"/>
      <c r="E270" s="189"/>
      <c r="F270" s="189"/>
      <c r="G270" s="189"/>
      <c r="H270" s="189"/>
      <c r="I270" s="189"/>
      <c r="J270" s="189"/>
      <c r="K270" s="189"/>
      <c r="L270" s="189"/>
      <c r="M270" s="189"/>
    </row>
    <row r="271" spans="3:13">
      <c r="C271" s="189"/>
      <c r="D271" s="189"/>
      <c r="E271" s="189"/>
      <c r="F271" s="189"/>
      <c r="G271" s="189"/>
      <c r="H271" s="189"/>
      <c r="I271" s="189"/>
      <c r="J271" s="189"/>
      <c r="K271" s="189"/>
      <c r="L271" s="189"/>
      <c r="M271" s="189"/>
    </row>
    <row r="272" spans="3:13">
      <c r="C272" s="189"/>
      <c r="D272" s="189"/>
      <c r="E272" s="189"/>
      <c r="F272" s="189"/>
      <c r="G272" s="189"/>
      <c r="H272" s="189"/>
      <c r="I272" s="189"/>
      <c r="J272" s="189"/>
      <c r="K272" s="189"/>
      <c r="L272" s="189"/>
      <c r="M272" s="189"/>
    </row>
    <row r="273" spans="3:13">
      <c r="C273" s="189"/>
      <c r="D273" s="189"/>
      <c r="E273" s="189"/>
      <c r="F273" s="189"/>
      <c r="G273" s="189"/>
      <c r="H273" s="189"/>
      <c r="I273" s="189"/>
      <c r="J273" s="189"/>
      <c r="K273" s="189"/>
      <c r="L273" s="189"/>
      <c r="M273" s="189"/>
    </row>
    <row r="274" spans="3:13">
      <c r="C274" s="189"/>
      <c r="D274" s="189"/>
      <c r="E274" s="189"/>
      <c r="F274" s="189"/>
      <c r="G274" s="189"/>
      <c r="H274" s="189"/>
      <c r="I274" s="189"/>
      <c r="J274" s="189"/>
      <c r="K274" s="189"/>
      <c r="L274" s="189"/>
      <c r="M274" s="189"/>
    </row>
    <row r="275" spans="3:13">
      <c r="C275" s="189"/>
      <c r="D275" s="189"/>
      <c r="E275" s="189"/>
      <c r="F275" s="189"/>
      <c r="G275" s="189"/>
      <c r="H275" s="189"/>
      <c r="I275" s="189"/>
      <c r="J275" s="189"/>
      <c r="K275" s="189"/>
      <c r="L275" s="189"/>
      <c r="M275" s="189"/>
    </row>
    <row r="276" spans="3:13">
      <c r="C276" s="189"/>
      <c r="D276" s="189"/>
      <c r="E276" s="189"/>
      <c r="F276" s="189"/>
      <c r="G276" s="189"/>
      <c r="H276" s="189"/>
      <c r="I276" s="189"/>
      <c r="J276" s="189"/>
      <c r="K276" s="189"/>
      <c r="L276" s="189"/>
      <c r="M276" s="189"/>
    </row>
    <row r="277" spans="3:13">
      <c r="C277" s="189"/>
      <c r="D277" s="189"/>
      <c r="E277" s="189"/>
      <c r="F277" s="189"/>
      <c r="G277" s="189"/>
      <c r="H277" s="189"/>
      <c r="I277" s="189"/>
      <c r="J277" s="189"/>
      <c r="K277" s="189"/>
      <c r="L277" s="189"/>
      <c r="M277" s="189"/>
    </row>
    <row r="278" spans="3:13">
      <c r="C278" s="189"/>
      <c r="D278" s="189"/>
      <c r="E278" s="189"/>
      <c r="F278" s="189"/>
      <c r="G278" s="189"/>
      <c r="H278" s="189"/>
      <c r="I278" s="189"/>
      <c r="J278" s="189"/>
      <c r="K278" s="189"/>
      <c r="L278" s="189"/>
      <c r="M278" s="189"/>
    </row>
    <row r="279" spans="3:13">
      <c r="C279" s="189"/>
      <c r="D279" s="189"/>
      <c r="E279" s="189"/>
      <c r="F279" s="189"/>
      <c r="G279" s="189"/>
      <c r="H279" s="189"/>
      <c r="I279" s="189"/>
      <c r="J279" s="189"/>
      <c r="K279" s="189"/>
      <c r="L279" s="189"/>
      <c r="M279" s="189"/>
    </row>
    <row r="280" spans="3:13">
      <c r="C280" s="189"/>
      <c r="D280" s="189"/>
      <c r="E280" s="189"/>
      <c r="F280" s="189"/>
      <c r="G280" s="189"/>
      <c r="H280" s="189"/>
      <c r="I280" s="189"/>
      <c r="J280" s="189"/>
      <c r="K280" s="189"/>
      <c r="L280" s="189"/>
      <c r="M280" s="189"/>
    </row>
    <row r="281" spans="3:13">
      <c r="C281" s="189"/>
      <c r="D281" s="189"/>
      <c r="E281" s="189"/>
      <c r="F281" s="189"/>
      <c r="G281" s="189"/>
      <c r="H281" s="189"/>
      <c r="I281" s="189"/>
      <c r="J281" s="189"/>
      <c r="K281" s="189"/>
      <c r="L281" s="189"/>
      <c r="M281" s="189"/>
    </row>
    <row r="282" spans="3:13">
      <c r="C282" s="189"/>
      <c r="D282" s="189"/>
      <c r="E282" s="189"/>
      <c r="F282" s="189"/>
      <c r="G282" s="189"/>
      <c r="H282" s="189"/>
      <c r="I282" s="189"/>
      <c r="J282" s="189"/>
      <c r="K282" s="189"/>
      <c r="L282" s="189"/>
      <c r="M282" s="189"/>
    </row>
    <row r="283" spans="3:13">
      <c r="C283" s="189"/>
      <c r="D283" s="189"/>
      <c r="E283" s="189"/>
      <c r="F283" s="189"/>
      <c r="G283" s="189"/>
      <c r="H283" s="189"/>
      <c r="I283" s="189"/>
      <c r="J283" s="189"/>
      <c r="K283" s="189"/>
      <c r="L283" s="189"/>
      <c r="M283" s="189"/>
    </row>
    <row r="284" spans="3:13">
      <c r="C284" s="189"/>
      <c r="D284" s="189"/>
      <c r="E284" s="189"/>
      <c r="F284" s="189"/>
      <c r="G284" s="189"/>
      <c r="H284" s="189"/>
      <c r="I284" s="189"/>
      <c r="J284" s="189"/>
      <c r="K284" s="189"/>
      <c r="L284" s="189"/>
      <c r="M284" s="189"/>
    </row>
    <row r="285" spans="3:13">
      <c r="C285" s="189"/>
      <c r="D285" s="189"/>
      <c r="E285" s="189"/>
      <c r="F285" s="189"/>
      <c r="G285" s="189"/>
      <c r="H285" s="189"/>
      <c r="I285" s="189"/>
      <c r="J285" s="189"/>
      <c r="K285" s="189"/>
      <c r="L285" s="189"/>
      <c r="M285" s="189"/>
    </row>
    <row r="286" spans="3:13">
      <c r="C286" s="189"/>
      <c r="D286" s="189"/>
      <c r="E286" s="189"/>
      <c r="F286" s="189"/>
      <c r="G286" s="189"/>
      <c r="H286" s="189"/>
      <c r="I286" s="189"/>
      <c r="J286" s="189"/>
      <c r="K286" s="189"/>
      <c r="L286" s="189"/>
      <c r="M286" s="189"/>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4:L84"/>
    <mergeCell ref="C85:L85"/>
    <mergeCell ref="K11:T11"/>
    <mergeCell ref="C86:L86"/>
    <mergeCell ref="C82:L82"/>
    <mergeCell ref="C83:L83"/>
    <mergeCell ref="A54:O54"/>
    <mergeCell ref="A55:O55"/>
  </mergeCells>
  <phoneticPr fontId="20" type="noConversion"/>
  <printOptions horizontalCentered="1"/>
  <pageMargins left="0.7" right="0.7" top="0.75" bottom="0.75" header="0.3" footer="0.3"/>
  <pageSetup scale="20"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27"/>
  <sheetViews>
    <sheetView view="pageBreakPreview" zoomScale="60" zoomScaleNormal="70" workbookViewId="0">
      <selection sqref="A1:N1"/>
    </sheetView>
  </sheetViews>
  <sheetFormatPr defaultRowHeight="15"/>
  <cols>
    <col min="1" max="1" width="7.5546875" customWidth="1"/>
    <col min="2" max="2" width="2.5546875" customWidth="1"/>
    <col min="3" max="3" width="4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7" customWidth="1"/>
  </cols>
  <sheetData>
    <row r="1" spans="1:48" ht="15.75">
      <c r="A1" s="1105" t="s">
        <v>566</v>
      </c>
      <c r="B1" s="1105"/>
      <c r="C1" s="1105"/>
      <c r="D1" s="1105"/>
      <c r="E1" s="1105"/>
      <c r="F1" s="1105"/>
      <c r="G1" s="1105"/>
      <c r="H1" s="1105"/>
      <c r="I1" s="1105"/>
      <c r="J1" s="1105"/>
      <c r="K1" s="1105"/>
      <c r="L1" s="1105"/>
      <c r="M1" s="1105"/>
      <c r="N1" s="1105"/>
      <c r="O1" s="18"/>
      <c r="R1" s="3"/>
      <c r="S1" s="3" t="str">
        <f>'Attachment H-11A '!K1&amp;""&amp;", Attachment 11a"</f>
        <v>Attachment H -11A, Attachment 11a</v>
      </c>
      <c r="T1" s="1105" t="str">
        <f>A1</f>
        <v>TEC Worksheet Support</v>
      </c>
      <c r="U1" s="1105"/>
      <c r="V1" s="1105"/>
      <c r="W1" s="1105"/>
      <c r="X1" s="1105"/>
      <c r="Y1" s="1105"/>
      <c r="Z1" s="1105"/>
      <c r="AA1" s="1105"/>
      <c r="AB1" s="1105"/>
      <c r="AC1" s="1105"/>
      <c r="AD1" s="1105"/>
      <c r="AE1" s="1105"/>
      <c r="AF1" s="18"/>
      <c r="AG1" s="18"/>
      <c r="AH1" s="18"/>
      <c r="AI1" s="3" t="str">
        <f>S1</f>
        <v>Attachment H -11A, Attachment 11a</v>
      </c>
    </row>
    <row r="2" spans="1:48" ht="15.75">
      <c r="A2" s="1106" t="s">
        <v>347</v>
      </c>
      <c r="B2" s="1106"/>
      <c r="C2" s="1106"/>
      <c r="D2" s="1106"/>
      <c r="E2" s="1106"/>
      <c r="F2" s="1106"/>
      <c r="G2" s="1106"/>
      <c r="H2" s="1106"/>
      <c r="I2" s="1106"/>
      <c r="J2" s="1106"/>
      <c r="K2" s="1106"/>
      <c r="L2" s="1106"/>
      <c r="M2" s="1106"/>
      <c r="N2" s="1106"/>
      <c r="O2" s="237"/>
      <c r="R2" s="3"/>
      <c r="S2" s="3" t="s">
        <v>171</v>
      </c>
      <c r="T2" s="1106" t="s">
        <v>347</v>
      </c>
      <c r="U2" s="1106"/>
      <c r="V2" s="1106"/>
      <c r="W2" s="1106"/>
      <c r="X2" s="1106"/>
      <c r="Y2" s="1106"/>
      <c r="Z2" s="1106"/>
      <c r="AA2" s="1106"/>
      <c r="AB2" s="1106"/>
      <c r="AC2" s="1106"/>
      <c r="AD2" s="1106"/>
      <c r="AE2" s="1106"/>
      <c r="AF2" s="237"/>
      <c r="AG2" s="237"/>
      <c r="AH2" s="237"/>
      <c r="AI2" s="3" t="s">
        <v>174</v>
      </c>
    </row>
    <row r="3" spans="1:48" ht="15.75">
      <c r="A3" s="237"/>
      <c r="B3" s="238"/>
      <c r="C3" s="238"/>
      <c r="D3" s="238"/>
      <c r="E3" s="238"/>
      <c r="F3" s="238"/>
      <c r="G3" s="238"/>
      <c r="H3" s="238"/>
      <c r="I3" s="238"/>
      <c r="J3" s="238"/>
      <c r="K3" s="238"/>
      <c r="L3" s="238"/>
      <c r="M3" s="3"/>
      <c r="R3" s="3"/>
      <c r="S3" s="3" t="str">
        <f>'Attachment H-11A '!K4</f>
        <v>For the 12 months ended 12/31/2023</v>
      </c>
      <c r="AI3" s="3" t="str">
        <f>S3</f>
        <v>For the 12 months ended 12/31/2023</v>
      </c>
    </row>
    <row r="4" spans="1:48" ht="15.75">
      <c r="A4" s="237"/>
      <c r="B4" s="238"/>
      <c r="C4" s="238"/>
      <c r="D4" s="238"/>
      <c r="E4" s="238"/>
      <c r="F4" s="238"/>
      <c r="G4" s="238"/>
      <c r="H4" s="238"/>
      <c r="I4" s="238"/>
      <c r="J4" s="238"/>
      <c r="K4" s="238"/>
      <c r="L4" s="238"/>
      <c r="M4" s="3"/>
    </row>
    <row r="5" spans="1:48" ht="15.75">
      <c r="A5" s="237"/>
      <c r="B5" s="238"/>
      <c r="C5" s="238"/>
      <c r="D5" s="238"/>
      <c r="E5" s="238"/>
      <c r="F5" s="238"/>
      <c r="G5" s="238"/>
      <c r="H5" s="238"/>
      <c r="I5" s="238"/>
      <c r="J5" s="238"/>
      <c r="K5" s="238"/>
      <c r="L5" s="238"/>
      <c r="M5" s="3"/>
    </row>
    <row r="6" spans="1:48" ht="50.25" customHeight="1">
      <c r="A6" s="19" t="s">
        <v>159</v>
      </c>
      <c r="B6" s="20"/>
      <c r="C6" s="30" t="s">
        <v>160</v>
      </c>
      <c r="D6" s="21" t="s">
        <v>175</v>
      </c>
      <c r="E6" s="22" t="s">
        <v>255</v>
      </c>
      <c r="F6" s="494">
        <v>44915</v>
      </c>
      <c r="G6" s="239">
        <f>F6+31</f>
        <v>44946</v>
      </c>
      <c r="H6" s="239">
        <f>G6+31</f>
        <v>44977</v>
      </c>
      <c r="I6" s="239">
        <f>H6+31</f>
        <v>45008</v>
      </c>
      <c r="J6" s="239">
        <f>I6+31</f>
        <v>45039</v>
      </c>
      <c r="K6" s="239">
        <f t="shared" ref="K6:Q6" si="0">J6+31</f>
        <v>45070</v>
      </c>
      <c r="L6" s="239">
        <f t="shared" si="0"/>
        <v>45101</v>
      </c>
      <c r="M6" s="239">
        <f t="shared" si="0"/>
        <v>45132</v>
      </c>
      <c r="N6" s="239">
        <f t="shared" si="0"/>
        <v>45163</v>
      </c>
      <c r="O6" s="239">
        <f t="shared" si="0"/>
        <v>45194</v>
      </c>
      <c r="P6" s="239">
        <f t="shared" si="0"/>
        <v>45225</v>
      </c>
      <c r="Q6" s="239">
        <f t="shared" si="0"/>
        <v>45256</v>
      </c>
      <c r="R6" s="239">
        <f>Q6+31</f>
        <v>45287</v>
      </c>
      <c r="S6" s="239"/>
      <c r="T6" s="22" t="s">
        <v>345</v>
      </c>
      <c r="U6" s="239">
        <f>F6</f>
        <v>44915</v>
      </c>
      <c r="V6" s="239">
        <f t="shared" ref="V6:AG6" si="1">G6</f>
        <v>44946</v>
      </c>
      <c r="W6" s="239">
        <f t="shared" si="1"/>
        <v>44977</v>
      </c>
      <c r="X6" s="239">
        <f t="shared" si="1"/>
        <v>45008</v>
      </c>
      <c r="Y6" s="239">
        <f t="shared" si="1"/>
        <v>45039</v>
      </c>
      <c r="Z6" s="239">
        <f t="shared" si="1"/>
        <v>45070</v>
      </c>
      <c r="AA6" s="239">
        <f t="shared" si="1"/>
        <v>45101</v>
      </c>
      <c r="AB6" s="239">
        <f t="shared" si="1"/>
        <v>45132</v>
      </c>
      <c r="AC6" s="239">
        <f t="shared" si="1"/>
        <v>45163</v>
      </c>
      <c r="AD6" s="239">
        <f t="shared" si="1"/>
        <v>45194</v>
      </c>
      <c r="AE6" s="239">
        <f t="shared" si="1"/>
        <v>45225</v>
      </c>
      <c r="AF6" s="239">
        <f t="shared" si="1"/>
        <v>45256</v>
      </c>
      <c r="AG6" s="239">
        <f t="shared" si="1"/>
        <v>45287</v>
      </c>
      <c r="AH6" s="240"/>
      <c r="AI6" s="243" t="s">
        <v>346</v>
      </c>
      <c r="AJ6" s="242"/>
      <c r="AK6" s="242"/>
      <c r="AL6" s="242"/>
      <c r="AM6" s="242"/>
      <c r="AN6" s="242"/>
      <c r="AO6" s="242"/>
      <c r="AP6" s="242"/>
      <c r="AQ6" s="242"/>
      <c r="AR6" s="242"/>
      <c r="AS6" s="242"/>
      <c r="AT6" s="242"/>
      <c r="AU6" s="242"/>
      <c r="AV6" s="242"/>
    </row>
    <row r="7" spans="1:48" ht="15.75">
      <c r="A7" s="23"/>
      <c r="B7" s="24"/>
      <c r="C7" s="24"/>
      <c r="D7" s="24"/>
      <c r="E7" s="25" t="s">
        <v>13</v>
      </c>
      <c r="F7" s="25" t="s">
        <v>16</v>
      </c>
      <c r="G7" s="25" t="s">
        <v>16</v>
      </c>
      <c r="H7" s="25" t="s">
        <v>16</v>
      </c>
      <c r="I7" s="25" t="s">
        <v>16</v>
      </c>
      <c r="J7" s="25" t="s">
        <v>16</v>
      </c>
      <c r="K7" s="25" t="s">
        <v>16</v>
      </c>
      <c r="L7" s="25" t="s">
        <v>16</v>
      </c>
      <c r="M7" s="25" t="s">
        <v>16</v>
      </c>
      <c r="N7" s="25" t="s">
        <v>16</v>
      </c>
      <c r="O7" s="25" t="s">
        <v>16</v>
      </c>
      <c r="P7" s="25" t="s">
        <v>16</v>
      </c>
      <c r="Q7" s="25" t="s">
        <v>16</v>
      </c>
      <c r="R7" s="25" t="s">
        <v>16</v>
      </c>
      <c r="S7" s="25"/>
      <c r="T7" s="25" t="s">
        <v>14</v>
      </c>
      <c r="U7" s="25" t="s">
        <v>16</v>
      </c>
      <c r="V7" s="25" t="s">
        <v>16</v>
      </c>
      <c r="W7" s="25" t="s">
        <v>16</v>
      </c>
      <c r="X7" s="25" t="s">
        <v>16</v>
      </c>
      <c r="Y7" s="25" t="s">
        <v>16</v>
      </c>
      <c r="Z7" s="25" t="s">
        <v>16</v>
      </c>
      <c r="AA7" s="25" t="s">
        <v>16</v>
      </c>
      <c r="AB7" s="25" t="s">
        <v>16</v>
      </c>
      <c r="AC7" s="25" t="s">
        <v>16</v>
      </c>
      <c r="AD7" s="25" t="s">
        <v>16</v>
      </c>
      <c r="AE7" s="25" t="s">
        <v>16</v>
      </c>
      <c r="AF7" s="25" t="s">
        <v>16</v>
      </c>
      <c r="AG7" s="25" t="s">
        <v>16</v>
      </c>
      <c r="AH7" s="241"/>
      <c r="AI7" s="62" t="s">
        <v>443</v>
      </c>
    </row>
    <row r="8" spans="1:48" ht="15.75">
      <c r="A8" s="26"/>
      <c r="B8" s="2"/>
      <c r="C8" s="2"/>
      <c r="D8" s="2"/>
      <c r="E8" s="2"/>
      <c r="F8" s="2"/>
      <c r="G8" s="2"/>
      <c r="H8" s="2"/>
      <c r="I8" s="2"/>
      <c r="J8" s="2"/>
      <c r="K8" s="2"/>
      <c r="L8" s="2"/>
      <c r="M8" s="2"/>
      <c r="N8" s="2"/>
      <c r="O8" s="2"/>
      <c r="P8" s="2"/>
      <c r="Q8" s="2"/>
      <c r="R8" s="2"/>
      <c r="S8" s="2"/>
      <c r="AH8" s="244"/>
      <c r="AI8" s="245"/>
    </row>
    <row r="9" spans="1:48" ht="15.75">
      <c r="A9" s="275"/>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244"/>
      <c r="AI9" s="245"/>
    </row>
    <row r="10" spans="1:48" ht="15.75">
      <c r="A10" s="692" t="str">
        <f>'Attachment 11 - TEC'!A62</f>
        <v>1a</v>
      </c>
      <c r="B10" s="693"/>
      <c r="C10" s="694" t="str">
        <f>'Attachment 11 - TEC'!C62</f>
        <v>Replace Fort Martin 500 kV breaker 'FL-1'</v>
      </c>
      <c r="D10" s="695" t="str">
        <f>'Attachment 11 - TEC'!D62</f>
        <v>b0577</v>
      </c>
      <c r="E10" s="9">
        <f>AVERAGE(F10:R10)</f>
        <v>701310.05</v>
      </c>
      <c r="F10" s="61">
        <v>701310.05</v>
      </c>
      <c r="G10" s="61">
        <v>701310.05</v>
      </c>
      <c r="H10" s="61">
        <v>701310.05</v>
      </c>
      <c r="I10" s="61">
        <v>701310.05</v>
      </c>
      <c r="J10" s="61">
        <v>701310.05</v>
      </c>
      <c r="K10" s="61">
        <v>701310.05</v>
      </c>
      <c r="L10" s="61">
        <v>701310.05</v>
      </c>
      <c r="M10" s="61">
        <v>701310.05</v>
      </c>
      <c r="N10" s="61">
        <v>701310.05</v>
      </c>
      <c r="O10" s="61">
        <v>701310.05</v>
      </c>
      <c r="P10" s="61">
        <v>701310.05</v>
      </c>
      <c r="Q10" s="61">
        <v>701310.05</v>
      </c>
      <c r="R10" s="61">
        <v>701310.05</v>
      </c>
      <c r="S10" s="9"/>
      <c r="T10" s="9">
        <f>AVERAGE(U10:AG10)</f>
        <v>183492.97044000003</v>
      </c>
      <c r="U10" s="61">
        <v>176479.86994000009</v>
      </c>
      <c r="V10" s="61">
        <v>177648.72002333342</v>
      </c>
      <c r="W10" s="61">
        <v>178817.57010666674</v>
      </c>
      <c r="X10" s="61">
        <v>179986.42019000006</v>
      </c>
      <c r="Y10" s="61">
        <v>181155.27027333339</v>
      </c>
      <c r="Z10" s="61">
        <v>182324.12035666671</v>
      </c>
      <c r="AA10" s="61">
        <v>183492.97044000003</v>
      </c>
      <c r="AB10" s="61">
        <v>184661.82052333336</v>
      </c>
      <c r="AC10" s="61">
        <v>185830.67060666668</v>
      </c>
      <c r="AD10" s="61">
        <v>186999.52069</v>
      </c>
      <c r="AE10" s="61">
        <v>188168.37077333333</v>
      </c>
      <c r="AF10" s="61">
        <v>189337.22085666665</v>
      </c>
      <c r="AG10" s="61">
        <v>190506.07093999998</v>
      </c>
      <c r="AH10" s="244"/>
      <c r="AI10" s="495">
        <f t="shared" ref="AI10:AI11" si="2">E10-T10</f>
        <v>517817.07955999998</v>
      </c>
    </row>
    <row r="11" spans="1:48" ht="84.6" customHeight="1">
      <c r="A11" s="692" t="str">
        <f>'Attachment 11 - TEC'!A63</f>
        <v>1b</v>
      </c>
      <c r="B11" s="693"/>
      <c r="C11" s="694" t="str">
        <f>'Attachment 11 - TEC'!C63</f>
        <v>Terminate the Powell Mountain and Goff Run lines into the new Chloe substation and perform any associated relay upgrades or modifications required at Powell Mountain and Goff run to accommodate new substation</v>
      </c>
      <c r="D11" s="695" t="str">
        <f>'Attachment 11 - TEC'!D63</f>
        <v>b2609.5</v>
      </c>
      <c r="E11" s="9">
        <f t="shared" ref="E11" si="3">AVERAGE(F11:R11)</f>
        <v>2787621.2899999996</v>
      </c>
      <c r="F11" s="61">
        <v>2787621.29</v>
      </c>
      <c r="G11" s="61">
        <v>2787621.29</v>
      </c>
      <c r="H11" s="61">
        <v>2787621.29</v>
      </c>
      <c r="I11" s="61">
        <v>2787621.29</v>
      </c>
      <c r="J11" s="61">
        <v>2787621.29</v>
      </c>
      <c r="K11" s="61">
        <v>2787621.29</v>
      </c>
      <c r="L11" s="61">
        <v>2787621.29</v>
      </c>
      <c r="M11" s="61">
        <v>2787621.29</v>
      </c>
      <c r="N11" s="61">
        <v>2787621.29</v>
      </c>
      <c r="O11" s="61">
        <v>2787621.29</v>
      </c>
      <c r="P11" s="61">
        <v>2787621.29</v>
      </c>
      <c r="Q11" s="61">
        <v>2787621.29</v>
      </c>
      <c r="R11" s="61">
        <v>2787621.29</v>
      </c>
      <c r="S11" s="9"/>
      <c r="T11" s="9">
        <f t="shared" ref="T11" si="4">AVERAGE(U11:AG11)</f>
        <v>230013.16943249997</v>
      </c>
      <c r="U11" s="61">
        <v>196798.413546</v>
      </c>
      <c r="V11" s="61">
        <v>202334.20619375</v>
      </c>
      <c r="W11" s="61">
        <v>207869.9988415</v>
      </c>
      <c r="X11" s="61">
        <v>213405.79148925</v>
      </c>
      <c r="Y11" s="61">
        <v>218941.584137</v>
      </c>
      <c r="Z11" s="61">
        <v>224477.37678475</v>
      </c>
      <c r="AA11" s="61">
        <v>230013.1694325</v>
      </c>
      <c r="AB11" s="61">
        <v>235548.96208025</v>
      </c>
      <c r="AC11" s="61">
        <v>241084.754728</v>
      </c>
      <c r="AD11" s="61">
        <v>246620.54737575</v>
      </c>
      <c r="AE11" s="61">
        <v>252156.3400235</v>
      </c>
      <c r="AF11" s="61">
        <v>257692.13267125</v>
      </c>
      <c r="AG11" s="61">
        <v>263227.92531899997</v>
      </c>
      <c r="AH11" s="244"/>
      <c r="AI11" s="495">
        <f t="shared" si="2"/>
        <v>2557608.1205674997</v>
      </c>
    </row>
    <row r="12" spans="1:48">
      <c r="A12" s="246"/>
      <c r="AI12" s="245"/>
    </row>
    <row r="13" spans="1:48">
      <c r="A13" s="246"/>
      <c r="AI13" s="245"/>
    </row>
    <row r="14" spans="1:48" ht="15.6" customHeight="1">
      <c r="A14" s="246"/>
      <c r="U14" s="507"/>
      <c r="X14" s="687"/>
      <c r="Y14" s="687"/>
      <c r="Z14" s="687"/>
      <c r="AA14" s="687"/>
      <c r="AB14" s="687"/>
      <c r="AI14" s="245"/>
    </row>
    <row r="15" spans="1:48" ht="15.75">
      <c r="A15" s="246"/>
      <c r="X15" s="687"/>
      <c r="Y15" s="687"/>
      <c r="Z15" s="687"/>
      <c r="AA15" s="687"/>
      <c r="AB15" s="687"/>
      <c r="AI15" s="245"/>
    </row>
    <row r="16" spans="1:48" ht="15.75">
      <c r="A16" s="246"/>
      <c r="X16" s="687"/>
      <c r="Y16" s="687"/>
      <c r="Z16" s="687"/>
      <c r="AA16" s="687"/>
      <c r="AB16" s="687"/>
      <c r="AI16" s="245"/>
    </row>
    <row r="17" spans="1:35" ht="15.75">
      <c r="A17" s="246"/>
      <c r="X17" s="687"/>
      <c r="Y17" s="687"/>
      <c r="Z17" s="687"/>
      <c r="AA17" s="687"/>
      <c r="AB17" s="687"/>
      <c r="AI17" s="245"/>
    </row>
    <row r="18" spans="1:35">
      <c r="A18" s="246"/>
      <c r="AI18" s="245"/>
    </row>
    <row r="19" spans="1:35">
      <c r="A19" s="246"/>
      <c r="AI19" s="245"/>
    </row>
    <row r="20" spans="1:35">
      <c r="A20" s="246"/>
      <c r="AI20" s="245"/>
    </row>
    <row r="21" spans="1:35">
      <c r="A21" s="246"/>
      <c r="AI21" s="245"/>
    </row>
    <row r="22" spans="1:35">
      <c r="A22" s="246"/>
      <c r="AI22" s="245"/>
    </row>
    <row r="23" spans="1:35">
      <c r="A23" s="246"/>
      <c r="AI23" s="245"/>
    </row>
    <row r="24" spans="1:35">
      <c r="A24" s="247"/>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9"/>
    </row>
    <row r="26" spans="1:35" ht="15.75">
      <c r="A26" s="1" t="s">
        <v>247</v>
      </c>
      <c r="B26" s="1"/>
      <c r="C26" s="1"/>
      <c r="S26" s="28"/>
      <c r="T26" s="1" t="s">
        <v>247</v>
      </c>
      <c r="U26" s="1"/>
    </row>
    <row r="27" spans="1:35" ht="15.75" customHeight="1">
      <c r="A27" s="29"/>
      <c r="B27" s="1" t="s">
        <v>205</v>
      </c>
      <c r="C27" s="1" t="s">
        <v>799</v>
      </c>
      <c r="D27" s="1"/>
      <c r="E27" s="1"/>
      <c r="F27" s="1"/>
      <c r="G27" s="1"/>
      <c r="H27" s="1"/>
      <c r="I27" s="1"/>
      <c r="J27" s="1"/>
      <c r="K27" s="1"/>
      <c r="M27" s="1" t="s">
        <v>569</v>
      </c>
      <c r="S27" s="29"/>
      <c r="T27" s="16" t="s">
        <v>218</v>
      </c>
      <c r="U27" s="1" t="s">
        <v>503</v>
      </c>
      <c r="AA27" t="s">
        <v>569</v>
      </c>
    </row>
  </sheetData>
  <mergeCells count="4">
    <mergeCell ref="T1:AE1"/>
    <mergeCell ref="T2:AE2"/>
    <mergeCell ref="A1:N1"/>
    <mergeCell ref="A2:N2"/>
  </mergeCells>
  <pageMargins left="0.7" right="0.7" top="0.75" bottom="0.75" header="0.3" footer="0.3"/>
  <pageSetup scale="36" orientation="landscape" r:id="rId1"/>
  <colBreaks count="1" manualBreakCount="1">
    <brk id="19"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237"/>
  <sheetViews>
    <sheetView view="pageBreakPreview" zoomScale="60" zoomScaleNormal="100" workbookViewId="0"/>
  </sheetViews>
  <sheetFormatPr defaultColWidth="8.88671875" defaultRowHeight="15"/>
  <cols>
    <col min="1" max="1" width="6" style="80" customWidth="1"/>
    <col min="2" max="2" width="3.33203125" style="80" customWidth="1"/>
    <col min="3" max="3" width="39.109375" style="80" customWidth="1"/>
    <col min="4" max="4" width="12" style="80" customWidth="1"/>
    <col min="5" max="5" width="14.44140625" style="80" customWidth="1"/>
    <col min="6" max="6" width="13.109375" style="80" customWidth="1"/>
    <col min="7" max="7" width="14.109375" style="80" customWidth="1"/>
    <col min="8" max="8" width="13.88671875" style="80" customWidth="1"/>
    <col min="9" max="9" width="13.33203125" style="80" customWidth="1"/>
    <col min="10" max="10" width="13.109375" style="80" customWidth="1"/>
    <col min="11" max="11" width="13.5546875" style="80" customWidth="1"/>
    <col min="12" max="12" width="15.33203125" style="80" customWidth="1"/>
    <col min="13" max="13" width="1.5546875" style="80" customWidth="1"/>
    <col min="14" max="16384" width="8.88671875" style="80"/>
  </cols>
  <sheetData>
    <row r="1" spans="1:13">
      <c r="M1" s="303" t="str">
        <f>'Attachment H-11A '!K1&amp;""&amp;", Attachment 12"</f>
        <v>Attachment H -11A, Attachment 12</v>
      </c>
    </row>
    <row r="2" spans="1:13" ht="14.45" customHeight="1">
      <c r="L2" s="859"/>
      <c r="M2" s="303" t="s">
        <v>168</v>
      </c>
    </row>
    <row r="3" spans="1:13">
      <c r="M3" s="303" t="str">
        <f>'Attachment H-11A '!K4</f>
        <v>For the 12 months ended 12/31/2023</v>
      </c>
    </row>
    <row r="4" spans="1:13">
      <c r="A4" s="282"/>
      <c r="G4" s="288"/>
    </row>
    <row r="5" spans="1:13">
      <c r="A5" s="282"/>
      <c r="C5" s="204"/>
      <c r="D5" s="204"/>
    </row>
    <row r="6" spans="1:13">
      <c r="A6" s="282"/>
      <c r="C6" s="204"/>
      <c r="D6" s="204"/>
      <c r="L6" s="288"/>
    </row>
    <row r="7" spans="1:13" ht="14.25" customHeight="1">
      <c r="A7" s="282"/>
    </row>
    <row r="8" spans="1:13" ht="15.75">
      <c r="A8" s="1140" t="s">
        <v>567</v>
      </c>
      <c r="B8" s="1140"/>
      <c r="C8" s="1140"/>
      <c r="D8" s="1140"/>
      <c r="E8" s="1140"/>
      <c r="F8" s="1140"/>
      <c r="G8" s="1140"/>
      <c r="H8" s="1140"/>
      <c r="I8" s="1140"/>
      <c r="J8" s="1140"/>
      <c r="K8" s="1140"/>
      <c r="L8" s="1140"/>
    </row>
    <row r="9" spans="1:13">
      <c r="A9" s="1141" t="s">
        <v>502</v>
      </c>
      <c r="B9" s="1146"/>
      <c r="C9" s="1146"/>
      <c r="D9" s="1146"/>
      <c r="E9" s="1146"/>
      <c r="F9" s="1146"/>
      <c r="G9" s="1146"/>
      <c r="H9" s="1146"/>
      <c r="I9" s="1146"/>
      <c r="J9" s="1146"/>
      <c r="K9" s="1146"/>
      <c r="L9" s="1146"/>
    </row>
    <row r="10" spans="1:13" ht="15.75">
      <c r="A10" s="282"/>
      <c r="E10" s="291"/>
      <c r="H10" s="204"/>
      <c r="I10" s="204"/>
      <c r="J10" s="204"/>
      <c r="K10" s="204"/>
      <c r="L10" s="204"/>
    </row>
    <row r="11" spans="1:13" ht="15.75">
      <c r="A11" s="282"/>
      <c r="E11" s="291"/>
      <c r="F11" s="291"/>
      <c r="H11" s="204"/>
      <c r="I11" s="204"/>
      <c r="J11" s="204"/>
      <c r="K11" s="204"/>
      <c r="L11" s="204"/>
    </row>
    <row r="12" spans="1:13" ht="15.75">
      <c r="A12" s="282"/>
      <c r="C12" s="304" t="s">
        <v>237</v>
      </c>
      <c r="D12" s="304" t="s">
        <v>238</v>
      </c>
      <c r="E12" s="304" t="s">
        <v>239</v>
      </c>
      <c r="F12" s="304" t="s">
        <v>240</v>
      </c>
      <c r="G12" s="304" t="s">
        <v>241</v>
      </c>
      <c r="H12" s="304" t="s">
        <v>242</v>
      </c>
      <c r="I12" s="304" t="s">
        <v>243</v>
      </c>
      <c r="J12" s="304" t="s">
        <v>244</v>
      </c>
      <c r="K12" s="304" t="s">
        <v>245</v>
      </c>
      <c r="L12" s="304" t="s">
        <v>246</v>
      </c>
      <c r="M12" s="304"/>
    </row>
    <row r="13" spans="1:13" s="336" customFormat="1" ht="80.099999999999994" customHeight="1">
      <c r="A13" s="305" t="s">
        <v>159</v>
      </c>
      <c r="B13" s="334"/>
      <c r="C13" s="308" t="s">
        <v>160</v>
      </c>
      <c r="D13" s="308" t="s">
        <v>175</v>
      </c>
      <c r="E13" s="309" t="s">
        <v>508</v>
      </c>
      <c r="F13" s="309" t="s">
        <v>234</v>
      </c>
      <c r="G13" s="308" t="s">
        <v>430</v>
      </c>
      <c r="H13" s="308" t="s">
        <v>431</v>
      </c>
      <c r="I13" s="309" t="s">
        <v>235</v>
      </c>
      <c r="J13" s="309" t="s">
        <v>543</v>
      </c>
      <c r="K13" s="308" t="s">
        <v>544</v>
      </c>
      <c r="L13" s="309" t="s">
        <v>775</v>
      </c>
      <c r="M13" s="335"/>
    </row>
    <row r="14" spans="1:13" ht="66.75" customHeight="1">
      <c r="A14" s="312"/>
      <c r="B14" s="313"/>
      <c r="C14" s="313"/>
      <c r="D14" s="313"/>
      <c r="E14" s="337" t="s">
        <v>692</v>
      </c>
      <c r="F14" s="337" t="s">
        <v>766</v>
      </c>
      <c r="G14" s="337" t="s">
        <v>571</v>
      </c>
      <c r="H14" s="337" t="s">
        <v>432</v>
      </c>
      <c r="I14" s="337" t="s">
        <v>767</v>
      </c>
      <c r="J14" s="314" t="s">
        <v>816</v>
      </c>
      <c r="K14" s="337" t="s">
        <v>817</v>
      </c>
      <c r="L14" s="337" t="s">
        <v>440</v>
      </c>
      <c r="M14" s="338"/>
    </row>
    <row r="15" spans="1:13">
      <c r="A15" s="339">
        <v>1</v>
      </c>
      <c r="B15" s="204" t="s">
        <v>205</v>
      </c>
      <c r="C15" s="204" t="s">
        <v>438</v>
      </c>
      <c r="D15" s="204"/>
      <c r="E15" s="1065">
        <f>'Attachment 13b - PJM Billings'!L37</f>
        <v>399880.074023925</v>
      </c>
      <c r="F15" s="340"/>
      <c r="G15" s="340"/>
      <c r="H15" s="341"/>
      <c r="I15" s="340"/>
      <c r="J15" s="340"/>
      <c r="K15" s="340"/>
      <c r="L15" s="340"/>
      <c r="M15" s="342"/>
    </row>
    <row r="16" spans="1:13">
      <c r="A16" s="343"/>
      <c r="B16" s="204"/>
      <c r="C16" s="204"/>
      <c r="D16" s="204"/>
      <c r="E16" s="204"/>
      <c r="F16" s="204"/>
      <c r="G16" s="204"/>
      <c r="H16" s="204"/>
      <c r="I16" s="204"/>
      <c r="J16" s="204"/>
      <c r="K16" s="204"/>
      <c r="L16" s="204"/>
      <c r="M16" s="344"/>
    </row>
    <row r="17" spans="1:13">
      <c r="A17" s="398" t="s">
        <v>464</v>
      </c>
      <c r="B17" s="297"/>
      <c r="C17" s="404" t="s">
        <v>1321</v>
      </c>
      <c r="D17" s="1066" t="s">
        <v>1322</v>
      </c>
      <c r="E17" s="328"/>
      <c r="F17" s="345">
        <v>91960.707209558255</v>
      </c>
      <c r="G17" s="328">
        <f>IF($F$34=0,0,F17/$F$34)</f>
        <v>0.22186096692526569</v>
      </c>
      <c r="H17" s="328">
        <f>IF($E$15=0,0,$E$15*G17)</f>
        <v>88717.779877094814</v>
      </c>
      <c r="I17" s="345">
        <f>'Attachment 11 - TEC'!Q62</f>
        <v>57476.61720224929</v>
      </c>
      <c r="J17" s="328">
        <f>H17-I17</f>
        <v>31241.162674845524</v>
      </c>
      <c r="K17" s="346">
        <f>J17/$J$34*$L$36</f>
        <v>5309.7606616438079</v>
      </c>
      <c r="L17" s="328">
        <f>J17+K17</f>
        <v>36550.92333648933</v>
      </c>
      <c r="M17" s="347"/>
    </row>
    <row r="18" spans="1:13" ht="75">
      <c r="A18" s="398" t="s">
        <v>465</v>
      </c>
      <c r="B18" s="297"/>
      <c r="C18" s="401" t="s">
        <v>1323</v>
      </c>
      <c r="D18" s="1066" t="s">
        <v>1324</v>
      </c>
      <c r="E18" s="328"/>
      <c r="F18" s="345">
        <v>322536.30181382439</v>
      </c>
      <c r="G18" s="328">
        <f t="shared" ref="G18:G19" si="0">IF($F$34=0,0,F18/$F$34)</f>
        <v>0.7781390330747342</v>
      </c>
      <c r="H18" s="328">
        <f>IF($E$15=0,0,$E$15*G18)</f>
        <v>311162.29414683016</v>
      </c>
      <c r="I18" s="345">
        <f>'Attachment 11 - TEC'!Q63</f>
        <v>274687.88540808408</v>
      </c>
      <c r="J18" s="328">
        <f t="shared" ref="J18:J19" si="1">H18-I18</f>
        <v>36474.408738746075</v>
      </c>
      <c r="K18" s="346">
        <f>J18/$J$34*$L$36</f>
        <v>6199.2052822556707</v>
      </c>
      <c r="L18" s="328">
        <f t="shared" ref="L18:L19" si="2">J18+K18</f>
        <v>42673.614021001747</v>
      </c>
      <c r="M18" s="347"/>
    </row>
    <row r="19" spans="1:13">
      <c r="A19" s="398"/>
      <c r="B19" s="297"/>
      <c r="C19" s="404"/>
      <c r="D19" s="1066"/>
      <c r="E19" s="328"/>
      <c r="F19" s="345"/>
      <c r="G19" s="328">
        <f t="shared" si="0"/>
        <v>0</v>
      </c>
      <c r="H19" s="328">
        <f>IF($E$15=0,0,$E$15*G19)</f>
        <v>0</v>
      </c>
      <c r="I19" s="345"/>
      <c r="J19" s="328">
        <f t="shared" si="1"/>
        <v>0</v>
      </c>
      <c r="K19" s="346">
        <f>J19/$J$34*$L$36</f>
        <v>0</v>
      </c>
      <c r="L19" s="328">
        <f t="shared" si="2"/>
        <v>0</v>
      </c>
      <c r="M19" s="347"/>
    </row>
    <row r="20" spans="1:13">
      <c r="A20" s="284"/>
      <c r="D20" s="319"/>
      <c r="E20" s="328"/>
      <c r="F20" s="328"/>
      <c r="G20" s="328"/>
      <c r="H20" s="328"/>
      <c r="I20" s="328"/>
      <c r="J20" s="328"/>
      <c r="K20" s="328"/>
      <c r="L20" s="328"/>
      <c r="M20" s="347"/>
    </row>
    <row r="21" spans="1:13">
      <c r="A21" s="284"/>
      <c r="E21" s="328"/>
      <c r="F21" s="328"/>
      <c r="G21" s="328"/>
      <c r="H21" s="328"/>
      <c r="I21" s="328"/>
      <c r="J21" s="328"/>
      <c r="K21" s="328"/>
      <c r="L21" s="328"/>
      <c r="M21" s="347"/>
    </row>
    <row r="22" spans="1:13">
      <c r="A22" s="284"/>
      <c r="C22" s="189"/>
      <c r="D22" s="189"/>
      <c r="E22" s="192"/>
      <c r="F22" s="192"/>
      <c r="G22" s="192"/>
      <c r="H22" s="192"/>
      <c r="I22" s="192"/>
      <c r="J22" s="192"/>
      <c r="K22" s="192"/>
      <c r="L22" s="192"/>
      <c r="M22" s="348"/>
    </row>
    <row r="23" spans="1:13">
      <c r="A23" s="284"/>
      <c r="C23" s="189"/>
      <c r="D23" s="189"/>
      <c r="E23" s="192"/>
      <c r="F23" s="192"/>
      <c r="G23" s="192"/>
      <c r="H23" s="192"/>
      <c r="I23" s="192"/>
      <c r="J23" s="192"/>
      <c r="K23" s="192"/>
      <c r="L23" s="192"/>
      <c r="M23" s="348"/>
    </row>
    <row r="24" spans="1:13">
      <c r="A24" s="284"/>
      <c r="C24" s="189"/>
      <c r="D24" s="189"/>
      <c r="E24" s="192"/>
      <c r="F24" s="192"/>
      <c r="G24" s="192"/>
      <c r="H24" s="192"/>
      <c r="I24" s="192"/>
      <c r="J24" s="192"/>
      <c r="K24" s="192"/>
      <c r="L24" s="192"/>
      <c r="M24" s="348"/>
    </row>
    <row r="25" spans="1:13">
      <c r="A25" s="284"/>
      <c r="C25" s="189"/>
      <c r="D25" s="189"/>
      <c r="E25" s="192"/>
      <c r="F25" s="192"/>
      <c r="G25" s="192"/>
      <c r="H25" s="192"/>
      <c r="I25" s="192"/>
      <c r="J25" s="192"/>
      <c r="K25" s="192"/>
      <c r="L25" s="192"/>
      <c r="M25" s="348"/>
    </row>
    <row r="26" spans="1:13">
      <c r="A26" s="284"/>
      <c r="C26" s="189"/>
      <c r="D26" s="189"/>
      <c r="E26" s="192"/>
      <c r="F26" s="192"/>
      <c r="G26" s="192"/>
      <c r="H26" s="192"/>
      <c r="I26" s="192"/>
      <c r="J26" s="192"/>
      <c r="K26" s="192"/>
      <c r="L26" s="192"/>
      <c r="M26" s="348"/>
    </row>
    <row r="27" spans="1:13">
      <c r="A27" s="284"/>
      <c r="C27" s="189"/>
      <c r="D27" s="189"/>
      <c r="E27" s="192"/>
      <c r="F27" s="192"/>
      <c r="G27" s="192"/>
      <c r="H27" s="192"/>
      <c r="I27" s="192"/>
      <c r="J27" s="192"/>
      <c r="K27" s="192"/>
      <c r="L27" s="192"/>
      <c r="M27" s="348"/>
    </row>
    <row r="28" spans="1:13">
      <c r="A28" s="284"/>
      <c r="C28" s="189"/>
      <c r="D28" s="189"/>
      <c r="E28" s="192"/>
      <c r="F28" s="192"/>
      <c r="G28" s="192"/>
      <c r="H28" s="192"/>
      <c r="I28" s="192"/>
      <c r="J28" s="192"/>
      <c r="K28" s="192"/>
      <c r="L28" s="192"/>
      <c r="M28" s="348"/>
    </row>
    <row r="29" spans="1:13">
      <c r="A29" s="284"/>
      <c r="C29" s="189"/>
      <c r="D29" s="189"/>
      <c r="E29" s="192"/>
      <c r="F29" s="192"/>
      <c r="G29" s="192"/>
      <c r="H29" s="192"/>
      <c r="I29" s="192"/>
      <c r="J29" s="192"/>
      <c r="K29" s="192"/>
      <c r="L29" s="192"/>
      <c r="M29" s="348"/>
    </row>
    <row r="30" spans="1:13">
      <c r="A30" s="284"/>
      <c r="C30" s="189"/>
      <c r="D30" s="189"/>
      <c r="E30" s="192"/>
      <c r="F30" s="192"/>
      <c r="G30" s="192"/>
      <c r="H30" s="192"/>
      <c r="I30" s="192"/>
      <c r="J30" s="192"/>
      <c r="K30" s="192"/>
      <c r="L30" s="192"/>
      <c r="M30" s="348"/>
    </row>
    <row r="31" spans="1:13">
      <c r="A31" s="284"/>
      <c r="C31" s="189"/>
      <c r="D31" s="189"/>
      <c r="E31" s="192"/>
      <c r="F31" s="192"/>
      <c r="G31" s="192"/>
      <c r="H31" s="192"/>
      <c r="I31" s="192"/>
      <c r="J31" s="192"/>
      <c r="K31" s="192"/>
      <c r="L31" s="192"/>
      <c r="M31" s="348"/>
    </row>
    <row r="32" spans="1:13">
      <c r="A32" s="284"/>
      <c r="C32" s="189"/>
      <c r="D32" s="189"/>
      <c r="E32" s="192"/>
      <c r="F32" s="192"/>
      <c r="G32" s="192"/>
      <c r="H32" s="192"/>
      <c r="I32" s="192"/>
      <c r="J32" s="192"/>
      <c r="K32" s="192"/>
      <c r="L32" s="192"/>
      <c r="M32" s="348"/>
    </row>
    <row r="33" spans="1:13">
      <c r="A33" s="325"/>
      <c r="B33" s="302"/>
      <c r="C33" s="326"/>
      <c r="D33" s="326"/>
      <c r="E33" s="349"/>
      <c r="F33" s="349"/>
      <c r="G33" s="349"/>
      <c r="H33" s="349"/>
      <c r="I33" s="349"/>
      <c r="J33" s="349"/>
      <c r="K33" s="349"/>
      <c r="L33" s="349"/>
      <c r="M33" s="350"/>
    </row>
    <row r="34" spans="1:13">
      <c r="A34" s="286" t="s">
        <v>191</v>
      </c>
      <c r="B34" s="351"/>
      <c r="C34" s="80" t="s">
        <v>236</v>
      </c>
      <c r="D34" s="204"/>
      <c r="E34" s="297"/>
      <c r="F34" s="352">
        <f>SUM(F17:F33)</f>
        <v>414497.00902338268</v>
      </c>
      <c r="G34" s="352"/>
      <c r="H34" s="352"/>
      <c r="I34" s="352">
        <f>SUM(I17:I33)</f>
        <v>332164.50261033338</v>
      </c>
      <c r="J34" s="352">
        <f>SUM(J17:J33)</f>
        <v>67715.571413591591</v>
      </c>
      <c r="K34" s="328"/>
      <c r="L34" s="328">
        <f>SUM(L17:L33)</f>
        <v>79224.537357491077</v>
      </c>
      <c r="M34" s="328"/>
    </row>
    <row r="35" spans="1:13">
      <c r="A35" s="189"/>
      <c r="B35" s="189"/>
      <c r="E35" s="189"/>
    </row>
    <row r="36" spans="1:13">
      <c r="A36" s="286" t="s">
        <v>192</v>
      </c>
      <c r="B36" s="189"/>
      <c r="C36" s="80" t="s">
        <v>1170</v>
      </c>
      <c r="E36" s="189"/>
      <c r="J36" s="328"/>
      <c r="L36" s="328">
        <f>'Attachment 13a - TEC True-Up'!G73</f>
        <v>11508.965943899477</v>
      </c>
      <c r="M36" s="328"/>
    </row>
    <row r="37" spans="1:13">
      <c r="A37" s="332"/>
      <c r="B37" s="189"/>
      <c r="E37" s="189"/>
    </row>
    <row r="38" spans="1:13">
      <c r="A38" s="189" t="s">
        <v>247</v>
      </c>
      <c r="B38" s="189"/>
      <c r="C38" s="189"/>
      <c r="D38" s="189"/>
      <c r="E38" s="189"/>
      <c r="F38" s="189"/>
      <c r="G38" s="189"/>
      <c r="H38" s="189"/>
      <c r="I38" s="189"/>
      <c r="J38" s="189"/>
      <c r="K38" s="189"/>
      <c r="L38" s="189"/>
      <c r="M38" s="189"/>
    </row>
    <row r="39" spans="1:13">
      <c r="A39" s="330"/>
      <c r="B39" s="189" t="s">
        <v>205</v>
      </c>
      <c r="C39" s="189" t="s">
        <v>429</v>
      </c>
      <c r="D39" s="189"/>
      <c r="E39" s="189"/>
      <c r="F39" s="189"/>
      <c r="G39" s="189"/>
      <c r="H39" s="189"/>
      <c r="I39" s="189"/>
      <c r="J39" s="189"/>
      <c r="K39" s="189"/>
      <c r="L39" s="189"/>
      <c r="M39" s="189"/>
    </row>
    <row r="40" spans="1:13">
      <c r="A40" s="353"/>
      <c r="C40" s="286"/>
      <c r="D40" s="286"/>
      <c r="E40" s="297"/>
      <c r="F40" s="297"/>
      <c r="G40" s="288"/>
      <c r="J40" s="333"/>
    </row>
    <row r="41" spans="1:13">
      <c r="A41" s="353"/>
      <c r="C41" s="286"/>
      <c r="D41" s="286"/>
      <c r="E41" s="297"/>
      <c r="F41" s="297"/>
      <c r="G41" s="288"/>
      <c r="J41" s="333"/>
    </row>
    <row r="42" spans="1:13">
      <c r="C42" s="189"/>
      <c r="D42" s="189"/>
      <c r="E42" s="189"/>
      <c r="F42" s="189"/>
      <c r="G42" s="189"/>
      <c r="H42" s="189"/>
      <c r="I42" s="189"/>
      <c r="J42" s="189"/>
      <c r="K42" s="189"/>
      <c r="L42" s="189"/>
    </row>
    <row r="43" spans="1:13">
      <c r="C43" s="189"/>
      <c r="D43" s="189"/>
      <c r="E43" s="189"/>
      <c r="F43" s="189"/>
      <c r="G43" s="189"/>
      <c r="H43" s="189"/>
      <c r="I43" s="189"/>
      <c r="J43" s="189"/>
      <c r="K43" s="189"/>
      <c r="L43" s="189"/>
    </row>
    <row r="44" spans="1:13">
      <c r="C44" s="189"/>
      <c r="D44" s="189"/>
      <c r="E44" s="189"/>
      <c r="F44" s="189"/>
      <c r="G44" s="189"/>
      <c r="H44" s="189"/>
      <c r="I44" s="189"/>
      <c r="J44" s="189"/>
      <c r="K44" s="189"/>
      <c r="L44" s="189"/>
    </row>
    <row r="45" spans="1:13">
      <c r="C45" s="189"/>
      <c r="D45" s="189"/>
      <c r="E45" s="189"/>
      <c r="F45" s="189"/>
      <c r="G45" s="189"/>
      <c r="H45" s="189"/>
      <c r="I45" s="189"/>
      <c r="J45" s="189"/>
      <c r="K45" s="189"/>
      <c r="L45" s="189"/>
    </row>
    <row r="46" spans="1:13">
      <c r="C46" s="189"/>
      <c r="D46" s="189"/>
      <c r="E46" s="189"/>
      <c r="F46" s="189"/>
      <c r="G46" s="189"/>
      <c r="H46" s="189"/>
      <c r="I46" s="189"/>
      <c r="J46" s="189"/>
      <c r="K46" s="189"/>
      <c r="L46" s="189"/>
    </row>
    <row r="47" spans="1:13">
      <c r="C47" s="189"/>
      <c r="D47" s="189"/>
      <c r="E47" s="189"/>
      <c r="F47" s="189"/>
      <c r="G47" s="189"/>
      <c r="H47" s="189"/>
      <c r="I47" s="189"/>
      <c r="J47" s="189"/>
      <c r="K47" s="189"/>
      <c r="L47" s="189"/>
    </row>
    <row r="48" spans="1:13">
      <c r="C48" s="189"/>
      <c r="D48" s="189"/>
      <c r="E48" s="189"/>
      <c r="F48" s="189"/>
      <c r="G48" s="189"/>
      <c r="H48" s="189"/>
      <c r="I48" s="189"/>
      <c r="J48" s="189"/>
      <c r="K48" s="189"/>
      <c r="L48" s="189"/>
    </row>
    <row r="49" spans="3:12">
      <c r="C49" s="189"/>
      <c r="D49" s="189"/>
      <c r="E49" s="189"/>
      <c r="F49" s="189"/>
      <c r="G49" s="189"/>
      <c r="H49" s="189"/>
      <c r="I49" s="189"/>
      <c r="J49" s="189"/>
      <c r="K49" s="189"/>
      <c r="L49" s="189"/>
    </row>
    <row r="50" spans="3:12">
      <c r="C50" s="189"/>
      <c r="D50" s="189"/>
      <c r="E50" s="189"/>
      <c r="F50" s="189"/>
      <c r="G50" s="189"/>
      <c r="H50" s="189"/>
      <c r="I50" s="189"/>
      <c r="J50" s="189"/>
      <c r="K50" s="189"/>
      <c r="L50" s="189"/>
    </row>
    <row r="51" spans="3:12">
      <c r="C51" s="189"/>
      <c r="D51" s="189"/>
      <c r="E51" s="189"/>
      <c r="F51" s="189"/>
      <c r="G51" s="189"/>
      <c r="H51" s="189"/>
      <c r="I51" s="189"/>
      <c r="J51" s="189"/>
      <c r="K51" s="189"/>
      <c r="L51" s="189"/>
    </row>
    <row r="52" spans="3:12">
      <c r="C52" s="189"/>
      <c r="D52" s="189"/>
      <c r="E52" s="189"/>
      <c r="F52" s="189"/>
      <c r="G52" s="189"/>
      <c r="H52" s="189"/>
      <c r="I52" s="189"/>
      <c r="J52" s="189"/>
      <c r="K52" s="189"/>
      <c r="L52" s="189"/>
    </row>
    <row r="53" spans="3:12">
      <c r="C53" s="189"/>
      <c r="D53" s="189"/>
      <c r="E53" s="189"/>
      <c r="F53" s="189"/>
      <c r="G53" s="189"/>
      <c r="H53" s="189"/>
      <c r="I53" s="189"/>
      <c r="J53" s="189"/>
      <c r="K53" s="189"/>
      <c r="L53" s="189"/>
    </row>
    <row r="54" spans="3:12">
      <c r="C54" s="189"/>
      <c r="D54" s="189"/>
      <c r="E54" s="189"/>
      <c r="F54" s="189"/>
      <c r="G54" s="189"/>
      <c r="H54" s="189"/>
      <c r="I54" s="189"/>
      <c r="J54" s="189"/>
      <c r="K54" s="189"/>
      <c r="L54" s="189"/>
    </row>
    <row r="55" spans="3:12">
      <c r="C55" s="189"/>
      <c r="D55" s="189"/>
      <c r="E55" s="189"/>
      <c r="F55" s="189"/>
      <c r="G55" s="189"/>
      <c r="H55" s="189"/>
      <c r="I55" s="189"/>
      <c r="J55" s="189"/>
      <c r="K55" s="189"/>
      <c r="L55" s="189"/>
    </row>
    <row r="56" spans="3:12">
      <c r="C56" s="189"/>
      <c r="D56" s="189"/>
      <c r="E56" s="189"/>
      <c r="F56" s="189"/>
      <c r="G56" s="189"/>
      <c r="H56" s="189"/>
      <c r="I56" s="189"/>
      <c r="J56" s="189"/>
      <c r="K56" s="189"/>
      <c r="L56" s="189"/>
    </row>
    <row r="57" spans="3:12">
      <c r="C57" s="189"/>
      <c r="D57" s="189"/>
      <c r="E57" s="189"/>
      <c r="F57" s="189"/>
      <c r="G57" s="189"/>
      <c r="H57" s="189"/>
      <c r="I57" s="189"/>
      <c r="J57" s="189"/>
      <c r="K57" s="189"/>
      <c r="L57" s="189"/>
    </row>
    <row r="58" spans="3:12">
      <c r="C58" s="189"/>
      <c r="D58" s="189"/>
      <c r="E58" s="189"/>
      <c r="F58" s="189"/>
      <c r="G58" s="189"/>
      <c r="H58" s="189"/>
      <c r="I58" s="189"/>
      <c r="J58" s="189"/>
      <c r="K58" s="189"/>
      <c r="L58" s="189"/>
    </row>
    <row r="59" spans="3:12">
      <c r="C59" s="189"/>
      <c r="D59" s="189"/>
      <c r="E59" s="189"/>
      <c r="F59" s="189"/>
      <c r="G59" s="189"/>
      <c r="H59" s="189"/>
      <c r="I59" s="189"/>
      <c r="J59" s="189"/>
      <c r="K59" s="189"/>
      <c r="L59" s="189"/>
    </row>
    <row r="60" spans="3:12">
      <c r="C60" s="189"/>
      <c r="D60" s="189"/>
      <c r="E60" s="189"/>
      <c r="F60" s="189"/>
      <c r="G60" s="189"/>
      <c r="H60" s="189"/>
      <c r="I60" s="189"/>
      <c r="J60" s="189"/>
      <c r="K60" s="189"/>
      <c r="L60" s="189"/>
    </row>
    <row r="61" spans="3:12">
      <c r="C61" s="189"/>
      <c r="D61" s="189"/>
      <c r="E61" s="189"/>
      <c r="F61" s="189"/>
      <c r="G61" s="189"/>
      <c r="H61" s="189"/>
      <c r="I61" s="189"/>
      <c r="J61" s="189"/>
      <c r="K61" s="189"/>
      <c r="L61" s="189"/>
    </row>
    <row r="62" spans="3:12">
      <c r="C62" s="189"/>
      <c r="D62" s="189"/>
      <c r="E62" s="189"/>
      <c r="F62" s="189"/>
      <c r="G62" s="189"/>
      <c r="H62" s="189"/>
      <c r="I62" s="189"/>
      <c r="J62" s="189"/>
      <c r="K62" s="189"/>
      <c r="L62" s="189"/>
    </row>
    <row r="63" spans="3:12">
      <c r="C63" s="189"/>
      <c r="D63" s="189"/>
      <c r="E63" s="189"/>
      <c r="F63" s="189"/>
      <c r="G63" s="189"/>
      <c r="H63" s="189"/>
      <c r="I63" s="189"/>
      <c r="J63" s="189"/>
      <c r="K63" s="189"/>
      <c r="L63" s="189"/>
    </row>
    <row r="64" spans="3:12">
      <c r="C64" s="189"/>
      <c r="D64" s="189"/>
      <c r="E64" s="189"/>
      <c r="F64" s="189"/>
      <c r="G64" s="189"/>
      <c r="H64" s="189"/>
      <c r="I64" s="189"/>
      <c r="J64" s="189"/>
      <c r="K64" s="189"/>
      <c r="L64" s="189"/>
    </row>
    <row r="65" spans="3:12">
      <c r="C65" s="189"/>
      <c r="D65" s="189"/>
      <c r="E65" s="189"/>
      <c r="F65" s="189"/>
      <c r="G65" s="189"/>
      <c r="H65" s="189"/>
      <c r="I65" s="189"/>
      <c r="J65" s="189"/>
      <c r="K65" s="189"/>
      <c r="L65" s="189"/>
    </row>
    <row r="66" spans="3:12">
      <c r="C66" s="189"/>
      <c r="D66" s="189"/>
      <c r="E66" s="189"/>
      <c r="F66" s="189"/>
      <c r="G66" s="189"/>
      <c r="H66" s="189"/>
      <c r="I66" s="189"/>
      <c r="J66" s="189"/>
      <c r="K66" s="189"/>
      <c r="L66" s="189"/>
    </row>
    <row r="67" spans="3:12">
      <c r="C67" s="189"/>
      <c r="D67" s="189"/>
      <c r="E67" s="189"/>
      <c r="F67" s="189"/>
      <c r="G67" s="189"/>
      <c r="H67" s="189"/>
      <c r="I67" s="189"/>
      <c r="J67" s="189"/>
      <c r="K67" s="189"/>
      <c r="L67" s="189"/>
    </row>
    <row r="68" spans="3:12">
      <c r="C68" s="189"/>
      <c r="D68" s="189"/>
      <c r="E68" s="189"/>
      <c r="F68" s="189"/>
      <c r="G68" s="189"/>
      <c r="H68" s="189"/>
      <c r="I68" s="189"/>
      <c r="J68" s="189"/>
      <c r="K68" s="189"/>
      <c r="L68" s="189"/>
    </row>
    <row r="69" spans="3:12">
      <c r="C69" s="189"/>
      <c r="D69" s="189"/>
      <c r="E69" s="189"/>
      <c r="F69" s="189"/>
      <c r="G69" s="189"/>
      <c r="H69" s="189"/>
      <c r="I69" s="189"/>
      <c r="J69" s="189"/>
      <c r="K69" s="189"/>
      <c r="L69" s="189"/>
    </row>
    <row r="70" spans="3:12">
      <c r="C70" s="189"/>
      <c r="D70" s="189"/>
      <c r="E70" s="189"/>
      <c r="F70" s="189"/>
      <c r="G70" s="189"/>
      <c r="H70" s="189"/>
      <c r="I70" s="189"/>
      <c r="J70" s="189"/>
      <c r="K70" s="189"/>
      <c r="L70" s="189"/>
    </row>
    <row r="71" spans="3:12">
      <c r="C71" s="189"/>
      <c r="D71" s="189"/>
      <c r="E71" s="189"/>
      <c r="F71" s="189"/>
      <c r="G71" s="189"/>
      <c r="H71" s="189"/>
      <c r="I71" s="189"/>
      <c r="J71" s="189"/>
      <c r="K71" s="189"/>
      <c r="L71" s="189"/>
    </row>
    <row r="72" spans="3:12">
      <c r="C72" s="189"/>
      <c r="D72" s="189"/>
      <c r="E72" s="189"/>
      <c r="F72" s="189"/>
      <c r="G72" s="189"/>
      <c r="H72" s="189"/>
      <c r="I72" s="189"/>
      <c r="J72" s="189"/>
      <c r="K72" s="189"/>
      <c r="L72" s="189"/>
    </row>
    <row r="73" spans="3:12">
      <c r="C73" s="189"/>
      <c r="D73" s="189"/>
      <c r="E73" s="189"/>
      <c r="F73" s="189"/>
      <c r="G73" s="189"/>
      <c r="H73" s="189"/>
      <c r="I73" s="189"/>
      <c r="J73" s="189"/>
      <c r="K73" s="189"/>
      <c r="L73" s="189"/>
    </row>
    <row r="74" spans="3:12">
      <c r="C74" s="189"/>
      <c r="D74" s="189"/>
      <c r="E74" s="189"/>
      <c r="F74" s="189"/>
      <c r="G74" s="189"/>
      <c r="H74" s="189"/>
      <c r="I74" s="189"/>
      <c r="J74" s="189"/>
      <c r="K74" s="189"/>
      <c r="L74" s="189"/>
    </row>
    <row r="75" spans="3:12">
      <c r="C75" s="189"/>
      <c r="D75" s="189"/>
      <c r="E75" s="189"/>
      <c r="F75" s="189"/>
      <c r="G75" s="189"/>
      <c r="H75" s="189"/>
      <c r="I75" s="189"/>
      <c r="J75" s="189"/>
      <c r="K75" s="189"/>
      <c r="L75" s="189"/>
    </row>
    <row r="76" spans="3:12">
      <c r="C76" s="189"/>
      <c r="D76" s="189"/>
      <c r="E76" s="189"/>
      <c r="F76" s="189"/>
      <c r="G76" s="189"/>
      <c r="H76" s="189"/>
      <c r="I76" s="189"/>
      <c r="J76" s="189"/>
      <c r="K76" s="189"/>
      <c r="L76" s="189"/>
    </row>
    <row r="77" spans="3:12">
      <c r="C77" s="189"/>
      <c r="D77" s="189"/>
      <c r="E77" s="189"/>
      <c r="F77" s="189"/>
      <c r="G77" s="189"/>
      <c r="H77" s="189"/>
      <c r="I77" s="189"/>
      <c r="J77" s="189"/>
      <c r="K77" s="189"/>
      <c r="L77" s="189"/>
    </row>
    <row r="78" spans="3:12">
      <c r="C78" s="189"/>
      <c r="D78" s="189"/>
      <c r="E78" s="189"/>
      <c r="F78" s="189"/>
      <c r="G78" s="189"/>
      <c r="H78" s="189"/>
      <c r="I78" s="189"/>
      <c r="J78" s="189"/>
      <c r="K78" s="189"/>
      <c r="L78" s="189"/>
    </row>
    <row r="79" spans="3:12">
      <c r="C79" s="189"/>
      <c r="D79" s="189"/>
      <c r="E79" s="189"/>
      <c r="F79" s="189"/>
      <c r="G79" s="189"/>
      <c r="H79" s="189"/>
      <c r="I79" s="189"/>
      <c r="J79" s="189"/>
      <c r="K79" s="189"/>
      <c r="L79" s="189"/>
    </row>
    <row r="80" spans="3:12">
      <c r="C80" s="189"/>
      <c r="D80" s="189"/>
      <c r="E80" s="189"/>
      <c r="F80" s="189"/>
      <c r="G80" s="189"/>
      <c r="H80" s="189"/>
      <c r="I80" s="189"/>
      <c r="J80" s="189"/>
      <c r="K80" s="189"/>
      <c r="L80" s="189"/>
    </row>
    <row r="81" spans="3:12">
      <c r="C81" s="189"/>
      <c r="D81" s="189"/>
      <c r="E81" s="189"/>
      <c r="F81" s="189"/>
      <c r="G81" s="189"/>
      <c r="H81" s="189"/>
      <c r="I81" s="189"/>
      <c r="J81" s="189"/>
      <c r="K81" s="189"/>
      <c r="L81" s="189"/>
    </row>
    <row r="82" spans="3:12">
      <c r="C82" s="189"/>
      <c r="D82" s="189"/>
      <c r="E82" s="189"/>
      <c r="F82" s="189"/>
      <c r="G82" s="189"/>
      <c r="H82" s="189"/>
      <c r="I82" s="189"/>
      <c r="J82" s="189"/>
      <c r="K82" s="189"/>
      <c r="L82" s="189"/>
    </row>
    <row r="83" spans="3:12">
      <c r="C83" s="189"/>
      <c r="D83" s="189"/>
      <c r="E83" s="189"/>
      <c r="F83" s="189"/>
      <c r="G83" s="189"/>
      <c r="H83" s="189"/>
      <c r="I83" s="189"/>
      <c r="J83" s="189"/>
      <c r="K83" s="189"/>
      <c r="L83" s="189"/>
    </row>
    <row r="84" spans="3:12">
      <c r="C84" s="189"/>
      <c r="D84" s="189"/>
      <c r="E84" s="189"/>
      <c r="F84" s="189"/>
      <c r="G84" s="189"/>
      <c r="H84" s="189"/>
      <c r="I84" s="189"/>
      <c r="J84" s="189"/>
      <c r="K84" s="189"/>
      <c r="L84" s="189"/>
    </row>
    <row r="85" spans="3:12">
      <c r="C85" s="189"/>
      <c r="D85" s="189"/>
      <c r="E85" s="189"/>
      <c r="F85" s="189"/>
      <c r="G85" s="189"/>
      <c r="H85" s="189"/>
      <c r="I85" s="189"/>
      <c r="J85" s="189"/>
      <c r="K85" s="189"/>
      <c r="L85" s="189"/>
    </row>
    <row r="86" spans="3:12">
      <c r="C86" s="189"/>
      <c r="D86" s="189"/>
      <c r="E86" s="189"/>
      <c r="F86" s="189"/>
      <c r="G86" s="189"/>
      <c r="H86" s="189"/>
      <c r="I86" s="189"/>
      <c r="J86" s="189"/>
      <c r="K86" s="189"/>
      <c r="L86" s="189"/>
    </row>
    <row r="87" spans="3:12">
      <c r="C87" s="189"/>
      <c r="D87" s="189"/>
      <c r="E87" s="189"/>
      <c r="F87" s="189"/>
      <c r="G87" s="189"/>
      <c r="H87" s="189"/>
      <c r="I87" s="189"/>
      <c r="J87" s="189"/>
      <c r="K87" s="189"/>
      <c r="L87" s="189"/>
    </row>
    <row r="88" spans="3:12">
      <c r="C88" s="189"/>
      <c r="D88" s="189"/>
      <c r="E88" s="189"/>
      <c r="F88" s="189"/>
      <c r="G88" s="189"/>
      <c r="H88" s="189"/>
      <c r="I88" s="189"/>
      <c r="J88" s="189"/>
      <c r="K88" s="189"/>
      <c r="L88" s="189"/>
    </row>
    <row r="89" spans="3:12">
      <c r="C89" s="189"/>
      <c r="D89" s="189"/>
      <c r="E89" s="189"/>
      <c r="F89" s="189"/>
      <c r="G89" s="189"/>
      <c r="H89" s="189"/>
      <c r="I89" s="189"/>
      <c r="J89" s="189"/>
      <c r="K89" s="189"/>
      <c r="L89" s="189"/>
    </row>
    <row r="90" spans="3:12">
      <c r="C90" s="189"/>
      <c r="D90" s="189"/>
      <c r="E90" s="189"/>
      <c r="F90" s="189"/>
      <c r="G90" s="189"/>
      <c r="H90" s="189"/>
      <c r="I90" s="189"/>
      <c r="J90" s="189"/>
      <c r="K90" s="189"/>
      <c r="L90" s="189"/>
    </row>
    <row r="91" spans="3:12">
      <c r="C91" s="189"/>
      <c r="D91" s="189"/>
      <c r="E91" s="189"/>
      <c r="F91" s="189"/>
      <c r="G91" s="189"/>
      <c r="H91" s="189"/>
      <c r="I91" s="189"/>
      <c r="J91" s="189"/>
      <c r="K91" s="189"/>
      <c r="L91" s="189"/>
    </row>
    <row r="92" spans="3:12">
      <c r="C92" s="189"/>
      <c r="D92" s="189"/>
      <c r="E92" s="189"/>
      <c r="F92" s="189"/>
      <c r="G92" s="189"/>
      <c r="H92" s="189"/>
      <c r="I92" s="189"/>
      <c r="J92" s="189"/>
      <c r="K92" s="189"/>
      <c r="L92" s="189"/>
    </row>
    <row r="93" spans="3:12">
      <c r="C93" s="189"/>
      <c r="D93" s="189"/>
      <c r="E93" s="189"/>
      <c r="F93" s="189"/>
      <c r="G93" s="189"/>
      <c r="H93" s="189"/>
      <c r="I93" s="189"/>
      <c r="J93" s="189"/>
      <c r="K93" s="189"/>
      <c r="L93" s="189"/>
    </row>
    <row r="94" spans="3:12">
      <c r="C94" s="189"/>
      <c r="D94" s="189"/>
      <c r="E94" s="189"/>
      <c r="F94" s="189"/>
      <c r="G94" s="189"/>
      <c r="H94" s="189"/>
      <c r="I94" s="189"/>
      <c r="J94" s="189"/>
      <c r="K94" s="189"/>
      <c r="L94" s="189"/>
    </row>
    <row r="95" spans="3:12">
      <c r="C95" s="189"/>
      <c r="D95" s="189"/>
      <c r="E95" s="189"/>
      <c r="F95" s="189"/>
      <c r="G95" s="189"/>
      <c r="H95" s="189"/>
      <c r="I95" s="189"/>
      <c r="J95" s="189"/>
      <c r="K95" s="189"/>
      <c r="L95" s="189"/>
    </row>
    <row r="96" spans="3:12">
      <c r="C96" s="189"/>
      <c r="D96" s="189"/>
      <c r="E96" s="189"/>
      <c r="F96" s="189"/>
      <c r="G96" s="189"/>
      <c r="H96" s="189"/>
      <c r="I96" s="189"/>
      <c r="J96" s="189"/>
      <c r="K96" s="189"/>
      <c r="L96" s="189"/>
    </row>
    <row r="97" spans="3:12">
      <c r="C97" s="189"/>
      <c r="D97" s="189"/>
      <c r="E97" s="189"/>
      <c r="F97" s="189"/>
      <c r="G97" s="189"/>
      <c r="H97" s="189"/>
      <c r="I97" s="189"/>
      <c r="J97" s="189"/>
      <c r="K97" s="189"/>
      <c r="L97" s="189"/>
    </row>
    <row r="98" spans="3:12">
      <c r="C98" s="189"/>
      <c r="D98" s="189"/>
      <c r="E98" s="189"/>
      <c r="F98" s="189"/>
      <c r="G98" s="189"/>
      <c r="H98" s="189"/>
      <c r="I98" s="189"/>
      <c r="J98" s="189"/>
      <c r="K98" s="189"/>
      <c r="L98" s="189"/>
    </row>
    <row r="99" spans="3:12">
      <c r="C99" s="189"/>
      <c r="D99" s="189"/>
      <c r="E99" s="189"/>
      <c r="F99" s="189"/>
      <c r="G99" s="189"/>
      <c r="H99" s="189"/>
      <c r="I99" s="189"/>
      <c r="J99" s="189"/>
      <c r="K99" s="189"/>
      <c r="L99" s="189"/>
    </row>
    <row r="100" spans="3:12">
      <c r="C100" s="189"/>
      <c r="D100" s="189"/>
      <c r="E100" s="189"/>
      <c r="F100" s="189"/>
      <c r="G100" s="189"/>
      <c r="H100" s="189"/>
      <c r="I100" s="189"/>
      <c r="J100" s="189"/>
      <c r="K100" s="189"/>
      <c r="L100" s="189"/>
    </row>
    <row r="101" spans="3:12">
      <c r="C101" s="189"/>
      <c r="D101" s="189"/>
      <c r="E101" s="189"/>
      <c r="F101" s="189"/>
      <c r="G101" s="189"/>
      <c r="H101" s="189"/>
      <c r="I101" s="189"/>
      <c r="J101" s="189"/>
      <c r="K101" s="189"/>
      <c r="L101" s="189"/>
    </row>
    <row r="102" spans="3:12">
      <c r="C102" s="189"/>
      <c r="D102" s="189"/>
      <c r="E102" s="189"/>
      <c r="F102" s="189"/>
      <c r="G102" s="189"/>
      <c r="H102" s="189"/>
      <c r="I102" s="189"/>
      <c r="J102" s="189"/>
      <c r="K102" s="189"/>
      <c r="L102" s="189"/>
    </row>
    <row r="103" spans="3:12">
      <c r="C103" s="189"/>
      <c r="D103" s="189"/>
      <c r="E103" s="189"/>
      <c r="F103" s="189"/>
      <c r="G103" s="189"/>
      <c r="H103" s="189"/>
      <c r="I103" s="189"/>
      <c r="J103" s="189"/>
      <c r="K103" s="189"/>
      <c r="L103" s="189"/>
    </row>
    <row r="104" spans="3:12">
      <c r="C104" s="189"/>
      <c r="D104" s="189"/>
      <c r="E104" s="189"/>
      <c r="F104" s="189"/>
      <c r="G104" s="189"/>
      <c r="H104" s="189"/>
      <c r="I104" s="189"/>
      <c r="J104" s="189"/>
      <c r="K104" s="189"/>
      <c r="L104" s="189"/>
    </row>
    <row r="105" spans="3:12">
      <c r="C105" s="189"/>
      <c r="D105" s="189"/>
      <c r="E105" s="189"/>
      <c r="F105" s="189"/>
      <c r="G105" s="189"/>
      <c r="H105" s="189"/>
      <c r="I105" s="189"/>
      <c r="J105" s="189"/>
      <c r="K105" s="189"/>
      <c r="L105" s="189"/>
    </row>
    <row r="106" spans="3:12">
      <c r="C106" s="189"/>
      <c r="D106" s="189"/>
      <c r="E106" s="189"/>
      <c r="F106" s="189"/>
      <c r="G106" s="189"/>
      <c r="H106" s="189"/>
      <c r="I106" s="189"/>
      <c r="J106" s="189"/>
      <c r="K106" s="189"/>
      <c r="L106" s="189"/>
    </row>
    <row r="107" spans="3:12">
      <c r="C107" s="189"/>
      <c r="D107" s="189"/>
      <c r="E107" s="189"/>
      <c r="F107" s="189"/>
      <c r="G107" s="189"/>
      <c r="H107" s="189"/>
      <c r="I107" s="189"/>
      <c r="J107" s="189"/>
      <c r="K107" s="189"/>
      <c r="L107" s="189"/>
    </row>
    <row r="108" spans="3:12">
      <c r="C108" s="189"/>
      <c r="D108" s="189"/>
      <c r="E108" s="189"/>
      <c r="F108" s="189"/>
      <c r="G108" s="189"/>
      <c r="H108" s="189"/>
      <c r="I108" s="189"/>
      <c r="J108" s="189"/>
      <c r="K108" s="189"/>
      <c r="L108" s="189"/>
    </row>
    <row r="109" spans="3:12">
      <c r="C109" s="189"/>
      <c r="D109" s="189"/>
      <c r="E109" s="189"/>
      <c r="F109" s="189"/>
      <c r="G109" s="189"/>
      <c r="H109" s="189"/>
      <c r="I109" s="189"/>
      <c r="J109" s="189"/>
      <c r="K109" s="189"/>
      <c r="L109" s="189"/>
    </row>
    <row r="110" spans="3:12">
      <c r="C110" s="189"/>
      <c r="D110" s="189"/>
      <c r="E110" s="189"/>
      <c r="F110" s="189"/>
      <c r="G110" s="189"/>
      <c r="H110" s="189"/>
      <c r="I110" s="189"/>
      <c r="J110" s="189"/>
      <c r="K110" s="189"/>
      <c r="L110" s="189"/>
    </row>
    <row r="111" spans="3:12">
      <c r="C111" s="189"/>
      <c r="D111" s="189"/>
      <c r="E111" s="189"/>
      <c r="F111" s="189"/>
      <c r="G111" s="189"/>
      <c r="H111" s="189"/>
      <c r="I111" s="189"/>
      <c r="J111" s="189"/>
      <c r="K111" s="189"/>
      <c r="L111" s="189"/>
    </row>
    <row r="112" spans="3:12">
      <c r="C112" s="189"/>
      <c r="D112" s="189"/>
      <c r="E112" s="189"/>
      <c r="F112" s="189"/>
      <c r="G112" s="189"/>
      <c r="H112" s="189"/>
      <c r="I112" s="189"/>
      <c r="J112" s="189"/>
      <c r="K112" s="189"/>
      <c r="L112" s="189"/>
    </row>
    <row r="113" spans="3:12">
      <c r="C113" s="189"/>
      <c r="D113" s="189"/>
      <c r="E113" s="189"/>
      <c r="F113" s="189"/>
      <c r="G113" s="189"/>
      <c r="H113" s="189"/>
      <c r="I113" s="189"/>
      <c r="J113" s="189"/>
      <c r="K113" s="189"/>
      <c r="L113" s="189"/>
    </row>
    <row r="114" spans="3:12">
      <c r="C114" s="189"/>
      <c r="D114" s="189"/>
      <c r="E114" s="189"/>
      <c r="F114" s="189"/>
      <c r="G114" s="189"/>
      <c r="H114" s="189"/>
      <c r="I114" s="189"/>
      <c r="J114" s="189"/>
      <c r="K114" s="189"/>
      <c r="L114" s="189"/>
    </row>
    <row r="115" spans="3:12">
      <c r="C115" s="189"/>
      <c r="D115" s="189"/>
      <c r="E115" s="189"/>
      <c r="F115" s="189"/>
      <c r="G115" s="189"/>
      <c r="H115" s="189"/>
      <c r="I115" s="189"/>
      <c r="J115" s="189"/>
      <c r="K115" s="189"/>
      <c r="L115" s="189"/>
    </row>
    <row r="116" spans="3:12">
      <c r="C116" s="189"/>
      <c r="D116" s="189"/>
      <c r="E116" s="189"/>
      <c r="F116" s="189"/>
      <c r="G116" s="189"/>
      <c r="H116" s="189"/>
      <c r="I116" s="189"/>
      <c r="J116" s="189"/>
      <c r="K116" s="189"/>
      <c r="L116" s="189"/>
    </row>
    <row r="117" spans="3:12">
      <c r="C117" s="189"/>
      <c r="D117" s="189"/>
      <c r="E117" s="189"/>
      <c r="F117" s="189"/>
      <c r="G117" s="189"/>
      <c r="H117" s="189"/>
      <c r="I117" s="189"/>
      <c r="J117" s="189"/>
      <c r="K117" s="189"/>
      <c r="L117" s="189"/>
    </row>
    <row r="118" spans="3:12">
      <c r="C118" s="189"/>
      <c r="D118" s="189"/>
      <c r="E118" s="189"/>
      <c r="F118" s="189"/>
      <c r="G118" s="189"/>
      <c r="H118" s="189"/>
      <c r="I118" s="189"/>
      <c r="J118" s="189"/>
      <c r="K118" s="189"/>
      <c r="L118" s="189"/>
    </row>
    <row r="119" spans="3:12">
      <c r="C119" s="189"/>
      <c r="D119" s="189"/>
      <c r="E119" s="189"/>
      <c r="F119" s="189"/>
      <c r="G119" s="189"/>
      <c r="H119" s="189"/>
      <c r="I119" s="189"/>
      <c r="J119" s="189"/>
      <c r="K119" s="189"/>
      <c r="L119" s="189"/>
    </row>
    <row r="120" spans="3:12">
      <c r="C120" s="189"/>
      <c r="D120" s="189"/>
      <c r="E120" s="189"/>
      <c r="F120" s="189"/>
      <c r="G120" s="189"/>
      <c r="H120" s="189"/>
      <c r="I120" s="189"/>
      <c r="J120" s="189"/>
      <c r="K120" s="189"/>
      <c r="L120" s="189"/>
    </row>
    <row r="121" spans="3:12">
      <c r="C121" s="189"/>
      <c r="D121" s="189"/>
      <c r="E121" s="189"/>
      <c r="F121" s="189"/>
      <c r="G121" s="189"/>
      <c r="H121" s="189"/>
      <c r="I121" s="189"/>
      <c r="J121" s="189"/>
      <c r="K121" s="189"/>
      <c r="L121" s="189"/>
    </row>
    <row r="122" spans="3:12">
      <c r="C122" s="189"/>
      <c r="D122" s="189"/>
      <c r="E122" s="189"/>
      <c r="F122" s="189"/>
      <c r="G122" s="189"/>
      <c r="H122" s="189"/>
      <c r="I122" s="189"/>
      <c r="J122" s="189"/>
      <c r="K122" s="189"/>
      <c r="L122" s="189"/>
    </row>
    <row r="123" spans="3:12">
      <c r="C123" s="189"/>
      <c r="D123" s="189"/>
      <c r="E123" s="189"/>
      <c r="F123" s="189"/>
      <c r="G123" s="189"/>
      <c r="H123" s="189"/>
      <c r="I123" s="189"/>
      <c r="J123" s="189"/>
      <c r="K123" s="189"/>
      <c r="L123" s="189"/>
    </row>
    <row r="124" spans="3:12">
      <c r="C124" s="189"/>
      <c r="D124" s="189"/>
      <c r="E124" s="189"/>
      <c r="F124" s="189"/>
      <c r="G124" s="189"/>
      <c r="H124" s="189"/>
      <c r="I124" s="189"/>
      <c r="J124" s="189"/>
      <c r="K124" s="189"/>
      <c r="L124" s="189"/>
    </row>
    <row r="125" spans="3:12">
      <c r="C125" s="189"/>
      <c r="D125" s="189"/>
      <c r="E125" s="189"/>
      <c r="F125" s="189"/>
      <c r="G125" s="189"/>
      <c r="H125" s="189"/>
      <c r="I125" s="189"/>
      <c r="J125" s="189"/>
      <c r="K125" s="189"/>
      <c r="L125" s="189"/>
    </row>
    <row r="126" spans="3:12">
      <c r="C126" s="189"/>
      <c r="D126" s="189"/>
      <c r="E126" s="189"/>
      <c r="F126" s="189"/>
      <c r="G126" s="189"/>
      <c r="H126" s="189"/>
      <c r="I126" s="189"/>
      <c r="J126" s="189"/>
      <c r="K126" s="189"/>
      <c r="L126" s="189"/>
    </row>
    <row r="127" spans="3:12">
      <c r="C127" s="189"/>
      <c r="D127" s="189"/>
      <c r="E127" s="189"/>
      <c r="F127" s="189"/>
      <c r="G127" s="189"/>
      <c r="H127" s="189"/>
      <c r="I127" s="189"/>
      <c r="J127" s="189"/>
      <c r="K127" s="189"/>
      <c r="L127" s="189"/>
    </row>
    <row r="128" spans="3:12">
      <c r="C128" s="189"/>
      <c r="D128" s="189"/>
      <c r="E128" s="189"/>
      <c r="F128" s="189"/>
      <c r="G128" s="189"/>
      <c r="H128" s="189"/>
      <c r="I128" s="189"/>
      <c r="J128" s="189"/>
      <c r="K128" s="189"/>
      <c r="L128" s="189"/>
    </row>
    <row r="129" spans="3:12">
      <c r="C129" s="189"/>
      <c r="D129" s="189"/>
      <c r="E129" s="189"/>
      <c r="F129" s="189"/>
      <c r="G129" s="189"/>
      <c r="H129" s="189"/>
      <c r="I129" s="189"/>
      <c r="J129" s="189"/>
      <c r="K129" s="189"/>
      <c r="L129" s="189"/>
    </row>
    <row r="130" spans="3:12">
      <c r="C130" s="189"/>
      <c r="D130" s="189"/>
      <c r="E130" s="189"/>
      <c r="F130" s="189"/>
      <c r="G130" s="189"/>
      <c r="H130" s="189"/>
      <c r="I130" s="189"/>
      <c r="J130" s="189"/>
      <c r="K130" s="189"/>
      <c r="L130" s="189"/>
    </row>
    <row r="131" spans="3:12">
      <c r="C131" s="189"/>
      <c r="D131" s="189"/>
      <c r="E131" s="189"/>
      <c r="F131" s="189"/>
      <c r="G131" s="189"/>
      <c r="H131" s="189"/>
      <c r="I131" s="189"/>
      <c r="J131" s="189"/>
      <c r="K131" s="189"/>
      <c r="L131" s="189"/>
    </row>
    <row r="132" spans="3:12">
      <c r="C132" s="189"/>
      <c r="D132" s="189"/>
      <c r="E132" s="189"/>
      <c r="F132" s="189"/>
      <c r="G132" s="189"/>
      <c r="H132" s="189"/>
      <c r="I132" s="189"/>
      <c r="J132" s="189"/>
      <c r="K132" s="189"/>
      <c r="L132" s="189"/>
    </row>
    <row r="133" spans="3:12">
      <c r="C133" s="189"/>
      <c r="D133" s="189"/>
      <c r="E133" s="189"/>
      <c r="F133" s="189"/>
      <c r="G133" s="189"/>
      <c r="H133" s="189"/>
      <c r="I133" s="189"/>
      <c r="J133" s="189"/>
      <c r="K133" s="189"/>
      <c r="L133" s="189"/>
    </row>
    <row r="134" spans="3:12">
      <c r="C134" s="189"/>
      <c r="D134" s="189"/>
      <c r="E134" s="189"/>
      <c r="F134" s="189"/>
      <c r="G134" s="189"/>
      <c r="H134" s="189"/>
      <c r="I134" s="189"/>
      <c r="J134" s="189"/>
      <c r="K134" s="189"/>
      <c r="L134" s="189"/>
    </row>
    <row r="135" spans="3:12">
      <c r="C135" s="189"/>
      <c r="D135" s="189"/>
      <c r="E135" s="189"/>
      <c r="F135" s="189"/>
      <c r="G135" s="189"/>
      <c r="H135" s="189"/>
      <c r="I135" s="189"/>
      <c r="J135" s="189"/>
      <c r="K135" s="189"/>
      <c r="L135" s="189"/>
    </row>
    <row r="136" spans="3:12">
      <c r="C136" s="189"/>
      <c r="D136" s="189"/>
      <c r="E136" s="189"/>
      <c r="F136" s="189"/>
      <c r="G136" s="189"/>
      <c r="H136" s="189"/>
      <c r="I136" s="189"/>
      <c r="J136" s="189"/>
      <c r="K136" s="189"/>
      <c r="L136" s="189"/>
    </row>
    <row r="137" spans="3:12">
      <c r="C137" s="189"/>
      <c r="D137" s="189"/>
      <c r="E137" s="189"/>
      <c r="F137" s="189"/>
      <c r="G137" s="189"/>
      <c r="H137" s="189"/>
      <c r="I137" s="189"/>
      <c r="J137" s="189"/>
      <c r="K137" s="189"/>
      <c r="L137" s="189"/>
    </row>
    <row r="138" spans="3:12">
      <c r="C138" s="189"/>
      <c r="D138" s="189"/>
      <c r="E138" s="189"/>
      <c r="F138" s="189"/>
      <c r="G138" s="189"/>
      <c r="H138" s="189"/>
      <c r="I138" s="189"/>
      <c r="J138" s="189"/>
      <c r="K138" s="189"/>
      <c r="L138" s="189"/>
    </row>
    <row r="139" spans="3:12">
      <c r="C139" s="189"/>
      <c r="D139" s="189"/>
      <c r="E139" s="189"/>
      <c r="F139" s="189"/>
      <c r="G139" s="189"/>
      <c r="H139" s="189"/>
      <c r="I139" s="189"/>
      <c r="J139" s="189"/>
      <c r="K139" s="189"/>
      <c r="L139" s="189"/>
    </row>
    <row r="140" spans="3:12">
      <c r="C140" s="189"/>
      <c r="D140" s="189"/>
      <c r="E140" s="189"/>
      <c r="F140" s="189"/>
      <c r="G140" s="189"/>
      <c r="H140" s="189"/>
      <c r="I140" s="189"/>
      <c r="J140" s="189"/>
      <c r="K140" s="189"/>
      <c r="L140" s="189"/>
    </row>
    <row r="141" spans="3:12">
      <c r="C141" s="189"/>
      <c r="D141" s="189"/>
      <c r="E141" s="189"/>
      <c r="F141" s="189"/>
      <c r="G141" s="189"/>
      <c r="H141" s="189"/>
      <c r="I141" s="189"/>
      <c r="J141" s="189"/>
      <c r="K141" s="189"/>
      <c r="L141" s="189"/>
    </row>
    <row r="142" spans="3:12">
      <c r="C142" s="189"/>
      <c r="D142" s="189"/>
      <c r="E142" s="189"/>
      <c r="F142" s="189"/>
      <c r="G142" s="189"/>
      <c r="H142" s="189"/>
      <c r="I142" s="189"/>
      <c r="J142" s="189"/>
      <c r="K142" s="189"/>
      <c r="L142" s="189"/>
    </row>
    <row r="143" spans="3:12">
      <c r="C143" s="189"/>
      <c r="D143" s="189"/>
      <c r="E143" s="189"/>
      <c r="F143" s="189"/>
      <c r="G143" s="189"/>
      <c r="H143" s="189"/>
      <c r="I143" s="189"/>
      <c r="J143" s="189"/>
      <c r="K143" s="189"/>
      <c r="L143" s="189"/>
    </row>
    <row r="144" spans="3:12">
      <c r="C144" s="189"/>
      <c r="D144" s="189"/>
      <c r="E144" s="189"/>
      <c r="F144" s="189"/>
      <c r="G144" s="189"/>
      <c r="H144" s="189"/>
      <c r="I144" s="189"/>
      <c r="J144" s="189"/>
      <c r="K144" s="189"/>
      <c r="L144" s="189"/>
    </row>
    <row r="145" spans="3:12">
      <c r="C145" s="189"/>
      <c r="D145" s="189"/>
      <c r="E145" s="189"/>
      <c r="F145" s="189"/>
      <c r="G145" s="189"/>
      <c r="H145" s="189"/>
      <c r="I145" s="189"/>
      <c r="J145" s="189"/>
      <c r="K145" s="189"/>
      <c r="L145" s="189"/>
    </row>
    <row r="146" spans="3:12">
      <c r="C146" s="189"/>
      <c r="D146" s="189"/>
      <c r="E146" s="189"/>
      <c r="F146" s="189"/>
      <c r="G146" s="189"/>
      <c r="H146" s="189"/>
      <c r="I146" s="189"/>
      <c r="J146" s="189"/>
      <c r="K146" s="189"/>
      <c r="L146" s="189"/>
    </row>
    <row r="147" spans="3:12">
      <c r="C147" s="189"/>
      <c r="D147" s="189"/>
      <c r="E147" s="189"/>
      <c r="F147" s="189"/>
      <c r="G147" s="189"/>
      <c r="H147" s="189"/>
      <c r="I147" s="189"/>
      <c r="J147" s="189"/>
      <c r="K147" s="189"/>
      <c r="L147" s="189"/>
    </row>
    <row r="148" spans="3:12">
      <c r="C148" s="189"/>
      <c r="D148" s="189"/>
      <c r="E148" s="189"/>
      <c r="F148" s="189"/>
      <c r="G148" s="189"/>
      <c r="H148" s="189"/>
      <c r="I148" s="189"/>
      <c r="J148" s="189"/>
      <c r="K148" s="189"/>
      <c r="L148" s="189"/>
    </row>
    <row r="149" spans="3:12">
      <c r="C149" s="189"/>
      <c r="D149" s="189"/>
      <c r="E149" s="189"/>
      <c r="F149" s="189"/>
      <c r="G149" s="189"/>
      <c r="H149" s="189"/>
      <c r="I149" s="189"/>
      <c r="J149" s="189"/>
      <c r="K149" s="189"/>
      <c r="L149" s="189"/>
    </row>
    <row r="150" spans="3:12">
      <c r="C150" s="189"/>
      <c r="D150" s="189"/>
      <c r="E150" s="189"/>
      <c r="F150" s="189"/>
      <c r="G150" s="189"/>
      <c r="H150" s="189"/>
      <c r="I150" s="189"/>
      <c r="J150" s="189"/>
      <c r="K150" s="189"/>
      <c r="L150" s="189"/>
    </row>
    <row r="151" spans="3:12">
      <c r="C151" s="189"/>
      <c r="D151" s="189"/>
      <c r="E151" s="189"/>
      <c r="F151" s="189"/>
      <c r="G151" s="189"/>
      <c r="H151" s="189"/>
      <c r="I151" s="189"/>
      <c r="J151" s="189"/>
      <c r="K151" s="189"/>
      <c r="L151" s="189"/>
    </row>
    <row r="152" spans="3:12">
      <c r="C152" s="189"/>
      <c r="D152" s="189"/>
      <c r="E152" s="189"/>
      <c r="F152" s="189"/>
      <c r="G152" s="189"/>
      <c r="H152" s="189"/>
      <c r="I152" s="189"/>
      <c r="J152" s="189"/>
      <c r="K152" s="189"/>
      <c r="L152" s="189"/>
    </row>
    <row r="153" spans="3:12">
      <c r="C153" s="189"/>
      <c r="D153" s="189"/>
      <c r="E153" s="189"/>
      <c r="F153" s="189"/>
      <c r="G153" s="189"/>
      <c r="H153" s="189"/>
      <c r="I153" s="189"/>
      <c r="J153" s="189"/>
      <c r="K153" s="189"/>
      <c r="L153" s="189"/>
    </row>
    <row r="154" spans="3:12">
      <c r="C154" s="189"/>
      <c r="D154" s="189"/>
      <c r="E154" s="189"/>
      <c r="F154" s="189"/>
      <c r="G154" s="189"/>
      <c r="H154" s="189"/>
      <c r="I154" s="189"/>
      <c r="J154" s="189"/>
      <c r="K154" s="189"/>
      <c r="L154" s="189"/>
    </row>
    <row r="155" spans="3:12">
      <c r="C155" s="189"/>
      <c r="D155" s="189"/>
      <c r="E155" s="189"/>
      <c r="F155" s="189"/>
      <c r="G155" s="189"/>
      <c r="H155" s="189"/>
      <c r="I155" s="189"/>
      <c r="J155" s="189"/>
      <c r="K155" s="189"/>
      <c r="L155" s="189"/>
    </row>
    <row r="156" spans="3:12">
      <c r="C156" s="189"/>
      <c r="D156" s="189"/>
      <c r="E156" s="189"/>
      <c r="F156" s="189"/>
      <c r="G156" s="189"/>
      <c r="H156" s="189"/>
      <c r="I156" s="189"/>
      <c r="J156" s="189"/>
      <c r="K156" s="189"/>
      <c r="L156" s="189"/>
    </row>
    <row r="157" spans="3:12">
      <c r="C157" s="189"/>
      <c r="D157" s="189"/>
      <c r="E157" s="189"/>
      <c r="F157" s="189"/>
      <c r="G157" s="189"/>
      <c r="H157" s="189"/>
      <c r="I157" s="189"/>
      <c r="J157" s="189"/>
      <c r="K157" s="189"/>
      <c r="L157" s="189"/>
    </row>
    <row r="158" spans="3:12">
      <c r="C158" s="189"/>
      <c r="D158" s="189"/>
      <c r="E158" s="189"/>
      <c r="F158" s="189"/>
      <c r="G158" s="189"/>
      <c r="H158" s="189"/>
      <c r="I158" s="189"/>
      <c r="J158" s="189"/>
      <c r="K158" s="189"/>
      <c r="L158" s="189"/>
    </row>
    <row r="159" spans="3:12">
      <c r="C159" s="189"/>
      <c r="D159" s="189"/>
      <c r="E159" s="189"/>
      <c r="F159" s="189"/>
      <c r="G159" s="189"/>
      <c r="H159" s="189"/>
      <c r="I159" s="189"/>
      <c r="J159" s="189"/>
      <c r="K159" s="189"/>
      <c r="L159" s="189"/>
    </row>
    <row r="160" spans="3:12">
      <c r="C160" s="189"/>
      <c r="D160" s="189"/>
      <c r="E160" s="189"/>
      <c r="F160" s="189"/>
      <c r="G160" s="189"/>
      <c r="H160" s="189"/>
      <c r="I160" s="189"/>
      <c r="J160" s="189"/>
      <c r="K160" s="189"/>
      <c r="L160" s="189"/>
    </row>
    <row r="161" spans="3:12">
      <c r="C161" s="189"/>
      <c r="D161" s="189"/>
      <c r="E161" s="189"/>
      <c r="F161" s="189"/>
      <c r="G161" s="189"/>
      <c r="H161" s="189"/>
      <c r="I161" s="189"/>
      <c r="J161" s="189"/>
      <c r="K161" s="189"/>
      <c r="L161" s="189"/>
    </row>
    <row r="162" spans="3:12">
      <c r="C162" s="189"/>
      <c r="D162" s="189"/>
      <c r="E162" s="189"/>
      <c r="F162" s="189"/>
      <c r="G162" s="189"/>
      <c r="H162" s="189"/>
      <c r="I162" s="189"/>
      <c r="J162" s="189"/>
      <c r="K162" s="189"/>
      <c r="L162" s="189"/>
    </row>
    <row r="163" spans="3:12">
      <c r="C163" s="189"/>
      <c r="D163" s="189"/>
      <c r="E163" s="189"/>
      <c r="F163" s="189"/>
      <c r="G163" s="189"/>
      <c r="H163" s="189"/>
      <c r="I163" s="189"/>
      <c r="J163" s="189"/>
      <c r="K163" s="189"/>
      <c r="L163" s="189"/>
    </row>
    <row r="164" spans="3:12">
      <c r="C164" s="189"/>
      <c r="D164" s="189"/>
      <c r="E164" s="189"/>
      <c r="F164" s="189"/>
      <c r="G164" s="189"/>
      <c r="H164" s="189"/>
      <c r="I164" s="189"/>
      <c r="J164" s="189"/>
      <c r="K164" s="189"/>
      <c r="L164" s="189"/>
    </row>
    <row r="165" spans="3:12">
      <c r="C165" s="189"/>
      <c r="D165" s="189"/>
      <c r="E165" s="189"/>
      <c r="F165" s="189"/>
      <c r="G165" s="189"/>
      <c r="H165" s="189"/>
      <c r="I165" s="189"/>
      <c r="J165" s="189"/>
      <c r="K165" s="189"/>
      <c r="L165" s="189"/>
    </row>
    <row r="166" spans="3:12">
      <c r="C166" s="189"/>
      <c r="D166" s="189"/>
      <c r="E166" s="189"/>
      <c r="F166" s="189"/>
      <c r="G166" s="189"/>
      <c r="H166" s="189"/>
      <c r="I166" s="189"/>
      <c r="J166" s="189"/>
      <c r="K166" s="189"/>
      <c r="L166" s="189"/>
    </row>
    <row r="167" spans="3:12">
      <c r="C167" s="189"/>
      <c r="D167" s="189"/>
      <c r="E167" s="189"/>
      <c r="F167" s="189"/>
      <c r="G167" s="189"/>
      <c r="H167" s="189"/>
      <c r="I167" s="189"/>
      <c r="J167" s="189"/>
      <c r="K167" s="189"/>
      <c r="L167" s="189"/>
    </row>
    <row r="168" spans="3:12">
      <c r="C168" s="189"/>
      <c r="D168" s="189"/>
      <c r="E168" s="189"/>
      <c r="F168" s="189"/>
      <c r="G168" s="189"/>
      <c r="H168" s="189"/>
      <c r="I168" s="189"/>
      <c r="J168" s="189"/>
      <c r="K168" s="189"/>
      <c r="L168" s="189"/>
    </row>
    <row r="169" spans="3:12">
      <c r="C169" s="189"/>
      <c r="D169" s="189"/>
      <c r="E169" s="189"/>
      <c r="F169" s="189"/>
      <c r="G169" s="189"/>
      <c r="H169" s="189"/>
      <c r="I169" s="189"/>
      <c r="J169" s="189"/>
      <c r="K169" s="189"/>
      <c r="L169" s="189"/>
    </row>
    <row r="170" spans="3:12">
      <c r="C170" s="189"/>
      <c r="D170" s="189"/>
      <c r="E170" s="189"/>
      <c r="F170" s="189"/>
      <c r="G170" s="189"/>
      <c r="H170" s="189"/>
      <c r="I170" s="189"/>
      <c r="J170" s="189"/>
      <c r="K170" s="189"/>
      <c r="L170" s="189"/>
    </row>
    <row r="171" spans="3:12">
      <c r="C171" s="189"/>
      <c r="D171" s="189"/>
      <c r="E171" s="189"/>
      <c r="F171" s="189"/>
      <c r="G171" s="189"/>
      <c r="H171" s="189"/>
      <c r="I171" s="189"/>
      <c r="J171" s="189"/>
      <c r="K171" s="189"/>
      <c r="L171" s="189"/>
    </row>
    <row r="172" spans="3:12">
      <c r="C172" s="189"/>
      <c r="D172" s="189"/>
      <c r="E172" s="189"/>
      <c r="F172" s="189"/>
      <c r="G172" s="189"/>
      <c r="H172" s="189"/>
      <c r="I172" s="189"/>
      <c r="J172" s="189"/>
      <c r="K172" s="189"/>
      <c r="L172" s="189"/>
    </row>
    <row r="173" spans="3:12">
      <c r="C173" s="189"/>
      <c r="D173" s="189"/>
      <c r="E173" s="189"/>
      <c r="F173" s="189"/>
      <c r="G173" s="189"/>
      <c r="H173" s="189"/>
      <c r="I173" s="189"/>
      <c r="J173" s="189"/>
      <c r="K173" s="189"/>
      <c r="L173" s="189"/>
    </row>
    <row r="174" spans="3:12">
      <c r="C174" s="189"/>
      <c r="D174" s="189"/>
      <c r="E174" s="189"/>
      <c r="F174" s="189"/>
      <c r="G174" s="189"/>
      <c r="H174" s="189"/>
      <c r="I174" s="189"/>
      <c r="J174" s="189"/>
      <c r="K174" s="189"/>
      <c r="L174" s="189"/>
    </row>
    <row r="175" spans="3:12">
      <c r="C175" s="189"/>
      <c r="D175" s="189"/>
      <c r="E175" s="189"/>
      <c r="F175" s="189"/>
      <c r="G175" s="189"/>
      <c r="H175" s="189"/>
      <c r="I175" s="189"/>
      <c r="J175" s="189"/>
      <c r="K175" s="189"/>
      <c r="L175" s="189"/>
    </row>
    <row r="176" spans="3:12">
      <c r="C176" s="189"/>
      <c r="D176" s="189"/>
      <c r="E176" s="189"/>
      <c r="F176" s="189"/>
      <c r="G176" s="189"/>
      <c r="H176" s="189"/>
      <c r="I176" s="189"/>
      <c r="J176" s="189"/>
      <c r="K176" s="189"/>
      <c r="L176" s="189"/>
    </row>
    <row r="177" spans="3:12">
      <c r="C177" s="189"/>
      <c r="D177" s="189"/>
      <c r="E177" s="189"/>
      <c r="F177" s="189"/>
      <c r="G177" s="189"/>
      <c r="H177" s="189"/>
      <c r="I177" s="189"/>
      <c r="J177" s="189"/>
      <c r="K177" s="189"/>
      <c r="L177" s="189"/>
    </row>
    <row r="178" spans="3:12">
      <c r="C178" s="189"/>
      <c r="D178" s="189"/>
      <c r="E178" s="189"/>
      <c r="F178" s="189"/>
      <c r="G178" s="189"/>
      <c r="H178" s="189"/>
      <c r="I178" s="189"/>
      <c r="J178" s="189"/>
      <c r="K178" s="189"/>
      <c r="L178" s="189"/>
    </row>
    <row r="179" spans="3:12">
      <c r="C179" s="189"/>
      <c r="D179" s="189"/>
      <c r="E179" s="189"/>
      <c r="F179" s="189"/>
      <c r="G179" s="189"/>
      <c r="H179" s="189"/>
      <c r="I179" s="189"/>
      <c r="J179" s="189"/>
      <c r="K179" s="189"/>
      <c r="L179" s="189"/>
    </row>
    <row r="180" spans="3:12">
      <c r="C180" s="189"/>
      <c r="D180" s="189"/>
      <c r="E180" s="189"/>
      <c r="F180" s="189"/>
      <c r="G180" s="189"/>
      <c r="H180" s="189"/>
      <c r="I180" s="189"/>
      <c r="J180" s="189"/>
      <c r="K180" s="189"/>
      <c r="L180" s="189"/>
    </row>
    <row r="181" spans="3:12">
      <c r="C181" s="189"/>
      <c r="D181" s="189"/>
      <c r="E181" s="189"/>
      <c r="F181" s="189"/>
      <c r="G181" s="189"/>
      <c r="H181" s="189"/>
      <c r="I181" s="189"/>
      <c r="J181" s="189"/>
      <c r="K181" s="189"/>
      <c r="L181" s="189"/>
    </row>
    <row r="182" spans="3:12">
      <c r="C182" s="189"/>
      <c r="D182" s="189"/>
      <c r="E182" s="189"/>
      <c r="F182" s="189"/>
      <c r="G182" s="189"/>
      <c r="H182" s="189"/>
      <c r="I182" s="189"/>
      <c r="J182" s="189"/>
      <c r="K182" s="189"/>
      <c r="L182" s="189"/>
    </row>
    <row r="183" spans="3:12">
      <c r="C183" s="189"/>
      <c r="D183" s="189"/>
      <c r="E183" s="189"/>
      <c r="F183" s="189"/>
      <c r="G183" s="189"/>
      <c r="H183" s="189"/>
      <c r="I183" s="189"/>
      <c r="J183" s="189"/>
      <c r="K183" s="189"/>
      <c r="L183" s="189"/>
    </row>
    <row r="184" spans="3:12">
      <c r="C184" s="189"/>
      <c r="D184" s="189"/>
      <c r="E184" s="189"/>
      <c r="F184" s="189"/>
      <c r="G184" s="189"/>
      <c r="H184" s="189"/>
      <c r="I184" s="189"/>
      <c r="J184" s="189"/>
      <c r="K184" s="189"/>
      <c r="L184" s="189"/>
    </row>
    <row r="185" spans="3:12">
      <c r="C185" s="189"/>
      <c r="D185" s="189"/>
      <c r="E185" s="189"/>
      <c r="F185" s="189"/>
      <c r="G185" s="189"/>
      <c r="H185" s="189"/>
      <c r="I185" s="189"/>
      <c r="J185" s="189"/>
      <c r="K185" s="189"/>
      <c r="L185" s="189"/>
    </row>
    <row r="186" spans="3:12">
      <c r="C186" s="189"/>
      <c r="D186" s="189"/>
      <c r="E186" s="189"/>
      <c r="F186" s="189"/>
      <c r="G186" s="189"/>
      <c r="H186" s="189"/>
      <c r="I186" s="189"/>
      <c r="J186" s="189"/>
      <c r="K186" s="189"/>
      <c r="L186" s="189"/>
    </row>
    <row r="187" spans="3:12">
      <c r="C187" s="189"/>
      <c r="D187" s="189"/>
      <c r="E187" s="189"/>
      <c r="F187" s="189"/>
      <c r="G187" s="189"/>
      <c r="H187" s="189"/>
      <c r="I187" s="189"/>
      <c r="J187" s="189"/>
      <c r="K187" s="189"/>
      <c r="L187" s="189"/>
    </row>
    <row r="188" spans="3:12">
      <c r="C188" s="189"/>
      <c r="D188" s="189"/>
      <c r="E188" s="189"/>
      <c r="F188" s="189"/>
      <c r="G188" s="189"/>
      <c r="H188" s="189"/>
      <c r="I188" s="189"/>
      <c r="J188" s="189"/>
      <c r="K188" s="189"/>
      <c r="L188" s="189"/>
    </row>
    <row r="189" spans="3:12">
      <c r="C189" s="189"/>
      <c r="D189" s="189"/>
      <c r="E189" s="189"/>
      <c r="F189" s="189"/>
      <c r="G189" s="189"/>
      <c r="H189" s="189"/>
      <c r="I189" s="189"/>
      <c r="J189" s="189"/>
      <c r="K189" s="189"/>
      <c r="L189" s="189"/>
    </row>
    <row r="190" spans="3:12">
      <c r="C190" s="189"/>
      <c r="D190" s="189"/>
      <c r="E190" s="189"/>
      <c r="F190" s="189"/>
      <c r="G190" s="189"/>
      <c r="H190" s="189"/>
      <c r="I190" s="189"/>
      <c r="J190" s="189"/>
      <c r="K190" s="189"/>
      <c r="L190" s="189"/>
    </row>
    <row r="191" spans="3:12">
      <c r="C191" s="189"/>
      <c r="D191" s="189"/>
      <c r="E191" s="189"/>
      <c r="F191" s="189"/>
      <c r="G191" s="189"/>
      <c r="H191" s="189"/>
      <c r="I191" s="189"/>
      <c r="J191" s="189"/>
      <c r="K191" s="189"/>
      <c r="L191" s="189"/>
    </row>
    <row r="192" spans="3:12">
      <c r="C192" s="189"/>
      <c r="D192" s="189"/>
      <c r="E192" s="189"/>
      <c r="F192" s="189"/>
      <c r="G192" s="189"/>
      <c r="H192" s="189"/>
      <c r="I192" s="189"/>
      <c r="J192" s="189"/>
      <c r="K192" s="189"/>
      <c r="L192" s="189"/>
    </row>
    <row r="193" spans="3:12">
      <c r="C193" s="189"/>
      <c r="D193" s="189"/>
      <c r="E193" s="189"/>
      <c r="F193" s="189"/>
      <c r="G193" s="189"/>
      <c r="H193" s="189"/>
      <c r="I193" s="189"/>
      <c r="J193" s="189"/>
      <c r="K193" s="189"/>
      <c r="L193" s="189"/>
    </row>
    <row r="194" spans="3:12">
      <c r="C194" s="189"/>
      <c r="D194" s="189"/>
      <c r="E194" s="189"/>
      <c r="F194" s="189"/>
      <c r="G194" s="189"/>
      <c r="H194" s="189"/>
      <c r="I194" s="189"/>
      <c r="J194" s="189"/>
      <c r="K194" s="189"/>
      <c r="L194" s="189"/>
    </row>
    <row r="195" spans="3:12">
      <c r="C195" s="189"/>
      <c r="D195" s="189"/>
      <c r="E195" s="189"/>
      <c r="F195" s="189"/>
      <c r="G195" s="189"/>
      <c r="H195" s="189"/>
      <c r="I195" s="189"/>
      <c r="J195" s="189"/>
      <c r="K195" s="189"/>
      <c r="L195" s="189"/>
    </row>
    <row r="196" spans="3:12">
      <c r="C196" s="189"/>
      <c r="D196" s="189"/>
      <c r="E196" s="189"/>
      <c r="F196" s="189"/>
      <c r="G196" s="189"/>
      <c r="H196" s="189"/>
      <c r="I196" s="189"/>
      <c r="J196" s="189"/>
      <c r="K196" s="189"/>
      <c r="L196" s="189"/>
    </row>
    <row r="197" spans="3:12">
      <c r="C197" s="189"/>
      <c r="D197" s="189"/>
      <c r="E197" s="189"/>
      <c r="F197" s="189"/>
      <c r="G197" s="189"/>
      <c r="H197" s="189"/>
      <c r="I197" s="189"/>
      <c r="J197" s="189"/>
      <c r="K197" s="189"/>
      <c r="L197" s="189"/>
    </row>
    <row r="198" spans="3:12">
      <c r="C198" s="189"/>
      <c r="D198" s="189"/>
      <c r="E198" s="189"/>
      <c r="F198" s="189"/>
      <c r="G198" s="189"/>
      <c r="H198" s="189"/>
      <c r="I198" s="189"/>
      <c r="J198" s="189"/>
      <c r="K198" s="189"/>
      <c r="L198" s="189"/>
    </row>
    <row r="199" spans="3:12">
      <c r="C199" s="189"/>
      <c r="D199" s="189"/>
      <c r="E199" s="189"/>
      <c r="F199" s="189"/>
      <c r="G199" s="189"/>
      <c r="H199" s="189"/>
      <c r="I199" s="189"/>
      <c r="J199" s="189"/>
      <c r="K199" s="189"/>
      <c r="L199" s="189"/>
    </row>
    <row r="200" spans="3:12">
      <c r="C200" s="189"/>
      <c r="D200" s="189"/>
      <c r="E200" s="189"/>
      <c r="F200" s="189"/>
      <c r="G200" s="189"/>
      <c r="H200" s="189"/>
      <c r="I200" s="189"/>
      <c r="J200" s="189"/>
      <c r="K200" s="189"/>
      <c r="L200" s="189"/>
    </row>
    <row r="201" spans="3:12">
      <c r="C201" s="189"/>
      <c r="D201" s="189"/>
      <c r="E201" s="189"/>
      <c r="F201" s="189"/>
      <c r="G201" s="189"/>
      <c r="H201" s="189"/>
      <c r="I201" s="189"/>
      <c r="J201" s="189"/>
      <c r="K201" s="189"/>
      <c r="L201" s="189"/>
    </row>
    <row r="202" spans="3:12">
      <c r="C202" s="189"/>
      <c r="D202" s="189"/>
      <c r="E202" s="189"/>
      <c r="F202" s="189"/>
      <c r="G202" s="189"/>
      <c r="H202" s="189"/>
      <c r="I202" s="189"/>
      <c r="J202" s="189"/>
      <c r="K202" s="189"/>
      <c r="L202" s="189"/>
    </row>
    <row r="203" spans="3:12">
      <c r="C203" s="189"/>
      <c r="D203" s="189"/>
      <c r="E203" s="189"/>
      <c r="F203" s="189"/>
      <c r="G203" s="189"/>
      <c r="H203" s="189"/>
      <c r="I203" s="189"/>
      <c r="J203" s="189"/>
      <c r="K203" s="189"/>
      <c r="L203" s="189"/>
    </row>
    <row r="204" spans="3:12">
      <c r="C204" s="189"/>
      <c r="D204" s="189"/>
      <c r="E204" s="189"/>
      <c r="F204" s="189"/>
      <c r="G204" s="189"/>
      <c r="H204" s="189"/>
      <c r="I204" s="189"/>
      <c r="J204" s="189"/>
      <c r="K204" s="189"/>
      <c r="L204" s="189"/>
    </row>
    <row r="205" spans="3:12">
      <c r="C205" s="189"/>
      <c r="D205" s="189"/>
      <c r="E205" s="189"/>
      <c r="F205" s="189"/>
      <c r="G205" s="189"/>
      <c r="H205" s="189"/>
      <c r="I205" s="189"/>
      <c r="J205" s="189"/>
      <c r="K205" s="189"/>
      <c r="L205" s="189"/>
    </row>
    <row r="206" spans="3:12">
      <c r="C206" s="189"/>
      <c r="D206" s="189"/>
      <c r="E206" s="189"/>
      <c r="F206" s="189"/>
      <c r="G206" s="189"/>
      <c r="H206" s="189"/>
      <c r="I206" s="189"/>
      <c r="J206" s="189"/>
      <c r="K206" s="189"/>
      <c r="L206" s="189"/>
    </row>
    <row r="207" spans="3:12">
      <c r="C207" s="189"/>
      <c r="D207" s="189"/>
      <c r="E207" s="189"/>
      <c r="F207" s="189"/>
      <c r="G207" s="189"/>
      <c r="H207" s="189"/>
      <c r="I207" s="189"/>
      <c r="J207" s="189"/>
      <c r="K207" s="189"/>
      <c r="L207" s="189"/>
    </row>
    <row r="208" spans="3:12">
      <c r="C208" s="189"/>
      <c r="D208" s="189"/>
      <c r="E208" s="189"/>
      <c r="F208" s="189"/>
      <c r="G208" s="189"/>
      <c r="H208" s="189"/>
      <c r="I208" s="189"/>
      <c r="J208" s="189"/>
      <c r="K208" s="189"/>
      <c r="L208" s="189"/>
    </row>
    <row r="209" spans="3:12">
      <c r="C209" s="189"/>
      <c r="D209" s="189"/>
      <c r="E209" s="189"/>
      <c r="F209" s="189"/>
      <c r="G209" s="189"/>
      <c r="H209" s="189"/>
      <c r="I209" s="189"/>
      <c r="J209" s="189"/>
      <c r="K209" s="189"/>
      <c r="L209" s="189"/>
    </row>
    <row r="210" spans="3:12">
      <c r="C210" s="189"/>
      <c r="D210" s="189"/>
      <c r="E210" s="189"/>
      <c r="F210" s="189"/>
      <c r="G210" s="189"/>
      <c r="H210" s="189"/>
      <c r="I210" s="189"/>
      <c r="J210" s="189"/>
      <c r="K210" s="189"/>
      <c r="L210" s="189"/>
    </row>
    <row r="211" spans="3:12">
      <c r="C211" s="189"/>
      <c r="D211" s="189"/>
      <c r="E211" s="189"/>
      <c r="F211" s="189"/>
      <c r="G211" s="189"/>
      <c r="H211" s="189"/>
      <c r="I211" s="189"/>
      <c r="J211" s="189"/>
      <c r="K211" s="189"/>
      <c r="L211" s="189"/>
    </row>
    <row r="212" spans="3:12">
      <c r="C212" s="189"/>
      <c r="D212" s="189"/>
      <c r="E212" s="189"/>
      <c r="F212" s="189"/>
      <c r="G212" s="189"/>
      <c r="H212" s="189"/>
      <c r="I212" s="189"/>
      <c r="J212" s="189"/>
      <c r="K212" s="189"/>
      <c r="L212" s="189"/>
    </row>
    <row r="213" spans="3:12">
      <c r="C213" s="189"/>
      <c r="D213" s="189"/>
      <c r="E213" s="189"/>
      <c r="F213" s="189"/>
      <c r="G213" s="189"/>
      <c r="H213" s="189"/>
      <c r="I213" s="189"/>
      <c r="J213" s="189"/>
      <c r="K213" s="189"/>
      <c r="L213" s="189"/>
    </row>
    <row r="214" spans="3:12">
      <c r="C214" s="189"/>
      <c r="D214" s="189"/>
      <c r="E214" s="189"/>
      <c r="F214" s="189"/>
      <c r="G214" s="189"/>
      <c r="H214" s="189"/>
      <c r="I214" s="189"/>
      <c r="J214" s="189"/>
      <c r="K214" s="189"/>
      <c r="L214" s="189"/>
    </row>
    <row r="215" spans="3:12">
      <c r="C215" s="189"/>
      <c r="D215" s="189"/>
      <c r="E215" s="189"/>
      <c r="F215" s="189"/>
      <c r="G215" s="189"/>
      <c r="H215" s="189"/>
      <c r="I215" s="189"/>
      <c r="J215" s="189"/>
      <c r="K215" s="189"/>
      <c r="L215" s="189"/>
    </row>
    <row r="216" spans="3:12">
      <c r="C216" s="189"/>
      <c r="D216" s="189"/>
      <c r="E216" s="189"/>
      <c r="F216" s="189"/>
      <c r="G216" s="189"/>
      <c r="H216" s="189"/>
      <c r="I216" s="189"/>
      <c r="J216" s="189"/>
      <c r="K216" s="189"/>
      <c r="L216" s="189"/>
    </row>
    <row r="217" spans="3:12">
      <c r="C217" s="189"/>
      <c r="D217" s="189"/>
      <c r="E217" s="189"/>
      <c r="F217" s="189"/>
      <c r="G217" s="189"/>
      <c r="H217" s="189"/>
      <c r="I217" s="189"/>
      <c r="J217" s="189"/>
      <c r="K217" s="189"/>
      <c r="L217" s="189"/>
    </row>
    <row r="218" spans="3:12">
      <c r="C218" s="189"/>
      <c r="D218" s="189"/>
      <c r="E218" s="189"/>
      <c r="F218" s="189"/>
      <c r="G218" s="189"/>
      <c r="H218" s="189"/>
      <c r="I218" s="189"/>
      <c r="J218" s="189"/>
      <c r="K218" s="189"/>
      <c r="L218" s="189"/>
    </row>
    <row r="219" spans="3:12">
      <c r="C219" s="189"/>
      <c r="D219" s="189"/>
      <c r="E219" s="189"/>
      <c r="F219" s="189"/>
      <c r="G219" s="189"/>
      <c r="H219" s="189"/>
      <c r="I219" s="189"/>
      <c r="J219" s="189"/>
      <c r="K219" s="189"/>
      <c r="L219" s="189"/>
    </row>
    <row r="220" spans="3:12">
      <c r="C220" s="189"/>
      <c r="D220" s="189"/>
      <c r="E220" s="189"/>
      <c r="F220" s="189"/>
      <c r="G220" s="189"/>
      <c r="H220" s="189"/>
      <c r="I220" s="189"/>
      <c r="J220" s="189"/>
      <c r="K220" s="189"/>
      <c r="L220" s="189"/>
    </row>
    <row r="221" spans="3:12">
      <c r="C221" s="189"/>
      <c r="D221" s="189"/>
      <c r="E221" s="189"/>
      <c r="F221" s="189"/>
      <c r="G221" s="189"/>
      <c r="H221" s="189"/>
      <c r="I221" s="189"/>
      <c r="J221" s="189"/>
      <c r="K221" s="189"/>
      <c r="L221" s="189"/>
    </row>
    <row r="222" spans="3:12">
      <c r="C222" s="189"/>
      <c r="D222" s="189"/>
      <c r="E222" s="189"/>
      <c r="F222" s="189"/>
      <c r="G222" s="189"/>
      <c r="H222" s="189"/>
      <c r="I222" s="189"/>
      <c r="J222" s="189"/>
      <c r="K222" s="189"/>
      <c r="L222" s="189"/>
    </row>
    <row r="223" spans="3:12">
      <c r="C223" s="189"/>
      <c r="D223" s="189"/>
      <c r="E223" s="189"/>
      <c r="F223" s="189"/>
      <c r="G223" s="189"/>
      <c r="H223" s="189"/>
      <c r="I223" s="189"/>
      <c r="J223" s="189"/>
      <c r="K223" s="189"/>
      <c r="L223" s="189"/>
    </row>
    <row r="224" spans="3:12">
      <c r="C224" s="189"/>
      <c r="D224" s="189"/>
      <c r="E224" s="189"/>
      <c r="F224" s="189"/>
      <c r="G224" s="189"/>
      <c r="H224" s="189"/>
      <c r="I224" s="189"/>
      <c r="J224" s="189"/>
      <c r="K224" s="189"/>
      <c r="L224" s="189"/>
    </row>
    <row r="225" spans="3:12">
      <c r="C225" s="189"/>
      <c r="D225" s="189"/>
      <c r="E225" s="189"/>
      <c r="F225" s="189"/>
      <c r="G225" s="189"/>
      <c r="H225" s="189"/>
      <c r="I225" s="189"/>
      <c r="J225" s="189"/>
      <c r="K225" s="189"/>
      <c r="L225" s="189"/>
    </row>
    <row r="226" spans="3:12">
      <c r="C226" s="189"/>
      <c r="D226" s="189"/>
      <c r="E226" s="189"/>
      <c r="F226" s="189"/>
      <c r="G226" s="189"/>
      <c r="H226" s="189"/>
      <c r="I226" s="189"/>
      <c r="J226" s="189"/>
      <c r="K226" s="189"/>
      <c r="L226" s="189"/>
    </row>
    <row r="227" spans="3:12">
      <c r="C227" s="189"/>
      <c r="D227" s="189"/>
      <c r="E227" s="189"/>
      <c r="F227" s="189"/>
      <c r="G227" s="189"/>
      <c r="H227" s="189"/>
      <c r="I227" s="189"/>
      <c r="J227" s="189"/>
      <c r="K227" s="189"/>
      <c r="L227" s="189"/>
    </row>
    <row r="228" spans="3:12">
      <c r="C228" s="189"/>
      <c r="D228" s="189"/>
      <c r="E228" s="189"/>
      <c r="F228" s="189"/>
      <c r="G228" s="189"/>
      <c r="H228" s="189"/>
      <c r="I228" s="189"/>
      <c r="J228" s="189"/>
      <c r="K228" s="189"/>
      <c r="L228" s="189"/>
    </row>
    <row r="229" spans="3:12">
      <c r="C229" s="189"/>
      <c r="D229" s="189"/>
      <c r="E229" s="189"/>
      <c r="F229" s="189"/>
      <c r="G229" s="189"/>
      <c r="H229" s="189"/>
      <c r="I229" s="189"/>
      <c r="J229" s="189"/>
      <c r="K229" s="189"/>
      <c r="L229" s="189"/>
    </row>
    <row r="230" spans="3:12">
      <c r="C230" s="189"/>
      <c r="D230" s="189"/>
      <c r="E230" s="189"/>
      <c r="F230" s="189"/>
      <c r="G230" s="189"/>
      <c r="H230" s="189"/>
      <c r="I230" s="189"/>
      <c r="J230" s="189"/>
      <c r="K230" s="189"/>
      <c r="L230" s="189"/>
    </row>
    <row r="231" spans="3:12">
      <c r="C231" s="189"/>
      <c r="D231" s="189"/>
      <c r="E231" s="189"/>
      <c r="F231" s="189"/>
      <c r="G231" s="189"/>
      <c r="H231" s="189"/>
      <c r="I231" s="189"/>
      <c r="J231" s="189"/>
      <c r="K231" s="189"/>
      <c r="L231" s="189"/>
    </row>
    <row r="232" spans="3:12">
      <c r="C232" s="189"/>
      <c r="D232" s="189"/>
      <c r="E232" s="189"/>
      <c r="F232" s="189"/>
      <c r="G232" s="189"/>
      <c r="H232" s="189"/>
      <c r="I232" s="189"/>
      <c r="J232" s="189"/>
      <c r="K232" s="189"/>
      <c r="L232" s="189"/>
    </row>
    <row r="233" spans="3:12">
      <c r="C233" s="189"/>
      <c r="D233" s="189"/>
      <c r="E233" s="189"/>
      <c r="F233" s="189"/>
      <c r="G233" s="189"/>
      <c r="H233" s="189"/>
      <c r="I233" s="189"/>
      <c r="J233" s="189"/>
      <c r="K233" s="189"/>
      <c r="L233" s="189"/>
    </row>
    <row r="234" spans="3:12">
      <c r="C234" s="189"/>
      <c r="D234" s="189"/>
      <c r="E234" s="189"/>
      <c r="F234" s="189"/>
      <c r="G234" s="189"/>
      <c r="H234" s="189"/>
      <c r="I234" s="189"/>
      <c r="J234" s="189"/>
      <c r="K234" s="189"/>
      <c r="L234" s="189"/>
    </row>
    <row r="235" spans="3:12">
      <c r="C235" s="189"/>
      <c r="D235" s="189"/>
      <c r="E235" s="189"/>
      <c r="F235" s="189"/>
      <c r="G235" s="189"/>
      <c r="H235" s="189"/>
      <c r="I235" s="189"/>
      <c r="J235" s="189"/>
      <c r="K235" s="189"/>
      <c r="L235" s="189"/>
    </row>
    <row r="236" spans="3:12">
      <c r="C236" s="189"/>
      <c r="D236" s="189"/>
      <c r="E236" s="189"/>
      <c r="F236" s="189"/>
      <c r="G236" s="189"/>
      <c r="H236" s="189"/>
      <c r="I236" s="189"/>
      <c r="J236" s="189"/>
      <c r="K236" s="189"/>
      <c r="L236" s="189"/>
    </row>
    <row r="237" spans="3:12">
      <c r="C237" s="189"/>
      <c r="D237" s="189"/>
      <c r="E237" s="189"/>
      <c r="F237" s="189"/>
      <c r="G237" s="189"/>
      <c r="H237" s="189"/>
      <c r="I237" s="189"/>
      <c r="J237" s="189"/>
      <c r="K237" s="189"/>
      <c r="L237" s="18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5"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60" zoomScaleNormal="100" workbookViewId="0"/>
  </sheetViews>
  <sheetFormatPr defaultColWidth="7.109375" defaultRowHeight="12.75"/>
  <cols>
    <col min="1" max="1" width="47.88671875" style="5" customWidth="1"/>
    <col min="2" max="2" width="7.109375" style="5" customWidth="1"/>
    <col min="3" max="3" width="2.5546875" style="5" customWidth="1"/>
    <col min="4" max="4" width="15.88671875" style="5" customWidth="1"/>
    <col min="5" max="8" width="7.109375" style="5" customWidth="1"/>
    <col min="9" max="9" width="13.44140625" style="5" customWidth="1"/>
    <col min="10" max="10" width="47.88671875" style="5" customWidth="1"/>
    <col min="11" max="16384" width="7.109375" style="5"/>
  </cols>
  <sheetData>
    <row r="1" spans="2:10" ht="16.5" customHeight="1">
      <c r="G1" s="2"/>
      <c r="H1" s="1"/>
      <c r="J1" s="3" t="str">
        <f>'Attachment H-11A '!K1&amp;""&amp;", Attachment 1"</f>
        <v>Attachment H -11A, Attachment 1</v>
      </c>
    </row>
    <row r="2" spans="2:10" ht="16.5" customHeight="1">
      <c r="G2" s="2"/>
      <c r="H2" s="2"/>
      <c r="J2" s="3" t="s">
        <v>168</v>
      </c>
    </row>
    <row r="3" spans="2:10" ht="16.5" customHeight="1">
      <c r="G3" s="1"/>
      <c r="H3" s="2"/>
      <c r="J3" s="3" t="str">
        <f>'Attachment H-11A '!K4</f>
        <v>For the 12 months ended 12/31/2023</v>
      </c>
    </row>
    <row r="4" spans="2:10" ht="15.75">
      <c r="G4" s="1"/>
      <c r="H4" s="2"/>
      <c r="I4" s="3"/>
    </row>
    <row r="5" spans="2:10" ht="15.75">
      <c r="G5" s="1"/>
      <c r="H5" s="2"/>
      <c r="I5" s="3"/>
    </row>
    <row r="6" spans="2:10" ht="15.75" customHeight="1">
      <c r="B6" s="1097" t="s">
        <v>169</v>
      </c>
      <c r="C6" s="1097"/>
      <c r="D6" s="1097"/>
      <c r="E6" s="1097"/>
      <c r="F6" s="1097"/>
      <c r="G6" s="1097"/>
      <c r="H6" s="1097"/>
      <c r="I6" s="1097"/>
    </row>
    <row r="7" spans="2:10" ht="15.75">
      <c r="B7" s="4"/>
      <c r="C7" s="4"/>
      <c r="D7" s="7"/>
      <c r="E7" s="7"/>
      <c r="F7" s="6"/>
      <c r="G7" s="6" t="s">
        <v>3</v>
      </c>
      <c r="H7" s="6"/>
      <c r="I7" s="6"/>
    </row>
    <row r="8" spans="2:10" ht="15.75">
      <c r="B8" s="4"/>
      <c r="C8" s="4">
        <v>1</v>
      </c>
      <c r="D8" s="9">
        <f>'Attachment H-11A '!I201</f>
        <v>670019</v>
      </c>
      <c r="E8" s="4" t="s">
        <v>884</v>
      </c>
      <c r="F8" s="4"/>
      <c r="G8" s="8"/>
      <c r="H8" s="8"/>
      <c r="I8" s="8"/>
    </row>
    <row r="9" spans="2:10" ht="15.75">
      <c r="B9" s="4"/>
      <c r="C9" s="4">
        <v>2</v>
      </c>
      <c r="D9" s="100">
        <v>0</v>
      </c>
      <c r="E9" s="10" t="s">
        <v>135</v>
      </c>
      <c r="F9" s="8"/>
      <c r="G9" s="8"/>
      <c r="H9" s="8"/>
      <c r="I9" s="8"/>
    </row>
    <row r="10" spans="2:10" ht="15.75">
      <c r="B10" s="4"/>
      <c r="C10" s="4">
        <v>3</v>
      </c>
      <c r="D10" s="11">
        <f>D8-D9</f>
        <v>670019</v>
      </c>
      <c r="E10" s="8" t="s">
        <v>136</v>
      </c>
      <c r="F10" s="4"/>
      <c r="G10" s="8"/>
      <c r="H10" s="8"/>
      <c r="I10" s="8"/>
    </row>
    <row r="11" spans="2:10" ht="7.5" customHeight="1">
      <c r="B11" s="4"/>
      <c r="C11" s="4"/>
      <c r="D11" s="4"/>
      <c r="E11" s="8"/>
      <c r="F11" s="8"/>
      <c r="G11" s="8"/>
      <c r="H11" s="8"/>
      <c r="I11" s="8"/>
    </row>
    <row r="12" spans="2:10" ht="15.75">
      <c r="B12" s="4"/>
      <c r="C12" s="4">
        <v>4</v>
      </c>
      <c r="D12" s="99">
        <v>47516917.114999987</v>
      </c>
      <c r="E12" s="8" t="s">
        <v>811</v>
      </c>
      <c r="F12" s="8"/>
      <c r="G12" s="8"/>
      <c r="H12" s="8"/>
      <c r="I12" s="8"/>
    </row>
    <row r="13" spans="2:10" ht="15.75">
      <c r="B13" s="8"/>
      <c r="C13" s="4">
        <v>5</v>
      </c>
      <c r="D13" s="12">
        <f>D10/D12</f>
        <v>1.4100641217493687E-2</v>
      </c>
      <c r="E13" s="8" t="s">
        <v>177</v>
      </c>
      <c r="F13" s="8"/>
      <c r="G13" s="8"/>
      <c r="H13" s="8"/>
      <c r="I13" s="8"/>
    </row>
    <row r="14" spans="2:10" ht="15.75">
      <c r="B14" s="8"/>
      <c r="C14" s="8"/>
      <c r="D14" s="8"/>
      <c r="E14" s="8"/>
      <c r="F14" s="8"/>
      <c r="G14" s="8"/>
      <c r="H14" s="8"/>
      <c r="I14" s="8"/>
    </row>
    <row r="15" spans="2:10" ht="15.75">
      <c r="B15" s="15" t="s">
        <v>137</v>
      </c>
      <c r="D15" s="8"/>
      <c r="E15" s="8"/>
      <c r="F15" s="8"/>
      <c r="G15" s="8"/>
      <c r="H15" s="8"/>
      <c r="I15" s="8"/>
    </row>
    <row r="16" spans="2:10" ht="69.75" customHeight="1">
      <c r="B16" s="1038" t="s">
        <v>101</v>
      </c>
      <c r="C16" s="1095" t="s">
        <v>940</v>
      </c>
      <c r="D16" s="1096"/>
      <c r="E16" s="1096"/>
      <c r="F16" s="1096"/>
      <c r="G16" s="1096"/>
      <c r="H16" s="1096"/>
      <c r="I16" s="1096"/>
    </row>
    <row r="17" spans="2:9" ht="12" customHeight="1">
      <c r="B17" s="31"/>
      <c r="C17" s="13"/>
      <c r="D17" s="14"/>
      <c r="E17" s="14"/>
      <c r="F17" s="14"/>
      <c r="G17" s="14"/>
      <c r="H17" s="14"/>
      <c r="I17" s="14"/>
    </row>
    <row r="18" spans="2:9" ht="49.5" customHeight="1">
      <c r="B18" s="1038" t="s">
        <v>102</v>
      </c>
      <c r="C18" s="1095" t="s">
        <v>931</v>
      </c>
      <c r="D18" s="1095"/>
      <c r="E18" s="1095"/>
      <c r="F18" s="1095"/>
      <c r="G18" s="1095"/>
      <c r="H18" s="1095"/>
      <c r="I18" s="1095"/>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4"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75AE-2FEC-446A-B617-38871383BE10}">
  <sheetPr codeName="Sheet19"/>
  <dimension ref="A1:L78"/>
  <sheetViews>
    <sheetView view="pageBreakPreview" zoomScale="60" zoomScaleNormal="10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18.88671875" style="64" customWidth="1"/>
    <col min="11" max="16384" width="8.88671875" style="64"/>
  </cols>
  <sheetData>
    <row r="1" spans="1:10" ht="16.5" customHeight="1">
      <c r="B1" s="63"/>
      <c r="C1" s="63"/>
      <c r="J1" s="65" t="str">
        <f>'Attachment H-11A '!K1&amp;""&amp;", Attachment 13"</f>
        <v>Attachment H -11A, Attachment 13</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47" t="s">
        <v>1080</v>
      </c>
      <c r="C5" s="1147"/>
      <c r="D5" s="1147"/>
      <c r="E5" s="1147"/>
      <c r="F5" s="1147"/>
      <c r="G5" s="1147"/>
      <c r="H5" s="1147"/>
      <c r="I5" s="1147"/>
    </row>
    <row r="6" spans="1:10" ht="20.100000000000001" customHeight="1">
      <c r="B6" s="1147"/>
      <c r="C6" s="1147"/>
      <c r="D6" s="1147"/>
      <c r="E6" s="1147"/>
      <c r="F6" s="1147"/>
      <c r="G6" s="1147"/>
      <c r="H6" s="1147"/>
      <c r="I6" s="1147"/>
    </row>
    <row r="7" spans="1:10" ht="20.100000000000001" customHeight="1" thickBot="1"/>
    <row r="8" spans="1:10" s="83" customFormat="1" ht="98.25" customHeight="1">
      <c r="B8" s="397" t="s">
        <v>1362</v>
      </c>
      <c r="C8" s="85"/>
      <c r="D8" s="397" t="s">
        <v>1361</v>
      </c>
      <c r="E8" s="85"/>
      <c r="F8" s="84" t="s">
        <v>252</v>
      </c>
      <c r="H8" s="82"/>
      <c r="I8" s="82"/>
    </row>
    <row r="9" spans="1:10" ht="20.100000000000001" customHeight="1">
      <c r="B9" s="69" t="s">
        <v>1205</v>
      </c>
      <c r="C9" s="67"/>
      <c r="D9" s="69" t="s">
        <v>1205</v>
      </c>
      <c r="E9" s="67"/>
      <c r="F9" s="70"/>
      <c r="H9" s="68"/>
      <c r="I9" s="68"/>
    </row>
    <row r="10" spans="1:10" ht="20.100000000000001" customHeight="1" thickBot="1">
      <c r="A10" s="276" t="s">
        <v>245</v>
      </c>
      <c r="B10" s="405">
        <f>'Attachment H-11A '!I23</f>
        <v>47779952.741931327</v>
      </c>
      <c r="C10" s="73" t="str">
        <f>"-"</f>
        <v>-</v>
      </c>
      <c r="D10" s="405">
        <f>'Attachment 13b - PJM Billings'!L20</f>
        <v>54580330.612319797</v>
      </c>
      <c r="E10" s="73" t="str">
        <f>"="</f>
        <v>=</v>
      </c>
      <c r="F10" s="74">
        <f>IF(B10=0,0,D10-B10)</f>
        <v>6800377.8703884706</v>
      </c>
      <c r="H10" s="68"/>
      <c r="I10" s="68"/>
    </row>
    <row r="11" spans="1:10" ht="20.100000000000001" customHeight="1" thickBot="1">
      <c r="A11" s="276"/>
      <c r="B11" s="75"/>
      <c r="C11" s="76"/>
      <c r="D11" s="75"/>
      <c r="E11" s="76"/>
      <c r="F11" s="75"/>
      <c r="G11" s="77"/>
      <c r="H11" s="77"/>
      <c r="I11" s="77"/>
    </row>
    <row r="12" spans="1:10" ht="20.100000000000001" customHeight="1">
      <c r="A12" s="276"/>
      <c r="B12" s="72"/>
      <c r="C12" s="71"/>
      <c r="D12" s="72"/>
      <c r="E12" s="71"/>
      <c r="F12" s="72"/>
      <c r="G12" s="68"/>
      <c r="H12" s="68"/>
      <c r="I12" s="68"/>
    </row>
    <row r="13" spans="1:10" ht="20.100000000000001" customHeight="1">
      <c r="A13" s="276"/>
      <c r="B13" s="1041" t="s">
        <v>1360</v>
      </c>
      <c r="C13" s="1042"/>
      <c r="D13" s="1043"/>
      <c r="E13" s="1044"/>
      <c r="F13" s="1045"/>
      <c r="G13" s="1045"/>
      <c r="H13" s="68"/>
      <c r="I13" s="68"/>
    </row>
    <row r="14" spans="1:10" ht="20.100000000000001" customHeight="1">
      <c r="A14" s="276"/>
      <c r="B14" s="72"/>
      <c r="C14" s="71"/>
      <c r="D14" s="72"/>
      <c r="E14" s="71"/>
      <c r="F14" s="72"/>
      <c r="G14" s="68"/>
      <c r="H14" s="68"/>
      <c r="I14" s="68"/>
    </row>
    <row r="15" spans="1:10" ht="20.100000000000001" customHeight="1">
      <c r="A15" s="276"/>
      <c r="B15" s="79" t="s">
        <v>688</v>
      </c>
      <c r="C15" s="71"/>
      <c r="D15" s="79" t="s">
        <v>812</v>
      </c>
      <c r="E15" s="71"/>
      <c r="F15" s="79" t="s">
        <v>813</v>
      </c>
      <c r="G15" s="1011" t="s">
        <v>814</v>
      </c>
      <c r="H15" s="1011" t="s">
        <v>808</v>
      </c>
      <c r="I15" s="1011" t="s">
        <v>1073</v>
      </c>
    </row>
    <row r="16" spans="1:10" ht="20.100000000000001" customHeight="1">
      <c r="A16" s="1008" t="s">
        <v>5</v>
      </c>
      <c r="B16" s="1009" t="s">
        <v>690</v>
      </c>
      <c r="C16" s="986"/>
      <c r="D16" s="73" t="s">
        <v>1081</v>
      </c>
      <c r="E16" s="1010"/>
      <c r="F16" s="1009" t="s">
        <v>254</v>
      </c>
      <c r="G16" s="73" t="s">
        <v>1065</v>
      </c>
      <c r="H16" s="1009" t="s">
        <v>415</v>
      </c>
      <c r="I16" s="73" t="s">
        <v>1066</v>
      </c>
    </row>
    <row r="17" spans="1:9" ht="20.100000000000001" customHeight="1">
      <c r="A17" s="276">
        <v>1</v>
      </c>
      <c r="B17" s="1005">
        <v>44947</v>
      </c>
      <c r="C17" s="71"/>
      <c r="D17" s="1044">
        <v>6.6050000000000015E-3</v>
      </c>
      <c r="E17" s="71"/>
      <c r="F17" s="998">
        <f>D17</f>
        <v>6.6050000000000015E-3</v>
      </c>
      <c r="G17" s="997">
        <f>1/12</f>
        <v>8.3333333333333329E-2</v>
      </c>
      <c r="H17" s="997">
        <f>F17*G17</f>
        <v>5.5041666666666672E-4</v>
      </c>
      <c r="I17" s="997">
        <v>0</v>
      </c>
    </row>
    <row r="18" spans="1:9" ht="20.100000000000001" customHeight="1">
      <c r="A18" s="276">
        <f>IF(ISBLANK(G18)=TRUE,"",MAX($A$17:A17)+1)</f>
        <v>2</v>
      </c>
      <c r="B18" s="999">
        <f>EOMONTH(B17,1)</f>
        <v>44985</v>
      </c>
      <c r="C18" s="71"/>
      <c r="D18" s="998">
        <f>D17</f>
        <v>6.6050000000000015E-3</v>
      </c>
      <c r="E18" s="71"/>
      <c r="F18" s="998">
        <f t="shared" ref="F18:F28" si="0">D18</f>
        <v>6.6050000000000015E-3</v>
      </c>
      <c r="G18" s="997">
        <f>G17+1/12</f>
        <v>0.16666666666666666</v>
      </c>
      <c r="H18" s="997">
        <f t="shared" ref="H18:H28" si="1">F18*G18</f>
        <v>1.1008333333333334E-3</v>
      </c>
      <c r="I18" s="997">
        <v>0</v>
      </c>
    </row>
    <row r="19" spans="1:9" ht="20.100000000000001" customHeight="1">
      <c r="A19" s="276">
        <f>IF(ISBLANK(G19)=TRUE,"",MAX($A$17:A18)+1)</f>
        <v>3</v>
      </c>
      <c r="B19" s="999">
        <f t="shared" ref="B19:B27" si="2">EOMONTH(B18,1)</f>
        <v>45016</v>
      </c>
      <c r="C19" s="71"/>
      <c r="D19" s="998">
        <f>D18</f>
        <v>6.6050000000000015E-3</v>
      </c>
      <c r="E19" s="71"/>
      <c r="F19" s="998">
        <f t="shared" si="0"/>
        <v>6.6050000000000015E-3</v>
      </c>
      <c r="G19" s="1001">
        <f t="shared" ref="G19:G28" si="3">G18+1/12</f>
        <v>0.25</v>
      </c>
      <c r="H19" s="997">
        <f t="shared" si="1"/>
        <v>1.6512500000000004E-3</v>
      </c>
      <c r="I19" s="997">
        <f>I18+SUM(H17:H19)</f>
        <v>3.3025000000000007E-3</v>
      </c>
    </row>
    <row r="20" spans="1:9" ht="20.100000000000001" customHeight="1">
      <c r="A20" s="276">
        <f>IF(ISBLANK(G20)=TRUE,"",MAX($A$17:A19)+1)</f>
        <v>4</v>
      </c>
      <c r="B20" s="999">
        <f t="shared" si="2"/>
        <v>45046</v>
      </c>
      <c r="C20" s="71"/>
      <c r="D20" s="998">
        <f>D19</f>
        <v>6.6050000000000015E-3</v>
      </c>
      <c r="E20" s="71"/>
      <c r="F20" s="998">
        <f t="shared" si="0"/>
        <v>6.6050000000000015E-3</v>
      </c>
      <c r="G20" s="997">
        <f>G19+1/12+I19</f>
        <v>0.3366358333333333</v>
      </c>
      <c r="H20" s="997">
        <f t="shared" si="1"/>
        <v>2.2234796791666669E-3</v>
      </c>
      <c r="I20" s="997">
        <v>0</v>
      </c>
    </row>
    <row r="21" spans="1:9" ht="20.100000000000001" customHeight="1">
      <c r="A21" s="276">
        <f>IF(ISBLANK(G21)=TRUE,"",MAX($A$17:A20)+1)</f>
        <v>5</v>
      </c>
      <c r="B21" s="999">
        <f t="shared" si="2"/>
        <v>45077</v>
      </c>
      <c r="C21" s="71"/>
      <c r="D21" s="998">
        <f>D20</f>
        <v>6.6050000000000015E-3</v>
      </c>
      <c r="E21" s="71"/>
      <c r="F21" s="998">
        <f t="shared" si="0"/>
        <v>6.6050000000000015E-3</v>
      </c>
      <c r="G21" s="997">
        <f t="shared" si="3"/>
        <v>0.41996916666666662</v>
      </c>
      <c r="H21" s="997">
        <f t="shared" si="1"/>
        <v>2.7738963458333334E-3</v>
      </c>
      <c r="I21" s="997">
        <v>0</v>
      </c>
    </row>
    <row r="22" spans="1:9" ht="20.100000000000001" customHeight="1">
      <c r="A22" s="276">
        <f>IF(ISBLANK(G22)=TRUE,"",MAX($A$17:A21)+1)</f>
        <v>6</v>
      </c>
      <c r="B22" s="999">
        <f t="shared" si="2"/>
        <v>45107</v>
      </c>
      <c r="C22" s="71"/>
      <c r="D22" s="998">
        <f>D21</f>
        <v>6.6050000000000015E-3</v>
      </c>
      <c r="E22" s="71"/>
      <c r="F22" s="998">
        <f t="shared" si="0"/>
        <v>6.6050000000000015E-3</v>
      </c>
      <c r="G22" s="1001">
        <f t="shared" si="3"/>
        <v>0.50330249999999999</v>
      </c>
      <c r="H22" s="997">
        <f t="shared" si="1"/>
        <v>3.3243130125000008E-3</v>
      </c>
      <c r="I22" s="997">
        <f>I21+SUM(H20:H22)</f>
        <v>8.3216890374999998E-3</v>
      </c>
    </row>
    <row r="23" spans="1:9" ht="20.100000000000001" customHeight="1">
      <c r="A23" s="276">
        <f>IF(ISBLANK(G23)=TRUE,"",MAX($A$17:A22)+1)</f>
        <v>7</v>
      </c>
      <c r="B23" s="999">
        <f t="shared" si="2"/>
        <v>45138</v>
      </c>
      <c r="C23" s="71"/>
      <c r="D23" s="998">
        <f t="shared" ref="D23:D28" si="4">D22</f>
        <v>6.6050000000000015E-3</v>
      </c>
      <c r="E23" s="71"/>
      <c r="F23" s="998">
        <f t="shared" si="0"/>
        <v>6.6050000000000015E-3</v>
      </c>
      <c r="G23" s="997">
        <f>G22+1/12+I22</f>
        <v>0.59495752237083332</v>
      </c>
      <c r="H23" s="997">
        <f t="shared" si="1"/>
        <v>3.9296944352593547E-3</v>
      </c>
      <c r="I23" s="997">
        <v>0</v>
      </c>
    </row>
    <row r="24" spans="1:9" ht="20.100000000000001" customHeight="1">
      <c r="A24" s="276">
        <f>IF(ISBLANK(G24)=TRUE,"",MAX($A$17:A23)+1)</f>
        <v>8</v>
      </c>
      <c r="B24" s="999">
        <f t="shared" si="2"/>
        <v>45169</v>
      </c>
      <c r="C24" s="71"/>
      <c r="D24" s="998">
        <f t="shared" si="4"/>
        <v>6.6050000000000015E-3</v>
      </c>
      <c r="E24" s="71"/>
      <c r="F24" s="998">
        <f t="shared" si="0"/>
        <v>6.6050000000000015E-3</v>
      </c>
      <c r="G24" s="997">
        <f t="shared" si="3"/>
        <v>0.6782908557041667</v>
      </c>
      <c r="H24" s="997">
        <f t="shared" si="1"/>
        <v>4.4801111019260216E-3</v>
      </c>
      <c r="I24" s="997">
        <v>0</v>
      </c>
    </row>
    <row r="25" spans="1:9" ht="20.100000000000001" customHeight="1">
      <c r="A25" s="276">
        <f>IF(ISBLANK(G25)=TRUE,"",MAX($A$17:A24)+1)</f>
        <v>9</v>
      </c>
      <c r="B25" s="999">
        <f t="shared" si="2"/>
        <v>45199</v>
      </c>
      <c r="C25" s="71"/>
      <c r="D25" s="998">
        <f t="shared" si="4"/>
        <v>6.6050000000000015E-3</v>
      </c>
      <c r="E25" s="71"/>
      <c r="F25" s="998">
        <f t="shared" si="0"/>
        <v>6.6050000000000015E-3</v>
      </c>
      <c r="G25" s="1001">
        <f t="shared" si="3"/>
        <v>0.76162418903750007</v>
      </c>
      <c r="H25" s="997">
        <f t="shared" si="1"/>
        <v>5.0305277685926894E-3</v>
      </c>
      <c r="I25" s="997">
        <f>I24+SUM(H23:H25)</f>
        <v>1.3440333305778065E-2</v>
      </c>
    </row>
    <row r="26" spans="1:9" ht="20.100000000000001" customHeight="1">
      <c r="A26" s="276">
        <f>IF(ISBLANK(G26)=TRUE,"",MAX($A$17:A25)+1)</f>
        <v>10</v>
      </c>
      <c r="B26" s="999">
        <f t="shared" si="2"/>
        <v>45230</v>
      </c>
      <c r="C26" s="71"/>
      <c r="D26" s="998">
        <f t="shared" si="4"/>
        <v>6.6050000000000015E-3</v>
      </c>
      <c r="E26" s="71"/>
      <c r="F26" s="998">
        <f>D26</f>
        <v>6.6050000000000015E-3</v>
      </c>
      <c r="G26" s="997">
        <f>G25+1/12+I25</f>
        <v>0.85839785567661153</v>
      </c>
      <c r="H26" s="997">
        <f t="shared" si="1"/>
        <v>5.6697178367440208E-3</v>
      </c>
      <c r="I26" s="997">
        <v>0</v>
      </c>
    </row>
    <row r="27" spans="1:9" ht="20.100000000000001" customHeight="1">
      <c r="A27" s="276">
        <f>IF(ISBLANK(G27)=TRUE,"",MAX($A$17:A26)+1)</f>
        <v>11</v>
      </c>
      <c r="B27" s="999">
        <f t="shared" si="2"/>
        <v>45260</v>
      </c>
      <c r="C27" s="71"/>
      <c r="D27" s="998">
        <f t="shared" si="4"/>
        <v>6.6050000000000015E-3</v>
      </c>
      <c r="E27" s="71"/>
      <c r="F27" s="998">
        <f t="shared" si="0"/>
        <v>6.6050000000000015E-3</v>
      </c>
      <c r="G27" s="997">
        <f t="shared" si="3"/>
        <v>0.9417311890099449</v>
      </c>
      <c r="H27" s="997">
        <f t="shared" si="1"/>
        <v>6.2201345034106877E-3</v>
      </c>
      <c r="I27" s="997">
        <v>0</v>
      </c>
    </row>
    <row r="28" spans="1:9" ht="20.100000000000001" customHeight="1">
      <c r="A28" s="276">
        <f>IF(ISBLANK(G28)=TRUE,"",MAX($A$17:A27)+1)</f>
        <v>12</v>
      </c>
      <c r="B28" s="999">
        <f>EOMONTH(B27,1)</f>
        <v>45291</v>
      </c>
      <c r="C28" s="71"/>
      <c r="D28" s="998">
        <f t="shared" si="4"/>
        <v>6.6050000000000015E-3</v>
      </c>
      <c r="E28" s="71"/>
      <c r="F28" s="998">
        <f t="shared" si="0"/>
        <v>6.6050000000000015E-3</v>
      </c>
      <c r="G28" s="1001">
        <f t="shared" si="3"/>
        <v>1.0250645223432782</v>
      </c>
      <c r="H28" s="997">
        <f t="shared" si="1"/>
        <v>6.7705511700773538E-3</v>
      </c>
      <c r="I28" s="997">
        <f>I27+SUM(H26:H28)</f>
        <v>1.8660403510232064E-2</v>
      </c>
    </row>
    <row r="29" spans="1:9" ht="20.100000000000001" customHeight="1">
      <c r="A29" s="276" t="str">
        <f>IF(ISBLANK(G29)=TRUE,"",MAX($A$17:A28)+1)</f>
        <v/>
      </c>
      <c r="B29" s="78"/>
      <c r="C29" s="71"/>
      <c r="D29" s="72"/>
      <c r="E29" s="71"/>
      <c r="F29" s="72"/>
      <c r="G29" s="68"/>
      <c r="H29" s="68"/>
      <c r="I29" s="68"/>
    </row>
    <row r="30" spans="1:9" ht="20.100000000000001" customHeight="1">
      <c r="A30" s="276">
        <f>IF(ISBLANK(G30)=TRUE,"",MAX($A$17:A29)+1)</f>
        <v>13</v>
      </c>
      <c r="B30" s="78"/>
      <c r="C30" s="71"/>
      <c r="E30" s="72" t="s">
        <v>1074</v>
      </c>
      <c r="F30" s="72"/>
      <c r="G30" s="997">
        <f>G28+I28</f>
        <v>1.0437249258535102</v>
      </c>
      <c r="H30" s="68"/>
      <c r="I30" s="68"/>
    </row>
    <row r="31" spans="1:9" ht="20.100000000000001" customHeight="1">
      <c r="A31" s="276" t="str">
        <f>IF(ISBLANK(G31)=TRUE,"",MAX($A$17:A30)+1)</f>
        <v/>
      </c>
      <c r="B31" s="78"/>
      <c r="C31" s="71"/>
      <c r="D31" s="72"/>
      <c r="E31" s="71"/>
      <c r="F31" s="72"/>
      <c r="G31" s="68"/>
      <c r="H31" s="68"/>
      <c r="I31" s="68"/>
    </row>
    <row r="32" spans="1:9" ht="20.100000000000001" customHeight="1">
      <c r="A32" s="276">
        <f>IF(ISBLANK(G32)=TRUE,"",MAX($A$17:A31)+1)</f>
        <v>14</v>
      </c>
      <c r="B32" s="999">
        <f>EOMONTH(B28,1)</f>
        <v>45322</v>
      </c>
      <c r="C32" s="71"/>
      <c r="D32" s="998">
        <f>D28</f>
        <v>6.6050000000000015E-3</v>
      </c>
      <c r="E32" s="71"/>
      <c r="F32" s="998">
        <f>D32</f>
        <v>6.6050000000000015E-3</v>
      </c>
      <c r="G32" s="997">
        <f>G30</f>
        <v>1.0437249258535102</v>
      </c>
      <c r="H32" s="997">
        <f>F32*G32</f>
        <v>6.8938031352624362E-3</v>
      </c>
      <c r="I32" s="997">
        <v>0</v>
      </c>
    </row>
    <row r="33" spans="1:12" ht="20.100000000000001" customHeight="1">
      <c r="A33" s="276">
        <f>IF(ISBLANK(G33)=TRUE,"",MAX($A$17:A32)+1)</f>
        <v>15</v>
      </c>
      <c r="B33" s="999">
        <f>EOMONTH(B32,1)</f>
        <v>45351</v>
      </c>
      <c r="C33" s="71"/>
      <c r="D33" s="998">
        <f>D32</f>
        <v>6.6050000000000015E-3</v>
      </c>
      <c r="E33" s="71"/>
      <c r="F33" s="998">
        <f t="shared" ref="F33:F43" si="5">D33</f>
        <v>6.6050000000000015E-3</v>
      </c>
      <c r="G33" s="997">
        <f>G32</f>
        <v>1.0437249258535102</v>
      </c>
      <c r="H33" s="997">
        <f t="shared" ref="H33:H43" si="6">F33*G33</f>
        <v>6.8938031352624362E-3</v>
      </c>
      <c r="I33" s="997">
        <v>0</v>
      </c>
    </row>
    <row r="34" spans="1:12" ht="20.100000000000001" customHeight="1">
      <c r="A34" s="276">
        <f>IF(ISBLANK(G34)=TRUE,"",MAX($A$17:A33)+1)</f>
        <v>16</v>
      </c>
      <c r="B34" s="999">
        <f t="shared" ref="B34:B42" si="7">EOMONTH(B33,1)</f>
        <v>45382</v>
      </c>
      <c r="C34" s="71"/>
      <c r="D34" s="998">
        <f t="shared" ref="D34:D43" si="8">D33</f>
        <v>6.6050000000000015E-3</v>
      </c>
      <c r="E34" s="71"/>
      <c r="F34" s="998">
        <f t="shared" si="5"/>
        <v>6.6050000000000015E-3</v>
      </c>
      <c r="G34" s="1001">
        <f>G33</f>
        <v>1.0437249258535102</v>
      </c>
      <c r="H34" s="997">
        <f t="shared" si="6"/>
        <v>6.8938031352624362E-3</v>
      </c>
      <c r="I34" s="997">
        <f>I33+SUM(H32:H34)</f>
        <v>2.0681409405787308E-2</v>
      </c>
    </row>
    <row r="35" spans="1:12" ht="20.100000000000001" customHeight="1">
      <c r="A35" s="276">
        <f>IF(ISBLANK(G35)=TRUE,"",MAX($A$17:A34)+1)</f>
        <v>17</v>
      </c>
      <c r="B35" s="999">
        <f t="shared" si="7"/>
        <v>45412</v>
      </c>
      <c r="C35" s="71"/>
      <c r="D35" s="998">
        <f t="shared" si="8"/>
        <v>6.6050000000000015E-3</v>
      </c>
      <c r="E35" s="71"/>
      <c r="F35" s="998">
        <f t="shared" si="5"/>
        <v>6.6050000000000015E-3</v>
      </c>
      <c r="G35" s="997">
        <f>G34+I34</f>
        <v>1.0644063352592974</v>
      </c>
      <c r="H35" s="997">
        <f t="shared" si="6"/>
        <v>7.0304038443876607E-3</v>
      </c>
      <c r="I35" s="997">
        <v>0</v>
      </c>
    </row>
    <row r="36" spans="1:12" ht="20.100000000000001" customHeight="1">
      <c r="A36" s="276">
        <f>IF(ISBLANK(G36)=TRUE,"",MAX($A$17:A35)+1)</f>
        <v>18</v>
      </c>
      <c r="B36" s="999">
        <f t="shared" si="7"/>
        <v>45443</v>
      </c>
      <c r="C36" s="71"/>
      <c r="D36" s="998">
        <f t="shared" si="8"/>
        <v>6.6050000000000015E-3</v>
      </c>
      <c r="E36" s="71"/>
      <c r="F36" s="998">
        <f t="shared" si="5"/>
        <v>6.6050000000000015E-3</v>
      </c>
      <c r="G36" s="997">
        <f>G35</f>
        <v>1.0644063352592974</v>
      </c>
      <c r="H36" s="997">
        <f t="shared" si="6"/>
        <v>7.0304038443876607E-3</v>
      </c>
      <c r="I36" s="997">
        <v>0</v>
      </c>
    </row>
    <row r="37" spans="1:12" ht="20.100000000000001" customHeight="1">
      <c r="A37" s="276">
        <f>IF(ISBLANK(G37)=TRUE,"",MAX($A$17:A36)+1)</f>
        <v>19</v>
      </c>
      <c r="B37" s="999">
        <f t="shared" si="7"/>
        <v>45473</v>
      </c>
      <c r="C37" s="71"/>
      <c r="D37" s="998">
        <f t="shared" si="8"/>
        <v>6.6050000000000015E-3</v>
      </c>
      <c r="E37" s="71"/>
      <c r="F37" s="998">
        <f t="shared" si="5"/>
        <v>6.6050000000000015E-3</v>
      </c>
      <c r="G37" s="1001">
        <f>G36</f>
        <v>1.0644063352592974</v>
      </c>
      <c r="H37" s="997">
        <f t="shared" si="6"/>
        <v>7.0304038443876607E-3</v>
      </c>
      <c r="I37" s="997">
        <f>I36+SUM(H35:H37)</f>
        <v>2.1091211533162981E-2</v>
      </c>
    </row>
    <row r="38" spans="1:12" ht="20.100000000000001" customHeight="1">
      <c r="A38" s="276">
        <f>IF(ISBLANK(G38)=TRUE,"",MAX($A$17:A37)+1)</f>
        <v>20</v>
      </c>
      <c r="B38" s="999">
        <f t="shared" si="7"/>
        <v>45504</v>
      </c>
      <c r="C38" s="71"/>
      <c r="D38" s="998">
        <f t="shared" si="8"/>
        <v>6.6050000000000015E-3</v>
      </c>
      <c r="E38" s="71"/>
      <c r="F38" s="998">
        <f t="shared" si="5"/>
        <v>6.6050000000000015E-3</v>
      </c>
      <c r="G38" s="997">
        <f>G37+I37</f>
        <v>1.0854975467924604</v>
      </c>
      <c r="H38" s="997">
        <f t="shared" si="6"/>
        <v>7.1697112965642025E-3</v>
      </c>
      <c r="I38" s="997">
        <v>0</v>
      </c>
    </row>
    <row r="39" spans="1:12" ht="20.100000000000001" customHeight="1">
      <c r="A39" s="276">
        <f>IF(ISBLANK(G39)=TRUE,"",MAX($A$17:A38)+1)</f>
        <v>21</v>
      </c>
      <c r="B39" s="999">
        <f t="shared" si="7"/>
        <v>45535</v>
      </c>
      <c r="C39" s="71"/>
      <c r="D39" s="998">
        <f t="shared" si="8"/>
        <v>6.6050000000000015E-3</v>
      </c>
      <c r="E39" s="71"/>
      <c r="F39" s="998">
        <f>D39</f>
        <v>6.6050000000000015E-3</v>
      </c>
      <c r="G39" s="997">
        <f>G38</f>
        <v>1.0854975467924604</v>
      </c>
      <c r="H39" s="997">
        <f t="shared" si="6"/>
        <v>7.1697112965642025E-3</v>
      </c>
      <c r="I39" s="997">
        <v>0</v>
      </c>
    </row>
    <row r="40" spans="1:12" ht="20.100000000000001" customHeight="1">
      <c r="A40" s="276">
        <f>IF(ISBLANK(G40)=TRUE,"",MAX($A$17:A39)+1)</f>
        <v>22</v>
      </c>
      <c r="B40" s="999">
        <f t="shared" si="7"/>
        <v>45565</v>
      </c>
      <c r="C40" s="71"/>
      <c r="D40" s="998">
        <f t="shared" si="8"/>
        <v>6.6050000000000015E-3</v>
      </c>
      <c r="E40" s="71"/>
      <c r="F40" s="998">
        <f t="shared" si="5"/>
        <v>6.6050000000000015E-3</v>
      </c>
      <c r="G40" s="1001">
        <f>G39</f>
        <v>1.0854975467924604</v>
      </c>
      <c r="H40" s="997">
        <f t="shared" si="6"/>
        <v>7.1697112965642025E-3</v>
      </c>
      <c r="I40" s="997">
        <f>I39+SUM(H38:H40)</f>
        <v>2.1509133889692608E-2</v>
      </c>
    </row>
    <row r="41" spans="1:12" ht="20.100000000000001" customHeight="1">
      <c r="A41" s="276">
        <f>IF(ISBLANK(G41)=TRUE,"",MAX($A$17:A40)+1)</f>
        <v>23</v>
      </c>
      <c r="B41" s="999">
        <f t="shared" si="7"/>
        <v>45596</v>
      </c>
      <c r="C41" s="71"/>
      <c r="D41" s="998">
        <f t="shared" si="8"/>
        <v>6.6050000000000015E-3</v>
      </c>
      <c r="E41" s="71"/>
      <c r="F41" s="998">
        <f t="shared" si="5"/>
        <v>6.6050000000000015E-3</v>
      </c>
      <c r="G41" s="997">
        <f>G40+I40</f>
        <v>1.107006680682153</v>
      </c>
      <c r="H41" s="997">
        <f t="shared" si="6"/>
        <v>7.3117791259056228E-3</v>
      </c>
      <c r="I41" s="997">
        <v>0</v>
      </c>
    </row>
    <row r="42" spans="1:12" ht="20.100000000000001" customHeight="1">
      <c r="A42" s="276">
        <f>IF(ISBLANK(G42)=TRUE,"",MAX($A$17:A41)+1)</f>
        <v>24</v>
      </c>
      <c r="B42" s="999">
        <f t="shared" si="7"/>
        <v>45626</v>
      </c>
      <c r="C42" s="71"/>
      <c r="D42" s="998">
        <f t="shared" si="8"/>
        <v>6.6050000000000015E-3</v>
      </c>
      <c r="E42" s="71"/>
      <c r="F42" s="998">
        <f t="shared" si="5"/>
        <v>6.6050000000000015E-3</v>
      </c>
      <c r="G42" s="997">
        <f>G41</f>
        <v>1.107006680682153</v>
      </c>
      <c r="H42" s="997">
        <f t="shared" si="6"/>
        <v>7.3117791259056228E-3</v>
      </c>
      <c r="I42" s="997">
        <v>0</v>
      </c>
    </row>
    <row r="43" spans="1:12" ht="20.100000000000001" customHeight="1">
      <c r="A43" s="276">
        <f>IF(ISBLANK(G43)=TRUE,"",MAX($A$17:A42)+1)</f>
        <v>25</v>
      </c>
      <c r="B43" s="999">
        <f>EOMONTH(B42,1)</f>
        <v>45657</v>
      </c>
      <c r="C43" s="71"/>
      <c r="D43" s="998">
        <f t="shared" si="8"/>
        <v>6.6050000000000015E-3</v>
      </c>
      <c r="E43" s="71"/>
      <c r="F43" s="998">
        <f t="shared" si="5"/>
        <v>6.6050000000000015E-3</v>
      </c>
      <c r="G43" s="1001">
        <f>G42</f>
        <v>1.107006680682153</v>
      </c>
      <c r="H43" s="997">
        <f t="shared" si="6"/>
        <v>7.3117791259056228E-3</v>
      </c>
      <c r="I43" s="997">
        <f>I42+SUM(H41:H43)</f>
        <v>2.1935337377716867E-2</v>
      </c>
    </row>
    <row r="44" spans="1:12" ht="20.100000000000001" customHeight="1">
      <c r="A44" s="276" t="str">
        <f>IF(ISBLANK(G44)=TRUE,"",MAX($A$17:A43)+1)</f>
        <v/>
      </c>
      <c r="B44" s="78"/>
      <c r="C44" s="71"/>
      <c r="D44" s="72"/>
      <c r="E44" s="71"/>
      <c r="F44" s="72"/>
      <c r="G44" s="68"/>
      <c r="H44" s="68"/>
      <c r="I44" s="68"/>
    </row>
    <row r="45" spans="1:12" ht="20.100000000000001" customHeight="1">
      <c r="A45" s="276">
        <f>IF(ISBLANK(G45)=TRUE,"",MAX($A$17:A44)+1)</f>
        <v>26</v>
      </c>
      <c r="B45" s="78"/>
      <c r="C45" s="71"/>
      <c r="D45" s="72"/>
      <c r="E45" s="72" t="s">
        <v>1075</v>
      </c>
      <c r="F45" s="72"/>
      <c r="G45" s="997">
        <f>G43+I43</f>
        <v>1.1289420180598699</v>
      </c>
      <c r="H45" s="68"/>
      <c r="I45" s="68"/>
    </row>
    <row r="46" spans="1:12" ht="20.100000000000001" customHeight="1">
      <c r="A46" s="276" t="str">
        <f>IF(ISBLANK(G46)=TRUE,"",MAX($A$17:A45)+1)</f>
        <v/>
      </c>
      <c r="B46" s="78"/>
      <c r="C46" s="71"/>
      <c r="D46" s="72"/>
      <c r="E46" s="72"/>
      <c r="F46" s="72"/>
      <c r="G46" s="997"/>
      <c r="H46" s="68"/>
      <c r="I46" s="68"/>
    </row>
    <row r="47" spans="1:12" ht="20.100000000000001" customHeight="1">
      <c r="A47" s="276">
        <f>IF(ISBLANK(G47)=TRUE,"",MAX($A$17:A46)+1)</f>
        <v>27</v>
      </c>
      <c r="B47" s="78"/>
      <c r="C47" s="71"/>
      <c r="D47" s="72"/>
      <c r="E47" s="883"/>
      <c r="F47" s="1002" t="s">
        <v>1067</v>
      </c>
      <c r="G47" s="1012">
        <f>G45/12</f>
        <v>9.4078501504989157E-2</v>
      </c>
      <c r="H47" s="68"/>
      <c r="I47" s="68"/>
    </row>
    <row r="48" spans="1:12" ht="20.100000000000001" customHeight="1" thickBot="1">
      <c r="A48" s="276">
        <f>IF(ISBLANK(G48)=TRUE,"",MAX($A$17:A47)+1)</f>
        <v>28</v>
      </c>
      <c r="B48" s="78"/>
      <c r="C48" s="71"/>
      <c r="D48" s="72"/>
      <c r="E48" s="883"/>
      <c r="F48" s="1003" t="s">
        <v>1068</v>
      </c>
      <c r="G48" s="1013">
        <v>3.4181989136945479E-3</v>
      </c>
      <c r="H48" s="997" t="s">
        <v>1206</v>
      </c>
      <c r="I48" s="883"/>
      <c r="J48" s="997"/>
      <c r="K48" s="883"/>
      <c r="L48" s="1004"/>
    </row>
    <row r="49" spans="1:9" ht="20.100000000000001" customHeight="1" thickTop="1">
      <c r="A49" s="276">
        <f>IF(ISBLANK(G49)=TRUE,"",MAX($A$17:A48)+1)</f>
        <v>29</v>
      </c>
      <c r="B49" s="78"/>
      <c r="C49" s="71"/>
      <c r="D49" s="72"/>
      <c r="E49" s="883"/>
      <c r="F49" s="1002" t="s">
        <v>1069</v>
      </c>
      <c r="G49" s="997">
        <f>G47+G48</f>
        <v>9.7496700418683704E-2</v>
      </c>
      <c r="H49" s="68"/>
      <c r="I49" s="68"/>
    </row>
    <row r="50" spans="1:9" ht="20.100000000000001" customHeight="1">
      <c r="A50" s="276" t="str">
        <f>IF(ISBLANK(G50)=TRUE,"",MAX($A$17:A49)+1)</f>
        <v/>
      </c>
      <c r="B50" s="78"/>
      <c r="C50" s="71"/>
      <c r="D50" s="72"/>
      <c r="E50" s="883"/>
      <c r="F50" s="1002"/>
      <c r="G50" s="997"/>
      <c r="H50" s="68"/>
      <c r="I50" s="68"/>
    </row>
    <row r="51" spans="1:9" ht="20.100000000000001" customHeight="1">
      <c r="A51" s="276">
        <f>IF(ISBLANK(G51)=TRUE,"",MAX($A$17:A50)+1)</f>
        <v>30</v>
      </c>
      <c r="B51" s="999">
        <f>EOMONTH(B43,1)</f>
        <v>45688</v>
      </c>
      <c r="C51" s="71"/>
      <c r="D51" s="998">
        <f>D41</f>
        <v>6.6050000000000015E-3</v>
      </c>
      <c r="E51" s="883"/>
      <c r="F51" s="998">
        <f>D51</f>
        <v>6.6050000000000015E-3</v>
      </c>
      <c r="G51" s="997">
        <f>$G$45-($G$49*A17)</f>
        <v>1.0314453176411862</v>
      </c>
      <c r="H51" s="997">
        <f>F51*G51</f>
        <v>6.8126963230200361E-3</v>
      </c>
      <c r="I51" s="997">
        <v>0</v>
      </c>
    </row>
    <row r="52" spans="1:9" ht="20.100000000000001" customHeight="1">
      <c r="A52" s="276">
        <f>IF(ISBLANK(G52)=TRUE,"",MAX($A$17:A51)+1)</f>
        <v>31</v>
      </c>
      <c r="B52" s="999">
        <f>EOMONTH(B51,1)</f>
        <v>45716</v>
      </c>
      <c r="C52" s="71"/>
      <c r="D52" s="998">
        <f t="shared" ref="D52:D62" si="9">D51</f>
        <v>6.6050000000000015E-3</v>
      </c>
      <c r="E52" s="883"/>
      <c r="F52" s="998">
        <f t="shared" ref="F52:F61" si="10">D52</f>
        <v>6.6050000000000015E-3</v>
      </c>
      <c r="G52" s="997">
        <f>G51-$G$49</f>
        <v>0.93394861722250244</v>
      </c>
      <c r="H52" s="997">
        <f t="shared" ref="H52:H62" si="11">F52*G52</f>
        <v>6.1687306167546299E-3</v>
      </c>
      <c r="I52" s="997">
        <v>0</v>
      </c>
    </row>
    <row r="53" spans="1:9" ht="20.100000000000001" customHeight="1">
      <c r="A53" s="276">
        <f>IF(ISBLANK(G53)=TRUE,"",MAX($A$17:A52)+1)</f>
        <v>32</v>
      </c>
      <c r="B53" s="999">
        <f t="shared" ref="B53:B61" si="12">EOMONTH(B52,1)</f>
        <v>45747</v>
      </c>
      <c r="C53" s="71"/>
      <c r="D53" s="998">
        <f t="shared" si="9"/>
        <v>6.6050000000000015E-3</v>
      </c>
      <c r="E53" s="883"/>
      <c r="F53" s="998">
        <f t="shared" si="10"/>
        <v>6.6050000000000015E-3</v>
      </c>
      <c r="G53" s="1001">
        <f t="shared" ref="G53:G62" si="13">G52-$G$49</f>
        <v>0.8364519168038187</v>
      </c>
      <c r="H53" s="997">
        <f t="shared" si="11"/>
        <v>5.5247649104892237E-3</v>
      </c>
      <c r="I53" s="997">
        <f>I52+SUM(H51:H53)</f>
        <v>1.8506191850263889E-2</v>
      </c>
    </row>
    <row r="54" spans="1:9" ht="20.100000000000001" customHeight="1">
      <c r="A54" s="276">
        <f>IF(ISBLANK(G54)=TRUE,"",MAX($A$17:A53)+1)</f>
        <v>33</v>
      </c>
      <c r="B54" s="999">
        <f t="shared" si="12"/>
        <v>45777</v>
      </c>
      <c r="C54" s="71"/>
      <c r="D54" s="998">
        <f t="shared" si="9"/>
        <v>6.6050000000000015E-3</v>
      </c>
      <c r="E54" s="883"/>
      <c r="F54" s="998">
        <f>D54</f>
        <v>6.6050000000000015E-3</v>
      </c>
      <c r="G54" s="997">
        <f>G53-$G$49+I53</f>
        <v>0.75746140823539887</v>
      </c>
      <c r="H54" s="997">
        <f t="shared" si="11"/>
        <v>5.0030326013948108E-3</v>
      </c>
      <c r="I54" s="997">
        <v>0</v>
      </c>
    </row>
    <row r="55" spans="1:9" ht="20.100000000000001" customHeight="1">
      <c r="A55" s="276">
        <f>IF(ISBLANK(G55)=TRUE,"",MAX($A$17:A54)+1)</f>
        <v>34</v>
      </c>
      <c r="B55" s="999">
        <f t="shared" si="12"/>
        <v>45808</v>
      </c>
      <c r="C55" s="71"/>
      <c r="D55" s="998">
        <f t="shared" si="9"/>
        <v>6.6050000000000015E-3</v>
      </c>
      <c r="E55" s="72"/>
      <c r="F55" s="998">
        <f t="shared" si="10"/>
        <v>6.6050000000000015E-3</v>
      </c>
      <c r="G55" s="997">
        <f t="shared" si="13"/>
        <v>0.65996470781671512</v>
      </c>
      <c r="H55" s="997">
        <f t="shared" si="11"/>
        <v>4.3590668951294046E-3</v>
      </c>
      <c r="I55" s="997">
        <v>0</v>
      </c>
    </row>
    <row r="56" spans="1:9" ht="20.100000000000001" customHeight="1">
      <c r="A56" s="276">
        <f>IF(ISBLANK(G56)=TRUE,"",MAX($A$17:A55)+1)</f>
        <v>35</v>
      </c>
      <c r="B56" s="999">
        <f t="shared" si="12"/>
        <v>45838</v>
      </c>
      <c r="C56" s="71"/>
      <c r="D56" s="998">
        <f t="shared" si="9"/>
        <v>6.6050000000000015E-3</v>
      </c>
      <c r="E56" s="72"/>
      <c r="F56" s="998">
        <f t="shared" si="10"/>
        <v>6.6050000000000015E-3</v>
      </c>
      <c r="G56" s="1001">
        <f t="shared" si="13"/>
        <v>0.56246800739803138</v>
      </c>
      <c r="H56" s="997">
        <f t="shared" si="11"/>
        <v>3.715101188863998E-3</v>
      </c>
      <c r="I56" s="997">
        <f>I55+SUM(H54:H56)</f>
        <v>1.3077200685388214E-2</v>
      </c>
    </row>
    <row r="57" spans="1:9" ht="20.100000000000001" customHeight="1">
      <c r="A57" s="276">
        <f>IF(ISBLANK(G57)=TRUE,"",MAX($A$17:A56)+1)</f>
        <v>36</v>
      </c>
      <c r="B57" s="999">
        <f t="shared" si="12"/>
        <v>45869</v>
      </c>
      <c r="C57" s="71"/>
      <c r="D57" s="998">
        <f t="shared" si="9"/>
        <v>6.6050000000000015E-3</v>
      </c>
      <c r="E57" s="72"/>
      <c r="F57" s="998">
        <f>D57</f>
        <v>6.6050000000000015E-3</v>
      </c>
      <c r="G57" s="997">
        <f>G56-$G$49+I56</f>
        <v>0.47804850766473589</v>
      </c>
      <c r="H57" s="997">
        <f t="shared" si="11"/>
        <v>3.1575103931255812E-3</v>
      </c>
      <c r="I57" s="997">
        <v>0</v>
      </c>
    </row>
    <row r="58" spans="1:9" ht="20.100000000000001" customHeight="1">
      <c r="A58" s="276">
        <f>IF(ISBLANK(G58)=TRUE,"",MAX($A$17:A57)+1)</f>
        <v>37</v>
      </c>
      <c r="B58" s="999">
        <f t="shared" si="12"/>
        <v>45900</v>
      </c>
      <c r="C58" s="71"/>
      <c r="D58" s="998">
        <f t="shared" si="9"/>
        <v>6.6050000000000015E-3</v>
      </c>
      <c r="E58" s="72"/>
      <c r="F58" s="998">
        <f t="shared" si="10"/>
        <v>6.6050000000000015E-3</v>
      </c>
      <c r="G58" s="997">
        <f t="shared" si="13"/>
        <v>0.3805518072460522</v>
      </c>
      <c r="H58" s="997">
        <f t="shared" si="11"/>
        <v>2.5135446868601754E-3</v>
      </c>
      <c r="I58" s="997">
        <v>0</v>
      </c>
    </row>
    <row r="59" spans="1:9" ht="20.100000000000001" customHeight="1">
      <c r="A59" s="276">
        <f>IF(ISBLANK(G59)=TRUE,"",MAX($A$17:A58)+1)</f>
        <v>38</v>
      </c>
      <c r="B59" s="999">
        <f t="shared" si="12"/>
        <v>45930</v>
      </c>
      <c r="C59" s="71"/>
      <c r="D59" s="998">
        <f t="shared" si="9"/>
        <v>6.6050000000000015E-3</v>
      </c>
      <c r="E59" s="72"/>
      <c r="F59" s="998">
        <f>D59</f>
        <v>6.6050000000000015E-3</v>
      </c>
      <c r="G59" s="1001">
        <f t="shared" si="13"/>
        <v>0.28305510682736851</v>
      </c>
      <c r="H59" s="997">
        <f t="shared" si="11"/>
        <v>1.8695789805947694E-3</v>
      </c>
      <c r="I59" s="997">
        <f>I58+SUM(H57:H59)</f>
        <v>7.5406340605805268E-3</v>
      </c>
    </row>
    <row r="60" spans="1:9" ht="20.100000000000001" customHeight="1">
      <c r="A60" s="276">
        <f>IF(ISBLANK(G60)=TRUE,"",MAX($A$17:A59)+1)</f>
        <v>39</v>
      </c>
      <c r="B60" s="999">
        <f t="shared" si="12"/>
        <v>45961</v>
      </c>
      <c r="C60" s="71"/>
      <c r="D60" s="998">
        <f t="shared" si="9"/>
        <v>6.6050000000000015E-3</v>
      </c>
      <c r="E60" s="72"/>
      <c r="F60" s="998">
        <f t="shared" si="10"/>
        <v>6.6050000000000015E-3</v>
      </c>
      <c r="G60" s="997">
        <f>G59-$G$49+I59</f>
        <v>0.19309904046926535</v>
      </c>
      <c r="H60" s="997">
        <f t="shared" si="11"/>
        <v>1.2754191622994979E-3</v>
      </c>
      <c r="I60" s="997">
        <v>0</v>
      </c>
    </row>
    <row r="61" spans="1:9" ht="20.100000000000001" customHeight="1">
      <c r="A61" s="276">
        <f>IF(ISBLANK(G61)=TRUE,"",MAX($A$17:A60)+1)</f>
        <v>40</v>
      </c>
      <c r="B61" s="999">
        <f t="shared" si="12"/>
        <v>45991</v>
      </c>
      <c r="C61" s="71"/>
      <c r="D61" s="998">
        <f t="shared" si="9"/>
        <v>6.6050000000000015E-3</v>
      </c>
      <c r="E61" s="72"/>
      <c r="F61" s="998">
        <f t="shared" si="10"/>
        <v>6.6050000000000015E-3</v>
      </c>
      <c r="G61" s="997">
        <f t="shared" si="13"/>
        <v>9.5602340050581644E-2</v>
      </c>
      <c r="H61" s="997">
        <f t="shared" si="11"/>
        <v>6.3145345603409192E-4</v>
      </c>
      <c r="I61" s="997">
        <v>0</v>
      </c>
    </row>
    <row r="62" spans="1:9" ht="20.100000000000001" customHeight="1">
      <c r="A62" s="276">
        <f>IF(ISBLANK(G62)=TRUE,"",MAX($A$17:A61)+1)</f>
        <v>41</v>
      </c>
      <c r="B62" s="999">
        <f>EOMONTH(B61,1)</f>
        <v>46022</v>
      </c>
      <c r="C62" s="71"/>
      <c r="D62" s="998">
        <f t="shared" si="9"/>
        <v>6.6050000000000015E-3</v>
      </c>
      <c r="E62" s="71"/>
      <c r="F62" s="998">
        <f>D62</f>
        <v>6.6050000000000015E-3</v>
      </c>
      <c r="G62" s="1001">
        <f t="shared" si="13"/>
        <v>-1.8943603681020604E-3</v>
      </c>
      <c r="H62" s="997">
        <f t="shared" si="11"/>
        <v>-1.2512250231314112E-5</v>
      </c>
      <c r="I62" s="997">
        <f>I61+SUM(H60:H62)</f>
        <v>1.8943603681022758E-3</v>
      </c>
    </row>
    <row r="63" spans="1:9" ht="20.100000000000001" customHeight="1">
      <c r="A63" s="276" t="str">
        <f>IF(ISBLANK(G63)=TRUE,"",MAX($A$17:A62)+1)</f>
        <v/>
      </c>
      <c r="B63" s="78"/>
      <c r="C63" s="71"/>
      <c r="D63" s="72"/>
      <c r="E63" s="71"/>
      <c r="F63" s="72"/>
      <c r="G63" s="68"/>
      <c r="H63" s="68"/>
      <c r="I63" s="68"/>
    </row>
    <row r="64" spans="1:9" ht="20.100000000000001" customHeight="1">
      <c r="A64" s="276">
        <f>IF(ISBLANK(G64)=TRUE,"",MAX($A$17:A63)+1)</f>
        <v>42</v>
      </c>
      <c r="B64" s="78"/>
      <c r="C64" s="71"/>
      <c r="D64" s="72"/>
      <c r="E64" s="72" t="s">
        <v>1076</v>
      </c>
      <c r="F64" s="72"/>
      <c r="G64" s="997">
        <f>G62+I62</f>
        <v>2.1532255145562118E-16</v>
      </c>
      <c r="H64" s="68"/>
      <c r="I64" s="68"/>
    </row>
    <row r="65" spans="1:10" ht="20.100000000000001" customHeight="1">
      <c r="A65" s="276" t="str">
        <f>IF(ISBLANK(G65)=TRUE,"",MAX($A$17:A64)+1)</f>
        <v/>
      </c>
      <c r="B65" s="78"/>
      <c r="C65" s="71"/>
      <c r="D65" s="72"/>
      <c r="E65" s="71"/>
      <c r="F65" s="72"/>
      <c r="G65" s="68"/>
      <c r="H65" s="68"/>
      <c r="I65" s="68"/>
    </row>
    <row r="66" spans="1:10" ht="20.100000000000001" customHeight="1">
      <c r="A66" s="276">
        <f>IF(ISBLANK(G66)=TRUE,"",MAX($A$17:A65)+1)</f>
        <v>43</v>
      </c>
      <c r="B66" s="78"/>
      <c r="C66" s="71"/>
      <c r="D66" s="1000"/>
      <c r="E66" s="1006"/>
      <c r="F66" s="1007" t="s">
        <v>1070</v>
      </c>
      <c r="G66" s="997">
        <f>G49*12</f>
        <v>1.1699604050242045</v>
      </c>
      <c r="H66" s="68"/>
      <c r="I66" s="68"/>
    </row>
    <row r="67" spans="1:10" ht="20.100000000000001" customHeight="1">
      <c r="A67" s="276">
        <f>IF(ISBLANK(G67)=TRUE,"",MAX($A$17:A66)+1)</f>
        <v>44</v>
      </c>
      <c r="B67" s="78"/>
      <c r="C67" s="71"/>
      <c r="D67" s="72"/>
      <c r="E67" s="71"/>
      <c r="F67" s="72" t="s">
        <v>1071</v>
      </c>
      <c r="G67" s="1001">
        <v>1</v>
      </c>
      <c r="H67" s="68"/>
      <c r="I67" s="68"/>
    </row>
    <row r="68" spans="1:10" ht="20.100000000000001" customHeight="1">
      <c r="A68" s="276">
        <f>IF(ISBLANK(G68)=TRUE,"",MAX($A$17:A67)+1)</f>
        <v>45</v>
      </c>
      <c r="B68" s="78"/>
      <c r="C68" s="71"/>
      <c r="D68" s="1000"/>
      <c r="E68" s="1006"/>
      <c r="F68" s="1007" t="s">
        <v>1072</v>
      </c>
      <c r="G68" s="997">
        <f>G66-G67</f>
        <v>0.16996040502420451</v>
      </c>
      <c r="H68" s="68"/>
      <c r="I68" s="68"/>
    </row>
    <row r="69" spans="1:10" ht="20.100000000000001" customHeight="1">
      <c r="A69" s="276" t="str">
        <f>IF(ISBLANK(G69)=TRUE,"",MAX($A$17:A68)+1)</f>
        <v/>
      </c>
      <c r="B69" s="78"/>
      <c r="C69" s="71"/>
      <c r="D69" s="72"/>
      <c r="E69" s="71"/>
      <c r="F69" s="72"/>
      <c r="G69" s="68"/>
      <c r="H69" s="68"/>
      <c r="I69" s="68"/>
    </row>
    <row r="70" spans="1:10" ht="20.100000000000001" customHeight="1">
      <c r="A70" s="276" t="str">
        <f>IF(ISBLANK(G70)=TRUE,"",MAX($A$17:A69)+1)</f>
        <v/>
      </c>
      <c r="B70" s="78"/>
      <c r="C70" s="71"/>
      <c r="D70" s="72"/>
      <c r="E70" s="71"/>
      <c r="F70" s="72"/>
      <c r="G70" s="68"/>
      <c r="H70" s="68"/>
      <c r="I70" s="68"/>
    </row>
    <row r="71" spans="1:10" ht="20.100000000000001" customHeight="1">
      <c r="A71" s="276" t="str">
        <f>IF(ISBLANK(G71)=TRUE,"",MAX($A$17:A70)+1)</f>
        <v/>
      </c>
      <c r="B71" s="80"/>
      <c r="C71" s="80"/>
      <c r="D71" s="80"/>
      <c r="E71" s="80"/>
      <c r="F71" s="80"/>
      <c r="G71" s="80"/>
      <c r="H71" s="80"/>
      <c r="I71" s="80"/>
    </row>
    <row r="72" spans="1:10" ht="20.100000000000001" customHeight="1">
      <c r="A72" s="1034">
        <f>IF(ISBLANK(G72)=TRUE,"",MAX($A$17:A71)+1)</f>
        <v>46</v>
      </c>
      <c r="B72" s="67" t="s">
        <v>1079</v>
      </c>
      <c r="C72" s="80"/>
      <c r="D72" s="80"/>
      <c r="E72" s="80"/>
      <c r="F72" s="80"/>
      <c r="G72" s="1035">
        <f>+F10</f>
        <v>6800377.8703884706</v>
      </c>
      <c r="H72" s="81"/>
      <c r="I72" s="80"/>
    </row>
    <row r="73" spans="1:10" ht="20.100000000000001" customHeight="1">
      <c r="A73" s="1034">
        <f>IF(ISBLANK(G73)=TRUE,"",MAX($A$17:A72)+1)</f>
        <v>47</v>
      </c>
      <c r="B73" s="67" t="s">
        <v>415</v>
      </c>
      <c r="C73" s="80"/>
      <c r="D73" s="80"/>
      <c r="E73" s="80"/>
      <c r="F73" s="80"/>
      <c r="G73" s="1035">
        <f>G68*G72</f>
        <v>1155794.9771688618</v>
      </c>
      <c r="H73" s="81"/>
      <c r="I73" s="80"/>
    </row>
    <row r="74" spans="1:10" ht="20.100000000000001" customHeight="1">
      <c r="A74" s="1034">
        <f>IF(ISBLANK(G74)=TRUE,"",MAX($A$17:A73)+1)</f>
        <v>48</v>
      </c>
      <c r="B74" s="67" t="s">
        <v>1082</v>
      </c>
      <c r="C74" s="80"/>
      <c r="D74" s="80"/>
      <c r="E74" s="80"/>
      <c r="F74" s="80"/>
      <c r="G74" s="1035">
        <f>G72+G73</f>
        <v>7956172.8475573324</v>
      </c>
      <c r="H74" s="81"/>
      <c r="I74" s="80"/>
    </row>
    <row r="75" spans="1:10" ht="20.100000000000001" customHeight="1">
      <c r="A75" s="276"/>
      <c r="B75" s="67"/>
      <c r="C75" s="80"/>
      <c r="D75" s="80"/>
      <c r="E75" s="80"/>
      <c r="F75" s="80"/>
      <c r="G75" s="80"/>
      <c r="H75" s="81"/>
      <c r="I75" s="80"/>
    </row>
    <row r="76" spans="1:10" ht="48" customHeight="1">
      <c r="A76" s="499" t="s">
        <v>1077</v>
      </c>
      <c r="B76" s="1148" t="s">
        <v>1207</v>
      </c>
      <c r="C76" s="1148"/>
      <c r="D76" s="1148"/>
      <c r="E76" s="1148"/>
      <c r="F76" s="1148"/>
      <c r="G76" s="1148"/>
      <c r="H76" s="1148"/>
      <c r="I76" s="1148"/>
      <c r="J76" s="1148"/>
    </row>
    <row r="77" spans="1:10">
      <c r="A77" s="66" t="s">
        <v>1078</v>
      </c>
      <c r="B77" s="1149" t="s">
        <v>1208</v>
      </c>
      <c r="C77" s="1149"/>
      <c r="D77" s="1149"/>
      <c r="E77" s="1149"/>
      <c r="F77" s="1149"/>
      <c r="G77" s="1149"/>
      <c r="H77" s="1149"/>
      <c r="I77" s="1149"/>
      <c r="J77" s="1149"/>
    </row>
    <row r="78" spans="1:10" ht="30.75" customHeight="1">
      <c r="A78" s="66" t="s">
        <v>1209</v>
      </c>
      <c r="B78" s="1150" t="s">
        <v>1210</v>
      </c>
      <c r="C78" s="1150"/>
      <c r="D78" s="1150"/>
      <c r="E78" s="1150"/>
      <c r="F78" s="1150"/>
      <c r="G78" s="1150"/>
      <c r="H78" s="1150"/>
      <c r="I78" s="1150"/>
      <c r="J78" s="1150"/>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D18:D28 G17:H17 H18:H28 G30 G32 G45 H51:H62 G64 G66 G68 D51:D62 D32:D43 D10" unlockedFormula="1"/>
    <ignoredError sqref="G20 G26 G23 G35 G38 G41 G54 G57 G6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27C6-AF9F-481A-9761-4342AB66683E}">
  <sheetPr codeName="Sheet20"/>
  <dimension ref="A1:L78"/>
  <sheetViews>
    <sheetView view="pageBreakPreview" zoomScale="60" zoomScaleNormal="10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20.88671875" style="64" customWidth="1"/>
    <col min="11" max="16384" width="8.88671875" style="64"/>
  </cols>
  <sheetData>
    <row r="1" spans="1:10" ht="16.5" customHeight="1">
      <c r="B1" s="63"/>
      <c r="C1" s="63"/>
      <c r="J1" s="65" t="str">
        <f>'Attachment H-11A '!K1&amp;""&amp;", Attachment 13a"</f>
        <v>Attachment H -11A, Attachment 13a</v>
      </c>
    </row>
    <row r="2" spans="1:10" ht="16.5" customHeight="1">
      <c r="B2" s="63"/>
      <c r="C2" s="63"/>
      <c r="J2" s="65" t="s">
        <v>168</v>
      </c>
    </row>
    <row r="3" spans="1:10" ht="16.5" customHeight="1">
      <c r="B3" s="63"/>
      <c r="C3" s="63"/>
      <c r="J3" s="65" t="str">
        <f>'Attachment H-11A '!K4</f>
        <v>For the 12 months ended 12/31/2023</v>
      </c>
    </row>
    <row r="4" spans="1:10" ht="20.100000000000001" customHeight="1">
      <c r="B4" s="63"/>
      <c r="C4" s="63"/>
    </row>
    <row r="5" spans="1:10" ht="20.100000000000001" customHeight="1">
      <c r="B5" s="1147" t="s">
        <v>542</v>
      </c>
      <c r="C5" s="1147"/>
      <c r="D5" s="1147"/>
      <c r="E5" s="1147"/>
      <c r="F5" s="1147"/>
      <c r="G5" s="1147"/>
      <c r="H5" s="1147"/>
      <c r="I5" s="1147"/>
    </row>
    <row r="6" spans="1:10" ht="20.100000000000001" customHeight="1">
      <c r="B6" s="1147"/>
      <c r="C6" s="1147"/>
      <c r="D6" s="1147"/>
      <c r="E6" s="1147"/>
      <c r="F6" s="1147"/>
      <c r="G6" s="1147"/>
      <c r="H6" s="1147"/>
      <c r="I6" s="1147"/>
    </row>
    <row r="7" spans="1:10" ht="20.100000000000001" customHeight="1" thickBot="1"/>
    <row r="8" spans="1:10" s="83" customFormat="1" ht="98.25" customHeight="1">
      <c r="B8" s="397" t="s">
        <v>1362</v>
      </c>
      <c r="C8" s="85"/>
      <c r="D8" s="397" t="s">
        <v>1361</v>
      </c>
      <c r="E8" s="85"/>
      <c r="F8" s="84" t="s">
        <v>252</v>
      </c>
      <c r="H8" s="82"/>
      <c r="I8" s="82"/>
    </row>
    <row r="9" spans="1:10" ht="20.100000000000001" customHeight="1">
      <c r="B9" s="69" t="s">
        <v>1205</v>
      </c>
      <c r="C9" s="67"/>
      <c r="D9" s="69" t="s">
        <v>1205</v>
      </c>
      <c r="E9" s="67"/>
      <c r="F9" s="70"/>
      <c r="H9" s="68"/>
      <c r="I9" s="68"/>
    </row>
    <row r="10" spans="1:10" ht="20.100000000000001" customHeight="1" thickBot="1">
      <c r="A10" s="276" t="s">
        <v>245</v>
      </c>
      <c r="B10" s="405">
        <f>'Attachment 12 - TEC True-up'!I34</f>
        <v>332164.50261033338</v>
      </c>
      <c r="C10" s="73" t="str">
        <f>"-"</f>
        <v>-</v>
      </c>
      <c r="D10" s="405">
        <f>'Attachment 12 - TEC True-up'!E15</f>
        <v>399880.074023925</v>
      </c>
      <c r="E10" s="73" t="str">
        <f>"="</f>
        <v>=</v>
      </c>
      <c r="F10" s="74">
        <f>IF(B10=0,0,D10-B10)</f>
        <v>67715.571413591621</v>
      </c>
      <c r="H10" s="68"/>
      <c r="I10" s="68"/>
    </row>
    <row r="11" spans="1:10" ht="20.100000000000001" customHeight="1" thickBot="1">
      <c r="A11" s="276"/>
      <c r="B11" s="75"/>
      <c r="C11" s="76"/>
      <c r="D11" s="75"/>
      <c r="E11" s="76"/>
      <c r="F11" s="75"/>
      <c r="G11" s="77"/>
      <c r="H11" s="77"/>
      <c r="I11" s="77"/>
    </row>
    <row r="12" spans="1:10" ht="20.100000000000001" customHeight="1">
      <c r="A12" s="276"/>
      <c r="B12" s="72"/>
      <c r="C12" s="71"/>
      <c r="D12" s="72"/>
      <c r="E12" s="71"/>
      <c r="F12" s="72"/>
      <c r="G12" s="68"/>
      <c r="H12" s="68"/>
      <c r="I12" s="68"/>
    </row>
    <row r="13" spans="1:10" ht="20.100000000000001" customHeight="1">
      <c r="A13" s="276"/>
      <c r="B13" s="1041" t="s">
        <v>1360</v>
      </c>
      <c r="C13" s="1042"/>
      <c r="D13" s="1043"/>
      <c r="E13" s="1044"/>
      <c r="F13" s="1045"/>
      <c r="G13" s="1045"/>
      <c r="H13" s="68"/>
      <c r="I13" s="68"/>
    </row>
    <row r="14" spans="1:10" ht="20.100000000000001" customHeight="1">
      <c r="A14" s="276"/>
      <c r="B14" s="72"/>
      <c r="C14" s="71"/>
      <c r="D14" s="72"/>
      <c r="E14" s="71"/>
      <c r="F14" s="72"/>
      <c r="G14" s="68"/>
      <c r="H14" s="68"/>
      <c r="I14" s="68"/>
    </row>
    <row r="15" spans="1:10" ht="20.100000000000001" customHeight="1">
      <c r="A15" s="276"/>
      <c r="B15" s="79" t="s">
        <v>688</v>
      </c>
      <c r="C15" s="71"/>
      <c r="D15" s="79" t="s">
        <v>812</v>
      </c>
      <c r="E15" s="71"/>
      <c r="F15" s="79" t="s">
        <v>813</v>
      </c>
      <c r="G15" s="1011" t="s">
        <v>814</v>
      </c>
      <c r="H15" s="1011" t="s">
        <v>808</v>
      </c>
      <c r="I15" s="1011" t="s">
        <v>1073</v>
      </c>
    </row>
    <row r="16" spans="1:10" ht="20.100000000000001" customHeight="1">
      <c r="A16" s="1008" t="s">
        <v>5</v>
      </c>
      <c r="B16" s="1009" t="s">
        <v>690</v>
      </c>
      <c r="C16" s="986"/>
      <c r="D16" s="73" t="s">
        <v>1081</v>
      </c>
      <c r="E16" s="1010"/>
      <c r="F16" s="1009" t="s">
        <v>254</v>
      </c>
      <c r="G16" s="73" t="s">
        <v>1065</v>
      </c>
      <c r="H16" s="1009" t="s">
        <v>415</v>
      </c>
      <c r="I16" s="73" t="s">
        <v>1066</v>
      </c>
    </row>
    <row r="17" spans="1:9" ht="20.100000000000001" customHeight="1">
      <c r="A17" s="276">
        <v>1</v>
      </c>
      <c r="B17" s="1005">
        <v>44947</v>
      </c>
      <c r="C17" s="71"/>
      <c r="D17" s="1044">
        <v>6.6050000000000015E-3</v>
      </c>
      <c r="E17" s="71"/>
      <c r="F17" s="998">
        <f>D17</f>
        <v>6.6050000000000015E-3</v>
      </c>
      <c r="G17" s="997">
        <f>1/12</f>
        <v>8.3333333333333329E-2</v>
      </c>
      <c r="H17" s="997">
        <f>F17*G17</f>
        <v>5.5041666666666672E-4</v>
      </c>
      <c r="I17" s="997">
        <v>0</v>
      </c>
    </row>
    <row r="18" spans="1:9" ht="20.100000000000001" customHeight="1">
      <c r="A18" s="276">
        <f>IF(ISBLANK(G18)=TRUE,"",MAX($A$17:A17)+1)</f>
        <v>2</v>
      </c>
      <c r="B18" s="999">
        <f>EOMONTH(B17,1)</f>
        <v>44985</v>
      </c>
      <c r="C18" s="71"/>
      <c r="D18" s="998">
        <f>D17</f>
        <v>6.6050000000000015E-3</v>
      </c>
      <c r="E18" s="71"/>
      <c r="F18" s="998">
        <f t="shared" ref="F18:F28" si="0">D18</f>
        <v>6.6050000000000015E-3</v>
      </c>
      <c r="G18" s="997">
        <f>G17+1/12</f>
        <v>0.16666666666666666</v>
      </c>
      <c r="H18" s="997">
        <f t="shared" ref="H18:H28" si="1">F18*G18</f>
        <v>1.1008333333333334E-3</v>
      </c>
      <c r="I18" s="997">
        <v>0</v>
      </c>
    </row>
    <row r="19" spans="1:9" ht="20.100000000000001" customHeight="1">
      <c r="A19" s="276">
        <f>IF(ISBLANK(G19)=TRUE,"",MAX($A$17:A18)+1)</f>
        <v>3</v>
      </c>
      <c r="B19" s="999">
        <f t="shared" ref="B19:B27" si="2">EOMONTH(B18,1)</f>
        <v>45016</v>
      </c>
      <c r="C19" s="71"/>
      <c r="D19" s="998">
        <f>D18</f>
        <v>6.6050000000000015E-3</v>
      </c>
      <c r="E19" s="71"/>
      <c r="F19" s="998">
        <f t="shared" si="0"/>
        <v>6.6050000000000015E-3</v>
      </c>
      <c r="G19" s="1001">
        <f t="shared" ref="G19:G28" si="3">G18+1/12</f>
        <v>0.25</v>
      </c>
      <c r="H19" s="997">
        <f t="shared" si="1"/>
        <v>1.6512500000000004E-3</v>
      </c>
      <c r="I19" s="997">
        <f>I18+SUM(H17:H19)</f>
        <v>3.3025000000000007E-3</v>
      </c>
    </row>
    <row r="20" spans="1:9" ht="20.100000000000001" customHeight="1">
      <c r="A20" s="276">
        <f>IF(ISBLANK(G20)=TRUE,"",MAX($A$17:A19)+1)</f>
        <v>4</v>
      </c>
      <c r="B20" s="999">
        <f t="shared" si="2"/>
        <v>45046</v>
      </c>
      <c r="C20" s="71"/>
      <c r="D20" s="998">
        <f>D19</f>
        <v>6.6050000000000015E-3</v>
      </c>
      <c r="E20" s="71"/>
      <c r="F20" s="998">
        <f t="shared" si="0"/>
        <v>6.6050000000000015E-3</v>
      </c>
      <c r="G20" s="997">
        <f>G19+1/12+I19</f>
        <v>0.3366358333333333</v>
      </c>
      <c r="H20" s="997">
        <f t="shared" si="1"/>
        <v>2.2234796791666669E-3</v>
      </c>
      <c r="I20" s="997">
        <v>0</v>
      </c>
    </row>
    <row r="21" spans="1:9" ht="20.100000000000001" customHeight="1">
      <c r="A21" s="276">
        <f>IF(ISBLANK(G21)=TRUE,"",MAX($A$17:A20)+1)</f>
        <v>5</v>
      </c>
      <c r="B21" s="999">
        <f t="shared" si="2"/>
        <v>45077</v>
      </c>
      <c r="C21" s="71"/>
      <c r="D21" s="998">
        <f>D20</f>
        <v>6.6050000000000015E-3</v>
      </c>
      <c r="E21" s="71"/>
      <c r="F21" s="998">
        <f t="shared" si="0"/>
        <v>6.6050000000000015E-3</v>
      </c>
      <c r="G21" s="997">
        <f t="shared" si="3"/>
        <v>0.41996916666666662</v>
      </c>
      <c r="H21" s="997">
        <f t="shared" si="1"/>
        <v>2.7738963458333334E-3</v>
      </c>
      <c r="I21" s="997">
        <v>0</v>
      </c>
    </row>
    <row r="22" spans="1:9" ht="20.100000000000001" customHeight="1">
      <c r="A22" s="276">
        <f>IF(ISBLANK(G22)=TRUE,"",MAX($A$17:A21)+1)</f>
        <v>6</v>
      </c>
      <c r="B22" s="999">
        <f t="shared" si="2"/>
        <v>45107</v>
      </c>
      <c r="C22" s="71"/>
      <c r="D22" s="998">
        <f>D21</f>
        <v>6.6050000000000015E-3</v>
      </c>
      <c r="E22" s="71"/>
      <c r="F22" s="998">
        <f t="shared" si="0"/>
        <v>6.6050000000000015E-3</v>
      </c>
      <c r="G22" s="1001">
        <f t="shared" si="3"/>
        <v>0.50330249999999999</v>
      </c>
      <c r="H22" s="997">
        <f t="shared" si="1"/>
        <v>3.3243130125000008E-3</v>
      </c>
      <c r="I22" s="997">
        <f>I21+SUM(H20:H22)</f>
        <v>8.3216890374999998E-3</v>
      </c>
    </row>
    <row r="23" spans="1:9" ht="20.100000000000001" customHeight="1">
      <c r="A23" s="276">
        <f>IF(ISBLANK(G23)=TRUE,"",MAX($A$17:A22)+1)</f>
        <v>7</v>
      </c>
      <c r="B23" s="999">
        <f t="shared" si="2"/>
        <v>45138</v>
      </c>
      <c r="C23" s="71"/>
      <c r="D23" s="998">
        <f t="shared" ref="D23:D28" si="4">D22</f>
        <v>6.6050000000000015E-3</v>
      </c>
      <c r="E23" s="71"/>
      <c r="F23" s="998">
        <f t="shared" si="0"/>
        <v>6.6050000000000015E-3</v>
      </c>
      <c r="G23" s="997">
        <f>G22+1/12+I22</f>
        <v>0.59495752237083332</v>
      </c>
      <c r="H23" s="997">
        <f t="shared" si="1"/>
        <v>3.9296944352593547E-3</v>
      </c>
      <c r="I23" s="997">
        <v>0</v>
      </c>
    </row>
    <row r="24" spans="1:9" ht="20.100000000000001" customHeight="1">
      <c r="A24" s="276">
        <f>IF(ISBLANK(G24)=TRUE,"",MAX($A$17:A23)+1)</f>
        <v>8</v>
      </c>
      <c r="B24" s="999">
        <f t="shared" si="2"/>
        <v>45169</v>
      </c>
      <c r="C24" s="71"/>
      <c r="D24" s="998">
        <f t="shared" si="4"/>
        <v>6.6050000000000015E-3</v>
      </c>
      <c r="E24" s="71"/>
      <c r="F24" s="998">
        <f t="shared" si="0"/>
        <v>6.6050000000000015E-3</v>
      </c>
      <c r="G24" s="997">
        <f t="shared" si="3"/>
        <v>0.6782908557041667</v>
      </c>
      <c r="H24" s="997">
        <f t="shared" si="1"/>
        <v>4.4801111019260216E-3</v>
      </c>
      <c r="I24" s="997">
        <v>0</v>
      </c>
    </row>
    <row r="25" spans="1:9" ht="20.100000000000001" customHeight="1">
      <c r="A25" s="276">
        <f>IF(ISBLANK(G25)=TRUE,"",MAX($A$17:A24)+1)</f>
        <v>9</v>
      </c>
      <c r="B25" s="999">
        <f t="shared" si="2"/>
        <v>45199</v>
      </c>
      <c r="C25" s="71"/>
      <c r="D25" s="998">
        <f t="shared" si="4"/>
        <v>6.6050000000000015E-3</v>
      </c>
      <c r="E25" s="71"/>
      <c r="F25" s="998">
        <f t="shared" si="0"/>
        <v>6.6050000000000015E-3</v>
      </c>
      <c r="G25" s="1001">
        <f t="shared" si="3"/>
        <v>0.76162418903750007</v>
      </c>
      <c r="H25" s="997">
        <f t="shared" si="1"/>
        <v>5.0305277685926894E-3</v>
      </c>
      <c r="I25" s="997">
        <f>I24+SUM(H23:H25)</f>
        <v>1.3440333305778065E-2</v>
      </c>
    </row>
    <row r="26" spans="1:9" ht="20.100000000000001" customHeight="1">
      <c r="A26" s="276">
        <f>IF(ISBLANK(G26)=TRUE,"",MAX($A$17:A25)+1)</f>
        <v>10</v>
      </c>
      <c r="B26" s="999">
        <f t="shared" si="2"/>
        <v>45230</v>
      </c>
      <c r="C26" s="71"/>
      <c r="D26" s="998">
        <f t="shared" si="4"/>
        <v>6.6050000000000015E-3</v>
      </c>
      <c r="E26" s="71"/>
      <c r="F26" s="998">
        <f t="shared" si="0"/>
        <v>6.6050000000000015E-3</v>
      </c>
      <c r="G26" s="997">
        <f>G25+1/12+I25</f>
        <v>0.85839785567661153</v>
      </c>
      <c r="H26" s="997">
        <f t="shared" si="1"/>
        <v>5.6697178367440208E-3</v>
      </c>
      <c r="I26" s="997">
        <v>0</v>
      </c>
    </row>
    <row r="27" spans="1:9" ht="20.100000000000001" customHeight="1">
      <c r="A27" s="276">
        <f>IF(ISBLANK(G27)=TRUE,"",MAX($A$17:A26)+1)</f>
        <v>11</v>
      </c>
      <c r="B27" s="999">
        <f t="shared" si="2"/>
        <v>45260</v>
      </c>
      <c r="C27" s="71"/>
      <c r="D27" s="998">
        <f t="shared" si="4"/>
        <v>6.6050000000000015E-3</v>
      </c>
      <c r="E27" s="71"/>
      <c r="F27" s="998">
        <f t="shared" si="0"/>
        <v>6.6050000000000015E-3</v>
      </c>
      <c r="G27" s="997">
        <f t="shared" si="3"/>
        <v>0.9417311890099449</v>
      </c>
      <c r="H27" s="997">
        <f t="shared" si="1"/>
        <v>6.2201345034106877E-3</v>
      </c>
      <c r="I27" s="997">
        <v>0</v>
      </c>
    </row>
    <row r="28" spans="1:9" ht="20.100000000000001" customHeight="1">
      <c r="A28" s="276">
        <f>IF(ISBLANK(G28)=TRUE,"",MAX($A$17:A27)+1)</f>
        <v>12</v>
      </c>
      <c r="B28" s="999">
        <f>EOMONTH(B27,1)</f>
        <v>45291</v>
      </c>
      <c r="C28" s="71"/>
      <c r="D28" s="998">
        <f t="shared" si="4"/>
        <v>6.6050000000000015E-3</v>
      </c>
      <c r="E28" s="71"/>
      <c r="F28" s="998">
        <f t="shared" si="0"/>
        <v>6.6050000000000015E-3</v>
      </c>
      <c r="G28" s="1001">
        <f t="shared" si="3"/>
        <v>1.0250645223432782</v>
      </c>
      <c r="H28" s="997">
        <f t="shared" si="1"/>
        <v>6.7705511700773538E-3</v>
      </c>
      <c r="I28" s="997">
        <f>I27+SUM(H26:H28)</f>
        <v>1.8660403510232064E-2</v>
      </c>
    </row>
    <row r="29" spans="1:9" ht="20.100000000000001" customHeight="1">
      <c r="A29" s="276" t="str">
        <f>IF(ISBLANK(G29)=TRUE,"",MAX($A$17:A28)+1)</f>
        <v/>
      </c>
      <c r="B29" s="78"/>
      <c r="C29" s="71"/>
      <c r="D29" s="72"/>
      <c r="E29" s="71"/>
      <c r="F29" s="72"/>
      <c r="G29" s="68"/>
      <c r="H29" s="68"/>
      <c r="I29" s="68"/>
    </row>
    <row r="30" spans="1:9" ht="20.100000000000001" customHeight="1">
      <c r="A30" s="276">
        <f>IF(ISBLANK(G30)=TRUE,"",MAX($A$17:A29)+1)</f>
        <v>13</v>
      </c>
      <c r="B30" s="78"/>
      <c r="C30" s="71"/>
      <c r="E30" s="72" t="s">
        <v>1074</v>
      </c>
      <c r="F30" s="72"/>
      <c r="G30" s="997">
        <f>G28+I28</f>
        <v>1.0437249258535102</v>
      </c>
      <c r="H30" s="68"/>
      <c r="I30" s="68"/>
    </row>
    <row r="31" spans="1:9" ht="20.100000000000001" customHeight="1">
      <c r="A31" s="276" t="str">
        <f>IF(ISBLANK(G31)=TRUE,"",MAX($A$17:A30)+1)</f>
        <v/>
      </c>
      <c r="B31" s="78"/>
      <c r="C31" s="71"/>
      <c r="D31" s="72"/>
      <c r="E31" s="71"/>
      <c r="F31" s="72"/>
      <c r="G31" s="68"/>
      <c r="H31" s="68"/>
      <c r="I31" s="68"/>
    </row>
    <row r="32" spans="1:9" ht="20.100000000000001" customHeight="1">
      <c r="A32" s="276">
        <f>IF(ISBLANK(G32)=TRUE,"",MAX($A$17:A31)+1)</f>
        <v>14</v>
      </c>
      <c r="B32" s="999">
        <f>EOMONTH(B28,1)</f>
        <v>45322</v>
      </c>
      <c r="C32" s="71"/>
      <c r="D32" s="998">
        <f>D28</f>
        <v>6.6050000000000015E-3</v>
      </c>
      <c r="E32" s="71"/>
      <c r="F32" s="998">
        <f>D32</f>
        <v>6.6050000000000015E-3</v>
      </c>
      <c r="G32" s="997">
        <f>G30</f>
        <v>1.0437249258535102</v>
      </c>
      <c r="H32" s="997">
        <f>F32*G32</f>
        <v>6.8938031352624362E-3</v>
      </c>
      <c r="I32" s="997">
        <v>0</v>
      </c>
    </row>
    <row r="33" spans="1:12" ht="20.100000000000001" customHeight="1">
      <c r="A33" s="276">
        <f>IF(ISBLANK(G33)=TRUE,"",MAX($A$17:A32)+1)</f>
        <v>15</v>
      </c>
      <c r="B33" s="999">
        <f>EOMONTH(B32,1)</f>
        <v>45351</v>
      </c>
      <c r="C33" s="71"/>
      <c r="D33" s="998">
        <f>D32</f>
        <v>6.6050000000000015E-3</v>
      </c>
      <c r="E33" s="71"/>
      <c r="F33" s="998">
        <f t="shared" ref="F33:F43" si="5">D33</f>
        <v>6.6050000000000015E-3</v>
      </c>
      <c r="G33" s="997">
        <f>G32</f>
        <v>1.0437249258535102</v>
      </c>
      <c r="H33" s="997">
        <f t="shared" ref="H33:H43" si="6">F33*G33</f>
        <v>6.8938031352624362E-3</v>
      </c>
      <c r="I33" s="997">
        <v>0</v>
      </c>
    </row>
    <row r="34" spans="1:12" ht="20.100000000000001" customHeight="1">
      <c r="A34" s="276">
        <f>IF(ISBLANK(G34)=TRUE,"",MAX($A$17:A33)+1)</f>
        <v>16</v>
      </c>
      <c r="B34" s="999">
        <f t="shared" ref="B34:B42" si="7">EOMONTH(B33,1)</f>
        <v>45382</v>
      </c>
      <c r="C34" s="71"/>
      <c r="D34" s="998">
        <f t="shared" ref="D34:D43" si="8">D33</f>
        <v>6.6050000000000015E-3</v>
      </c>
      <c r="E34" s="71"/>
      <c r="F34" s="998">
        <f t="shared" si="5"/>
        <v>6.6050000000000015E-3</v>
      </c>
      <c r="G34" s="1001">
        <f>G33</f>
        <v>1.0437249258535102</v>
      </c>
      <c r="H34" s="997">
        <f t="shared" si="6"/>
        <v>6.8938031352624362E-3</v>
      </c>
      <c r="I34" s="997">
        <f>I33+SUM(H32:H34)</f>
        <v>2.0681409405787308E-2</v>
      </c>
    </row>
    <row r="35" spans="1:12" ht="20.100000000000001" customHeight="1">
      <c r="A35" s="276">
        <f>IF(ISBLANK(G35)=TRUE,"",MAX($A$17:A34)+1)</f>
        <v>17</v>
      </c>
      <c r="B35" s="999">
        <f t="shared" si="7"/>
        <v>45412</v>
      </c>
      <c r="C35" s="71"/>
      <c r="D35" s="998">
        <f t="shared" si="8"/>
        <v>6.6050000000000015E-3</v>
      </c>
      <c r="E35" s="71"/>
      <c r="F35" s="998">
        <f t="shared" si="5"/>
        <v>6.6050000000000015E-3</v>
      </c>
      <c r="G35" s="997">
        <f>G34+I34</f>
        <v>1.0644063352592974</v>
      </c>
      <c r="H35" s="997">
        <f t="shared" si="6"/>
        <v>7.0304038443876607E-3</v>
      </c>
      <c r="I35" s="997">
        <v>0</v>
      </c>
    </row>
    <row r="36" spans="1:12" ht="20.100000000000001" customHeight="1">
      <c r="A36" s="276">
        <f>IF(ISBLANK(G36)=TRUE,"",MAX($A$17:A35)+1)</f>
        <v>18</v>
      </c>
      <c r="B36" s="999">
        <f t="shared" si="7"/>
        <v>45443</v>
      </c>
      <c r="C36" s="71"/>
      <c r="D36" s="998">
        <f t="shared" si="8"/>
        <v>6.6050000000000015E-3</v>
      </c>
      <c r="E36" s="71"/>
      <c r="F36" s="998">
        <f t="shared" si="5"/>
        <v>6.6050000000000015E-3</v>
      </c>
      <c r="G36" s="997">
        <f>G35</f>
        <v>1.0644063352592974</v>
      </c>
      <c r="H36" s="997">
        <f t="shared" si="6"/>
        <v>7.0304038443876607E-3</v>
      </c>
      <c r="I36" s="997">
        <v>0</v>
      </c>
    </row>
    <row r="37" spans="1:12" ht="20.100000000000001" customHeight="1">
      <c r="A37" s="276">
        <f>IF(ISBLANK(G37)=TRUE,"",MAX($A$17:A36)+1)</f>
        <v>19</v>
      </c>
      <c r="B37" s="999">
        <f t="shared" si="7"/>
        <v>45473</v>
      </c>
      <c r="C37" s="71"/>
      <c r="D37" s="998">
        <f t="shared" si="8"/>
        <v>6.6050000000000015E-3</v>
      </c>
      <c r="E37" s="71"/>
      <c r="F37" s="998">
        <f t="shared" si="5"/>
        <v>6.6050000000000015E-3</v>
      </c>
      <c r="G37" s="1001">
        <f>G36</f>
        <v>1.0644063352592974</v>
      </c>
      <c r="H37" s="997">
        <f t="shared" si="6"/>
        <v>7.0304038443876607E-3</v>
      </c>
      <c r="I37" s="997">
        <f>I36+SUM(H35:H37)</f>
        <v>2.1091211533162981E-2</v>
      </c>
    </row>
    <row r="38" spans="1:12" ht="20.100000000000001" customHeight="1">
      <c r="A38" s="276">
        <f>IF(ISBLANK(G38)=TRUE,"",MAX($A$17:A37)+1)</f>
        <v>20</v>
      </c>
      <c r="B38" s="999">
        <f t="shared" si="7"/>
        <v>45504</v>
      </c>
      <c r="C38" s="71"/>
      <c r="D38" s="998">
        <f t="shared" si="8"/>
        <v>6.6050000000000015E-3</v>
      </c>
      <c r="E38" s="71"/>
      <c r="F38" s="998">
        <f t="shared" si="5"/>
        <v>6.6050000000000015E-3</v>
      </c>
      <c r="G38" s="997">
        <f>G37+I37</f>
        <v>1.0854975467924604</v>
      </c>
      <c r="H38" s="997">
        <f t="shared" si="6"/>
        <v>7.1697112965642025E-3</v>
      </c>
      <c r="I38" s="997">
        <v>0</v>
      </c>
    </row>
    <row r="39" spans="1:12" ht="20.100000000000001" customHeight="1">
      <c r="A39" s="276">
        <f>IF(ISBLANK(G39)=TRUE,"",MAX($A$17:A38)+1)</f>
        <v>21</v>
      </c>
      <c r="B39" s="999">
        <f t="shared" si="7"/>
        <v>45535</v>
      </c>
      <c r="C39" s="71"/>
      <c r="D39" s="998">
        <f t="shared" si="8"/>
        <v>6.6050000000000015E-3</v>
      </c>
      <c r="E39" s="71"/>
      <c r="F39" s="998">
        <f>D39</f>
        <v>6.6050000000000015E-3</v>
      </c>
      <c r="G39" s="997">
        <f>G38</f>
        <v>1.0854975467924604</v>
      </c>
      <c r="H39" s="997">
        <f t="shared" si="6"/>
        <v>7.1697112965642025E-3</v>
      </c>
      <c r="I39" s="997">
        <v>0</v>
      </c>
    </row>
    <row r="40" spans="1:12" ht="20.100000000000001" customHeight="1">
      <c r="A40" s="276">
        <f>IF(ISBLANK(G40)=TRUE,"",MAX($A$17:A39)+1)</f>
        <v>22</v>
      </c>
      <c r="B40" s="999">
        <f t="shared" si="7"/>
        <v>45565</v>
      </c>
      <c r="C40" s="71"/>
      <c r="D40" s="998">
        <f t="shared" si="8"/>
        <v>6.6050000000000015E-3</v>
      </c>
      <c r="E40" s="71"/>
      <c r="F40" s="998">
        <f t="shared" si="5"/>
        <v>6.6050000000000015E-3</v>
      </c>
      <c r="G40" s="1001">
        <f>G39</f>
        <v>1.0854975467924604</v>
      </c>
      <c r="H40" s="997">
        <f t="shared" si="6"/>
        <v>7.1697112965642025E-3</v>
      </c>
      <c r="I40" s="997">
        <f>I39+SUM(H38:H40)</f>
        <v>2.1509133889692608E-2</v>
      </c>
    </row>
    <row r="41" spans="1:12" ht="20.100000000000001" customHeight="1">
      <c r="A41" s="276">
        <f>IF(ISBLANK(G41)=TRUE,"",MAX($A$17:A40)+1)</f>
        <v>23</v>
      </c>
      <c r="B41" s="999">
        <f t="shared" si="7"/>
        <v>45596</v>
      </c>
      <c r="C41" s="71"/>
      <c r="D41" s="998">
        <f t="shared" si="8"/>
        <v>6.6050000000000015E-3</v>
      </c>
      <c r="E41" s="71"/>
      <c r="F41" s="998">
        <f t="shared" si="5"/>
        <v>6.6050000000000015E-3</v>
      </c>
      <c r="G41" s="997">
        <f>G40+I40</f>
        <v>1.107006680682153</v>
      </c>
      <c r="H41" s="997">
        <f t="shared" si="6"/>
        <v>7.3117791259056228E-3</v>
      </c>
      <c r="I41" s="997">
        <v>0</v>
      </c>
    </row>
    <row r="42" spans="1:12" ht="20.100000000000001" customHeight="1">
      <c r="A42" s="276">
        <f>IF(ISBLANK(G42)=TRUE,"",MAX($A$17:A41)+1)</f>
        <v>24</v>
      </c>
      <c r="B42" s="999">
        <f t="shared" si="7"/>
        <v>45626</v>
      </c>
      <c r="C42" s="71"/>
      <c r="D42" s="998">
        <f t="shared" si="8"/>
        <v>6.6050000000000015E-3</v>
      </c>
      <c r="E42" s="71"/>
      <c r="F42" s="998">
        <f t="shared" si="5"/>
        <v>6.6050000000000015E-3</v>
      </c>
      <c r="G42" s="997">
        <f>G41</f>
        <v>1.107006680682153</v>
      </c>
      <c r="H42" s="997">
        <f t="shared" si="6"/>
        <v>7.3117791259056228E-3</v>
      </c>
      <c r="I42" s="997">
        <v>0</v>
      </c>
    </row>
    <row r="43" spans="1:12" ht="20.100000000000001" customHeight="1">
      <c r="A43" s="276">
        <f>IF(ISBLANK(G43)=TRUE,"",MAX($A$17:A42)+1)</f>
        <v>25</v>
      </c>
      <c r="B43" s="999">
        <f>EOMONTH(B42,1)</f>
        <v>45657</v>
      </c>
      <c r="C43" s="71"/>
      <c r="D43" s="998">
        <f t="shared" si="8"/>
        <v>6.6050000000000015E-3</v>
      </c>
      <c r="E43" s="71"/>
      <c r="F43" s="998">
        <f t="shared" si="5"/>
        <v>6.6050000000000015E-3</v>
      </c>
      <c r="G43" s="1001">
        <f>G42</f>
        <v>1.107006680682153</v>
      </c>
      <c r="H43" s="997">
        <f t="shared" si="6"/>
        <v>7.3117791259056228E-3</v>
      </c>
      <c r="I43" s="997">
        <f>I42+SUM(H41:H43)</f>
        <v>2.1935337377716867E-2</v>
      </c>
    </row>
    <row r="44" spans="1:12" ht="20.100000000000001" customHeight="1">
      <c r="A44" s="276" t="str">
        <f>IF(ISBLANK(G44)=TRUE,"",MAX($A$17:A43)+1)</f>
        <v/>
      </c>
      <c r="B44" s="78"/>
      <c r="C44" s="71"/>
      <c r="D44" s="72"/>
      <c r="E44" s="71"/>
      <c r="F44" s="72"/>
      <c r="G44" s="68"/>
      <c r="H44" s="68"/>
      <c r="I44" s="68"/>
    </row>
    <row r="45" spans="1:12" ht="20.100000000000001" customHeight="1">
      <c r="A45" s="276">
        <f>IF(ISBLANK(G45)=TRUE,"",MAX($A$17:A44)+1)</f>
        <v>26</v>
      </c>
      <c r="B45" s="78"/>
      <c r="C45" s="71"/>
      <c r="D45" s="72"/>
      <c r="E45" s="72" t="s">
        <v>1075</v>
      </c>
      <c r="F45" s="72"/>
      <c r="G45" s="997">
        <f>G43+I43</f>
        <v>1.1289420180598699</v>
      </c>
      <c r="H45" s="68"/>
      <c r="I45" s="68"/>
    </row>
    <row r="46" spans="1:12" ht="20.100000000000001" customHeight="1">
      <c r="A46" s="276" t="str">
        <f>IF(ISBLANK(G46)=TRUE,"",MAX($A$17:A45)+1)</f>
        <v/>
      </c>
      <c r="B46" s="78"/>
      <c r="C46" s="71"/>
      <c r="D46" s="72"/>
      <c r="E46" s="72"/>
      <c r="F46" s="72"/>
      <c r="G46" s="997"/>
      <c r="H46" s="68"/>
      <c r="I46" s="68"/>
    </row>
    <row r="47" spans="1:12" ht="20.100000000000001" customHeight="1">
      <c r="A47" s="276">
        <f>IF(ISBLANK(G47)=TRUE,"",MAX($A$17:A46)+1)</f>
        <v>27</v>
      </c>
      <c r="B47" s="78"/>
      <c r="C47" s="71"/>
      <c r="D47" s="72"/>
      <c r="E47" s="883"/>
      <c r="F47" s="1002" t="s">
        <v>1067</v>
      </c>
      <c r="G47" s="1012">
        <f>G45/12</f>
        <v>9.4078501504989157E-2</v>
      </c>
      <c r="H47" s="68"/>
      <c r="I47" s="68"/>
    </row>
    <row r="48" spans="1:12" ht="20.100000000000001" customHeight="1" thickBot="1">
      <c r="A48" s="276">
        <f>IF(ISBLANK(G48)=TRUE,"",MAX($A$17:A47)+1)</f>
        <v>28</v>
      </c>
      <c r="B48" s="78"/>
      <c r="C48" s="71"/>
      <c r="D48" s="72"/>
      <c r="E48" s="883"/>
      <c r="F48" s="1003" t="s">
        <v>1068</v>
      </c>
      <c r="G48" s="1013">
        <v>3.4181989136945479E-3</v>
      </c>
      <c r="H48" s="997" t="s">
        <v>1206</v>
      </c>
      <c r="I48" s="883"/>
      <c r="J48" s="997"/>
      <c r="K48" s="883"/>
      <c r="L48" s="1004"/>
    </row>
    <row r="49" spans="1:9" ht="20.100000000000001" customHeight="1" thickTop="1">
      <c r="A49" s="276">
        <f>IF(ISBLANK(G49)=TRUE,"",MAX($A$17:A48)+1)</f>
        <v>29</v>
      </c>
      <c r="B49" s="78"/>
      <c r="C49" s="71"/>
      <c r="D49" s="72"/>
      <c r="E49" s="883"/>
      <c r="F49" s="1002" t="s">
        <v>1069</v>
      </c>
      <c r="G49" s="997">
        <f>G47+G48</f>
        <v>9.7496700418683704E-2</v>
      </c>
      <c r="H49" s="68"/>
      <c r="I49" s="68"/>
    </row>
    <row r="50" spans="1:9" ht="20.100000000000001" customHeight="1">
      <c r="A50" s="276" t="str">
        <f>IF(ISBLANK(G50)=TRUE,"",MAX($A$17:A49)+1)</f>
        <v/>
      </c>
      <c r="B50" s="78"/>
      <c r="C50" s="71"/>
      <c r="D50" s="72"/>
      <c r="E50" s="883"/>
      <c r="F50" s="1002"/>
      <c r="G50" s="997"/>
      <c r="H50" s="68"/>
      <c r="I50" s="68"/>
    </row>
    <row r="51" spans="1:9" ht="20.100000000000001" customHeight="1">
      <c r="A51" s="276">
        <f>IF(ISBLANK(G51)=TRUE,"",MAX($A$17:A50)+1)</f>
        <v>30</v>
      </c>
      <c r="B51" s="999">
        <f>EOMONTH(B43,1)</f>
        <v>45688</v>
      </c>
      <c r="C51" s="71"/>
      <c r="D51" s="998">
        <f>D41</f>
        <v>6.6050000000000015E-3</v>
      </c>
      <c r="E51" s="883"/>
      <c r="F51" s="998">
        <f>D51</f>
        <v>6.6050000000000015E-3</v>
      </c>
      <c r="G51" s="997">
        <f>$G$45-($G$49*A17)</f>
        <v>1.0314453176411862</v>
      </c>
      <c r="H51" s="997">
        <f>F51*G51</f>
        <v>6.8126963230200361E-3</v>
      </c>
      <c r="I51" s="997">
        <v>0</v>
      </c>
    </row>
    <row r="52" spans="1:9" ht="20.100000000000001" customHeight="1">
      <c r="A52" s="276">
        <f>IF(ISBLANK(G52)=TRUE,"",MAX($A$17:A51)+1)</f>
        <v>31</v>
      </c>
      <c r="B52" s="999">
        <f>EOMONTH(B51,1)</f>
        <v>45716</v>
      </c>
      <c r="C52" s="71"/>
      <c r="D52" s="998">
        <f t="shared" ref="D52:D62" si="9">D51</f>
        <v>6.6050000000000015E-3</v>
      </c>
      <c r="E52" s="883"/>
      <c r="F52" s="998">
        <f t="shared" ref="F52:F61" si="10">D52</f>
        <v>6.6050000000000015E-3</v>
      </c>
      <c r="G52" s="997">
        <f>G51-$G$49</f>
        <v>0.93394861722250244</v>
      </c>
      <c r="H52" s="997">
        <f t="shared" ref="H52:H62" si="11">F52*G52</f>
        <v>6.1687306167546299E-3</v>
      </c>
      <c r="I52" s="997">
        <v>0</v>
      </c>
    </row>
    <row r="53" spans="1:9" ht="20.100000000000001" customHeight="1">
      <c r="A53" s="276">
        <f>IF(ISBLANK(G53)=TRUE,"",MAX($A$17:A52)+1)</f>
        <v>32</v>
      </c>
      <c r="B53" s="999">
        <f t="shared" ref="B53:B61" si="12">EOMONTH(B52,1)</f>
        <v>45747</v>
      </c>
      <c r="C53" s="71"/>
      <c r="D53" s="998">
        <f t="shared" si="9"/>
        <v>6.6050000000000015E-3</v>
      </c>
      <c r="E53" s="883"/>
      <c r="F53" s="998">
        <f t="shared" si="10"/>
        <v>6.6050000000000015E-3</v>
      </c>
      <c r="G53" s="1001">
        <f t="shared" ref="G53:G62" si="13">G52-$G$49</f>
        <v>0.8364519168038187</v>
      </c>
      <c r="H53" s="997">
        <f t="shared" si="11"/>
        <v>5.5247649104892237E-3</v>
      </c>
      <c r="I53" s="997">
        <f>I52+SUM(H51:H53)</f>
        <v>1.8506191850263889E-2</v>
      </c>
    </row>
    <row r="54" spans="1:9" ht="20.100000000000001" customHeight="1">
      <c r="A54" s="276">
        <f>IF(ISBLANK(G54)=TRUE,"",MAX($A$17:A53)+1)</f>
        <v>33</v>
      </c>
      <c r="B54" s="999">
        <f t="shared" si="12"/>
        <v>45777</v>
      </c>
      <c r="C54" s="71"/>
      <c r="D54" s="998">
        <f t="shared" si="9"/>
        <v>6.6050000000000015E-3</v>
      </c>
      <c r="E54" s="883"/>
      <c r="F54" s="998">
        <f t="shared" si="10"/>
        <v>6.6050000000000015E-3</v>
      </c>
      <c r="G54" s="997">
        <f>G53-$G$49+I53</f>
        <v>0.75746140823539887</v>
      </c>
      <c r="H54" s="997">
        <f t="shared" si="11"/>
        <v>5.0030326013948108E-3</v>
      </c>
      <c r="I54" s="997">
        <v>0</v>
      </c>
    </row>
    <row r="55" spans="1:9" ht="20.100000000000001" customHeight="1">
      <c r="A55" s="276">
        <f>IF(ISBLANK(G55)=TRUE,"",MAX($A$17:A54)+1)</f>
        <v>34</v>
      </c>
      <c r="B55" s="999">
        <f t="shared" si="12"/>
        <v>45808</v>
      </c>
      <c r="C55" s="71"/>
      <c r="D55" s="998">
        <f t="shared" si="9"/>
        <v>6.6050000000000015E-3</v>
      </c>
      <c r="E55" s="72"/>
      <c r="F55" s="998">
        <f t="shared" si="10"/>
        <v>6.6050000000000015E-3</v>
      </c>
      <c r="G55" s="997">
        <f t="shared" si="13"/>
        <v>0.65996470781671512</v>
      </c>
      <c r="H55" s="997">
        <f t="shared" si="11"/>
        <v>4.3590668951294046E-3</v>
      </c>
      <c r="I55" s="997">
        <v>0</v>
      </c>
    </row>
    <row r="56" spans="1:9" ht="20.100000000000001" customHeight="1">
      <c r="A56" s="276">
        <f>IF(ISBLANK(G56)=TRUE,"",MAX($A$17:A55)+1)</f>
        <v>35</v>
      </c>
      <c r="B56" s="999">
        <f t="shared" si="12"/>
        <v>45838</v>
      </c>
      <c r="C56" s="71"/>
      <c r="D56" s="998">
        <f t="shared" si="9"/>
        <v>6.6050000000000015E-3</v>
      </c>
      <c r="E56" s="72"/>
      <c r="F56" s="998">
        <f>D56</f>
        <v>6.6050000000000015E-3</v>
      </c>
      <c r="G56" s="1001">
        <f t="shared" si="13"/>
        <v>0.56246800739803138</v>
      </c>
      <c r="H56" s="997">
        <f t="shared" si="11"/>
        <v>3.715101188863998E-3</v>
      </c>
      <c r="I56" s="997">
        <f>I55+SUM(H54:H56)</f>
        <v>1.3077200685388214E-2</v>
      </c>
    </row>
    <row r="57" spans="1:9" ht="20.100000000000001" customHeight="1">
      <c r="A57" s="276">
        <f>IF(ISBLANK(G57)=TRUE,"",MAX($A$17:A56)+1)</f>
        <v>36</v>
      </c>
      <c r="B57" s="999">
        <f t="shared" si="12"/>
        <v>45869</v>
      </c>
      <c r="C57" s="71"/>
      <c r="D57" s="998">
        <f t="shared" si="9"/>
        <v>6.6050000000000015E-3</v>
      </c>
      <c r="E57" s="72"/>
      <c r="F57" s="998">
        <f t="shared" si="10"/>
        <v>6.6050000000000015E-3</v>
      </c>
      <c r="G57" s="997">
        <f>G56-$G$49+I56</f>
        <v>0.47804850766473589</v>
      </c>
      <c r="H57" s="997">
        <f t="shared" si="11"/>
        <v>3.1575103931255812E-3</v>
      </c>
      <c r="I57" s="997">
        <v>0</v>
      </c>
    </row>
    <row r="58" spans="1:9" ht="20.100000000000001" customHeight="1">
      <c r="A58" s="276">
        <f>IF(ISBLANK(G58)=TRUE,"",MAX($A$17:A57)+1)</f>
        <v>37</v>
      </c>
      <c r="B58" s="999">
        <f t="shared" si="12"/>
        <v>45900</v>
      </c>
      <c r="C58" s="71"/>
      <c r="D58" s="998">
        <f t="shared" si="9"/>
        <v>6.6050000000000015E-3</v>
      </c>
      <c r="E58" s="72"/>
      <c r="F58" s="998">
        <f>D58</f>
        <v>6.6050000000000015E-3</v>
      </c>
      <c r="G58" s="997">
        <f t="shared" si="13"/>
        <v>0.3805518072460522</v>
      </c>
      <c r="H58" s="997">
        <f t="shared" si="11"/>
        <v>2.5135446868601754E-3</v>
      </c>
      <c r="I58" s="997">
        <v>0</v>
      </c>
    </row>
    <row r="59" spans="1:9" ht="20.100000000000001" customHeight="1">
      <c r="A59" s="276">
        <f>IF(ISBLANK(G59)=TRUE,"",MAX($A$17:A58)+1)</f>
        <v>38</v>
      </c>
      <c r="B59" s="999">
        <f t="shared" si="12"/>
        <v>45930</v>
      </c>
      <c r="C59" s="71"/>
      <c r="D59" s="998">
        <f t="shared" si="9"/>
        <v>6.6050000000000015E-3</v>
      </c>
      <c r="E59" s="72"/>
      <c r="F59" s="998">
        <f t="shared" si="10"/>
        <v>6.6050000000000015E-3</v>
      </c>
      <c r="G59" s="1001">
        <f t="shared" si="13"/>
        <v>0.28305510682736851</v>
      </c>
      <c r="H59" s="997">
        <f t="shared" si="11"/>
        <v>1.8695789805947694E-3</v>
      </c>
      <c r="I59" s="997">
        <f>I58+SUM(H57:H59)</f>
        <v>7.5406340605805268E-3</v>
      </c>
    </row>
    <row r="60" spans="1:9" ht="20.100000000000001" customHeight="1">
      <c r="A60" s="276">
        <f>IF(ISBLANK(G60)=TRUE,"",MAX($A$17:A59)+1)</f>
        <v>39</v>
      </c>
      <c r="B60" s="999">
        <f t="shared" si="12"/>
        <v>45961</v>
      </c>
      <c r="C60" s="71"/>
      <c r="D60" s="998">
        <f t="shared" si="9"/>
        <v>6.6050000000000015E-3</v>
      </c>
      <c r="E60" s="72"/>
      <c r="F60" s="998">
        <f t="shared" si="10"/>
        <v>6.6050000000000015E-3</v>
      </c>
      <c r="G60" s="997">
        <f>G59-$G$49+I59</f>
        <v>0.19309904046926535</v>
      </c>
      <c r="H60" s="997">
        <f t="shared" si="11"/>
        <v>1.2754191622994979E-3</v>
      </c>
      <c r="I60" s="997">
        <v>0</v>
      </c>
    </row>
    <row r="61" spans="1:9" ht="20.100000000000001" customHeight="1">
      <c r="A61" s="276">
        <f>IF(ISBLANK(G61)=TRUE,"",MAX($A$17:A60)+1)</f>
        <v>40</v>
      </c>
      <c r="B61" s="999">
        <f t="shared" si="12"/>
        <v>45991</v>
      </c>
      <c r="C61" s="71"/>
      <c r="D61" s="998">
        <f t="shared" si="9"/>
        <v>6.6050000000000015E-3</v>
      </c>
      <c r="E61" s="72"/>
      <c r="F61" s="998">
        <f t="shared" si="10"/>
        <v>6.6050000000000015E-3</v>
      </c>
      <c r="G61" s="997">
        <f t="shared" si="13"/>
        <v>9.5602340050581644E-2</v>
      </c>
      <c r="H61" s="997">
        <f t="shared" si="11"/>
        <v>6.3145345603409192E-4</v>
      </c>
      <c r="I61" s="997">
        <v>0</v>
      </c>
    </row>
    <row r="62" spans="1:9" ht="20.100000000000001" customHeight="1">
      <c r="A62" s="276">
        <f>IF(ISBLANK(G62)=TRUE,"",MAX($A$17:A61)+1)</f>
        <v>41</v>
      </c>
      <c r="B62" s="999">
        <f>EOMONTH(B61,1)</f>
        <v>46022</v>
      </c>
      <c r="C62" s="71"/>
      <c r="D62" s="998">
        <f t="shared" si="9"/>
        <v>6.6050000000000015E-3</v>
      </c>
      <c r="E62" s="71"/>
      <c r="F62" s="998">
        <f>D62</f>
        <v>6.6050000000000015E-3</v>
      </c>
      <c r="G62" s="1001">
        <f t="shared" si="13"/>
        <v>-1.8943603681020604E-3</v>
      </c>
      <c r="H62" s="997">
        <f t="shared" si="11"/>
        <v>-1.2512250231314112E-5</v>
      </c>
      <c r="I62" s="997">
        <f>I61+SUM(H60:H62)</f>
        <v>1.8943603681022758E-3</v>
      </c>
    </row>
    <row r="63" spans="1:9" ht="20.100000000000001" customHeight="1">
      <c r="A63" s="276" t="str">
        <f>IF(ISBLANK(G63)=TRUE,"",MAX($A$17:A62)+1)</f>
        <v/>
      </c>
      <c r="B63" s="78"/>
      <c r="C63" s="71"/>
      <c r="D63" s="72"/>
      <c r="E63" s="71"/>
      <c r="F63" s="72"/>
      <c r="G63" s="68"/>
      <c r="H63" s="68"/>
      <c r="I63" s="68"/>
    </row>
    <row r="64" spans="1:9" ht="20.100000000000001" customHeight="1">
      <c r="A64" s="276">
        <f>IF(ISBLANK(G64)=TRUE,"",MAX($A$17:A63)+1)</f>
        <v>42</v>
      </c>
      <c r="B64" s="78"/>
      <c r="C64" s="71"/>
      <c r="D64" s="72"/>
      <c r="E64" s="72" t="s">
        <v>1076</v>
      </c>
      <c r="F64" s="72"/>
      <c r="G64" s="997">
        <f>G62+I62</f>
        <v>2.1532255145562118E-16</v>
      </c>
      <c r="H64" s="68"/>
      <c r="I64" s="68"/>
    </row>
    <row r="65" spans="1:10" ht="20.100000000000001" customHeight="1">
      <c r="A65" s="276" t="str">
        <f>IF(ISBLANK(G65)=TRUE,"",MAX($A$17:A64)+1)</f>
        <v/>
      </c>
      <c r="B65" s="78"/>
      <c r="C65" s="71"/>
      <c r="D65" s="72"/>
      <c r="E65" s="71"/>
      <c r="F65" s="72"/>
      <c r="G65" s="68"/>
      <c r="H65" s="68"/>
      <c r="I65" s="68"/>
    </row>
    <row r="66" spans="1:10" ht="20.100000000000001" customHeight="1">
      <c r="A66" s="276">
        <f>IF(ISBLANK(G66)=TRUE,"",MAX($A$17:A65)+1)</f>
        <v>43</v>
      </c>
      <c r="B66" s="78"/>
      <c r="C66" s="71"/>
      <c r="D66" s="1000"/>
      <c r="E66" s="1006"/>
      <c r="F66" s="1007" t="s">
        <v>1070</v>
      </c>
      <c r="G66" s="997">
        <f>G49*12</f>
        <v>1.1699604050242045</v>
      </c>
      <c r="H66" s="68"/>
      <c r="I66" s="68"/>
    </row>
    <row r="67" spans="1:10" ht="20.100000000000001" customHeight="1">
      <c r="A67" s="276">
        <f>IF(ISBLANK(G67)=TRUE,"",MAX($A$17:A66)+1)</f>
        <v>44</v>
      </c>
      <c r="B67" s="78"/>
      <c r="C67" s="71"/>
      <c r="D67" s="72"/>
      <c r="E67" s="71"/>
      <c r="F67" s="72" t="s">
        <v>1071</v>
      </c>
      <c r="G67" s="1001">
        <v>1</v>
      </c>
      <c r="H67" s="68"/>
      <c r="I67" s="68"/>
    </row>
    <row r="68" spans="1:10" ht="20.100000000000001" customHeight="1">
      <c r="A68" s="276">
        <f>IF(ISBLANK(G68)=TRUE,"",MAX($A$17:A67)+1)</f>
        <v>45</v>
      </c>
      <c r="B68" s="78"/>
      <c r="C68" s="71"/>
      <c r="D68" s="1000"/>
      <c r="E68" s="1006"/>
      <c r="F68" s="1007" t="s">
        <v>1072</v>
      </c>
      <c r="G68" s="997">
        <f>G66-G67</f>
        <v>0.16996040502420451</v>
      </c>
      <c r="H68" s="68"/>
      <c r="I68" s="68"/>
    </row>
    <row r="69" spans="1:10" ht="20.100000000000001" customHeight="1">
      <c r="A69" s="276" t="str">
        <f>IF(ISBLANK(G69)=TRUE,"",MAX($A$17:A68)+1)</f>
        <v/>
      </c>
      <c r="B69" s="78"/>
      <c r="C69" s="71"/>
      <c r="D69" s="72"/>
      <c r="E69" s="71"/>
      <c r="F69" s="72"/>
      <c r="G69" s="68"/>
      <c r="H69" s="68"/>
      <c r="I69" s="68"/>
    </row>
    <row r="70" spans="1:10" ht="20.100000000000001" customHeight="1">
      <c r="A70" s="276" t="str">
        <f>IF(ISBLANK(G70)=TRUE,"",MAX($A$17:A69)+1)</f>
        <v/>
      </c>
      <c r="B70" s="78"/>
      <c r="C70" s="71"/>
      <c r="D70" s="72"/>
      <c r="E70" s="71"/>
      <c r="F70" s="72"/>
      <c r="G70" s="68"/>
      <c r="H70" s="68"/>
      <c r="I70" s="68"/>
    </row>
    <row r="71" spans="1:10" ht="20.100000000000001" customHeight="1">
      <c r="A71" s="276" t="str">
        <f>IF(ISBLANK(G71)=TRUE,"",MAX($A$17:A70)+1)</f>
        <v/>
      </c>
      <c r="B71" s="80"/>
      <c r="C71" s="80"/>
      <c r="D71" s="80"/>
      <c r="E71" s="80"/>
      <c r="F71" s="80"/>
      <c r="G71" s="80"/>
      <c r="H71" s="80"/>
      <c r="I71" s="80"/>
    </row>
    <row r="72" spans="1:10" ht="20.100000000000001" customHeight="1">
      <c r="A72" s="1034">
        <f>IF(ISBLANK(G72)=TRUE,"",MAX($A$17:A71)+1)</f>
        <v>46</v>
      </c>
      <c r="B72" s="67" t="s">
        <v>1079</v>
      </c>
      <c r="C72" s="80"/>
      <c r="D72" s="80"/>
      <c r="E72" s="80"/>
      <c r="F72" s="80"/>
      <c r="G72" s="1035">
        <f>+F10</f>
        <v>67715.571413591621</v>
      </c>
      <c r="H72" s="81"/>
      <c r="I72" s="80"/>
    </row>
    <row r="73" spans="1:10" ht="20.100000000000001" customHeight="1">
      <c r="A73" s="1034">
        <f>IF(ISBLANK(G73)=TRUE,"",MAX($A$17:A72)+1)</f>
        <v>47</v>
      </c>
      <c r="B73" s="67" t="s">
        <v>415</v>
      </c>
      <c r="C73" s="80"/>
      <c r="D73" s="80"/>
      <c r="E73" s="80"/>
      <c r="F73" s="80"/>
      <c r="G73" s="1035">
        <f>G68*G72</f>
        <v>11508.965943899477</v>
      </c>
      <c r="H73" s="81"/>
      <c r="I73" s="80"/>
    </row>
    <row r="74" spans="1:10" ht="20.100000000000001" customHeight="1">
      <c r="A74" s="1034">
        <f>IF(ISBLANK(G74)=TRUE,"",MAX($A$17:A73)+1)</f>
        <v>48</v>
      </c>
      <c r="B74" s="67" t="s">
        <v>1082</v>
      </c>
      <c r="C74" s="80"/>
      <c r="D74" s="80"/>
      <c r="E74" s="80"/>
      <c r="F74" s="80"/>
      <c r="G74" s="1035">
        <f>G72+G73</f>
        <v>79224.537357491092</v>
      </c>
      <c r="H74" s="81"/>
      <c r="I74" s="80"/>
    </row>
    <row r="75" spans="1:10" ht="20.100000000000001" customHeight="1">
      <c r="A75" s="276"/>
      <c r="B75" s="67"/>
      <c r="C75" s="80"/>
      <c r="D75" s="80"/>
      <c r="E75" s="80"/>
      <c r="F75" s="80"/>
      <c r="G75" s="80"/>
      <c r="H75" s="81"/>
      <c r="I75" s="80"/>
    </row>
    <row r="76" spans="1:10" ht="48" customHeight="1">
      <c r="A76" s="499" t="s">
        <v>1077</v>
      </c>
      <c r="B76" s="1148" t="s">
        <v>1207</v>
      </c>
      <c r="C76" s="1148"/>
      <c r="D76" s="1148"/>
      <c r="E76" s="1148"/>
      <c r="F76" s="1148"/>
      <c r="G76" s="1148"/>
      <c r="H76" s="1148"/>
      <c r="I76" s="1148"/>
      <c r="J76" s="1148"/>
    </row>
    <row r="77" spans="1:10">
      <c r="A77" s="66" t="s">
        <v>1078</v>
      </c>
      <c r="B77" s="1149" t="s">
        <v>1208</v>
      </c>
      <c r="C77" s="1149"/>
      <c r="D77" s="1149"/>
      <c r="E77" s="1149"/>
      <c r="F77" s="1149"/>
      <c r="G77" s="1149"/>
      <c r="H77" s="1149"/>
      <c r="I77" s="1149"/>
      <c r="J77" s="1149"/>
    </row>
    <row r="78" spans="1:10" ht="36" customHeight="1">
      <c r="A78" s="66" t="s">
        <v>1209</v>
      </c>
      <c r="B78" s="1150" t="s">
        <v>1257</v>
      </c>
      <c r="C78" s="1150"/>
      <c r="D78" s="1150"/>
      <c r="E78" s="1150"/>
      <c r="F78" s="1150"/>
      <c r="G78" s="1150"/>
      <c r="H78" s="1150"/>
      <c r="I78" s="1150"/>
      <c r="J78" s="1150"/>
    </row>
  </sheetData>
  <mergeCells count="5">
    <mergeCell ref="B5:I5"/>
    <mergeCell ref="B6:I6"/>
    <mergeCell ref="B76:J76"/>
    <mergeCell ref="B77:J77"/>
    <mergeCell ref="B78:J78"/>
  </mergeCells>
  <pageMargins left="0.7" right="0.7" top="0.75" bottom="0.75" header="0.3" footer="0.3"/>
  <pageSetup scale="41" orientation="portrait" r:id="rId1"/>
  <ignoredErrors>
    <ignoredError sqref="B10"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sheetPr codeName="Sheet23"/>
  <dimension ref="B1:Y107"/>
  <sheetViews>
    <sheetView view="pageBreakPreview" zoomScale="60" zoomScaleNormal="100" workbookViewId="0">
      <selection activeCell="B1" sqref="B1"/>
    </sheetView>
  </sheetViews>
  <sheetFormatPr defaultColWidth="8.88671875" defaultRowHeight="15.75"/>
  <cols>
    <col min="1" max="1" width="1.44140625" style="1" customWidth="1"/>
    <col min="2" max="2" width="4.109375" style="660" bestFit="1" customWidth="1"/>
    <col min="3" max="3" width="1.44140625" style="1" customWidth="1"/>
    <col min="4" max="4" width="8.88671875" style="16"/>
    <col min="5" max="5" width="1.44140625" style="1" customWidth="1"/>
    <col min="6" max="6" width="24.33203125" style="666" bestFit="1" customWidth="1"/>
    <col min="7" max="7" width="1.44140625" style="1" customWidth="1"/>
    <col min="8" max="8" width="12.109375" style="666" bestFit="1" customWidth="1"/>
    <col min="9" max="9" width="1.44140625" style="1" customWidth="1"/>
    <col min="10" max="10" width="12.109375" style="666" bestFit="1" customWidth="1"/>
    <col min="11" max="11" width="1.44140625" style="1" customWidth="1"/>
    <col min="12" max="12" width="12.109375" style="666" bestFit="1" customWidth="1"/>
    <col min="13" max="16384" width="8.88671875" style="1"/>
  </cols>
  <sheetData>
    <row r="1" spans="2:24">
      <c r="J1" s="39"/>
      <c r="K1" s="39"/>
      <c r="L1" s="3" t="str">
        <f>'Attachment H-11A '!K1&amp;""&amp;", Attachment 13b"</f>
        <v>Attachment H -11A, Attachment 13b</v>
      </c>
    </row>
    <row r="2" spans="2:24">
      <c r="J2" s="39"/>
      <c r="K2" s="39"/>
      <c r="L2" s="3" t="s">
        <v>168</v>
      </c>
    </row>
    <row r="3" spans="2:24">
      <c r="J3" s="39"/>
      <c r="K3" s="39"/>
      <c r="L3" s="3" t="str">
        <f>'Attachment H-11A '!K4</f>
        <v>For the 12 months ended 12/31/2023</v>
      </c>
    </row>
    <row r="5" spans="2:24">
      <c r="D5" s="702" t="s">
        <v>688</v>
      </c>
      <c r="E5" s="703"/>
      <c r="F5" s="702" t="str">
        <f>"("&amp;CHAR(CODE(MID(D5,2,1))+1)&amp;")"</f>
        <v>(B)</v>
      </c>
      <c r="H5" s="702" t="str">
        <f t="shared" ref="H5" si="0">"("&amp;CHAR(CODE(MID(F5,2,1))+1)&amp;")"</f>
        <v>(C)</v>
      </c>
      <c r="J5" s="702" t="str">
        <f t="shared" ref="J5" si="1">"("&amp;CHAR(CODE(MID(H5,2,1))+1)&amp;")"</f>
        <v>(D)</v>
      </c>
      <c r="L5" s="702" t="str">
        <f>"("&amp;CHAR(CODE(MID(J5,2,1))+1)&amp;")"</f>
        <v>(E)</v>
      </c>
    </row>
    <row r="6" spans="2:24">
      <c r="F6" s="881" t="s">
        <v>689</v>
      </c>
      <c r="G6" s="882"/>
      <c r="H6" s="704"/>
      <c r="I6" s="704"/>
      <c r="J6" s="704"/>
    </row>
    <row r="7" spans="2:24">
      <c r="B7" s="705" t="s">
        <v>5</v>
      </c>
      <c r="D7" s="706" t="s">
        <v>690</v>
      </c>
      <c r="F7" s="705" t="s">
        <v>824</v>
      </c>
      <c r="G7" s="707" t="s">
        <v>691</v>
      </c>
      <c r="H7" s="705" t="s">
        <v>826</v>
      </c>
      <c r="I7" s="707" t="s">
        <v>691</v>
      </c>
      <c r="J7" s="705" t="s">
        <v>1034</v>
      </c>
      <c r="K7" s="707" t="s">
        <v>78</v>
      </c>
      <c r="L7" s="706" t="s">
        <v>9</v>
      </c>
      <c r="N7" s="708"/>
    </row>
    <row r="8" spans="2:24">
      <c r="B8" s="660">
        <v>1</v>
      </c>
      <c r="D8" s="16" t="s">
        <v>181</v>
      </c>
      <c r="F8" s="664">
        <v>4611746.8734180415</v>
      </c>
      <c r="H8" s="654"/>
      <c r="J8" s="654"/>
      <c r="L8" s="654">
        <f>F8-H8-J8</f>
        <v>4611746.8734180415</v>
      </c>
      <c r="N8" s="709"/>
      <c r="O8" s="709"/>
      <c r="P8" s="709"/>
      <c r="Q8" s="709"/>
      <c r="R8" s="709"/>
      <c r="S8" s="709"/>
      <c r="T8" s="709"/>
      <c r="U8" s="709"/>
      <c r="V8" s="709"/>
      <c r="W8" s="709"/>
      <c r="X8" s="709"/>
    </row>
    <row r="9" spans="2:24">
      <c r="B9" s="660">
        <f>MAX($B$8:B8)+1</f>
        <v>2</v>
      </c>
      <c r="D9" s="16" t="s">
        <v>182</v>
      </c>
      <c r="F9" s="664">
        <v>4165448.4864672492</v>
      </c>
      <c r="H9" s="654"/>
      <c r="J9" s="654"/>
      <c r="L9" s="654">
        <f t="shared" ref="L9:L19" si="2">F9-H9-J9</f>
        <v>4165448.4864672492</v>
      </c>
    </row>
    <row r="10" spans="2:24">
      <c r="B10" s="660">
        <f>MAX($B$8:B9)+1</f>
        <v>3</v>
      </c>
      <c r="D10" s="16" t="s">
        <v>183</v>
      </c>
      <c r="F10" s="664">
        <v>4611746.4664152665</v>
      </c>
      <c r="H10" s="654"/>
      <c r="J10" s="654"/>
      <c r="L10" s="654">
        <f t="shared" si="2"/>
        <v>4611746.4664152665</v>
      </c>
    </row>
    <row r="11" spans="2:24">
      <c r="B11" s="660">
        <f>MAX($B$8:B10)+1</f>
        <v>4</v>
      </c>
      <c r="D11" s="16" t="s">
        <v>184</v>
      </c>
      <c r="F11" s="664">
        <v>4462980.4789978508</v>
      </c>
      <c r="H11" s="654"/>
      <c r="J11" s="654"/>
      <c r="L11" s="654">
        <f t="shared" si="2"/>
        <v>4462980.4789978508</v>
      </c>
    </row>
    <row r="12" spans="2:24">
      <c r="B12" s="660">
        <f>MAX($B$8:B11)+1</f>
        <v>5</v>
      </c>
      <c r="D12" s="16" t="s">
        <v>185</v>
      </c>
      <c r="F12" s="664">
        <v>4611746.1089606555</v>
      </c>
      <c r="H12" s="654"/>
      <c r="J12" s="654"/>
      <c r="L12" s="654">
        <f t="shared" si="2"/>
        <v>4611746.1089606555</v>
      </c>
    </row>
    <row r="13" spans="2:24">
      <c r="B13" s="660">
        <f>MAX($B$8:B12)+1</f>
        <v>6</v>
      </c>
      <c r="D13" s="16" t="s">
        <v>195</v>
      </c>
      <c r="F13" s="664">
        <v>4462980.4011364514</v>
      </c>
      <c r="H13" s="654"/>
      <c r="J13" s="654"/>
      <c r="L13" s="654">
        <f t="shared" si="2"/>
        <v>4462980.4011364514</v>
      </c>
    </row>
    <row r="14" spans="2:24">
      <c r="B14" s="660">
        <f>MAX($B$8:B13)+1</f>
        <v>7</v>
      </c>
      <c r="D14" s="16" t="s">
        <v>186</v>
      </c>
      <c r="F14" s="664">
        <v>4611746.940661978</v>
      </c>
      <c r="H14" s="654"/>
      <c r="J14" s="654"/>
      <c r="L14" s="654">
        <f t="shared" si="2"/>
        <v>4611746.940661978</v>
      </c>
    </row>
    <row r="15" spans="2:24">
      <c r="B15" s="660">
        <f>MAX($B$8:B14)+1</f>
        <v>8</v>
      </c>
      <c r="D15" s="16" t="s">
        <v>187</v>
      </c>
      <c r="F15" s="664">
        <v>4611746.4805718847</v>
      </c>
      <c r="H15" s="654"/>
      <c r="J15" s="654"/>
      <c r="L15" s="654">
        <f t="shared" si="2"/>
        <v>4611746.4805718847</v>
      </c>
    </row>
    <row r="16" spans="2:24">
      <c r="B16" s="660">
        <f>MAX($B$8:B15)+1</f>
        <v>9</v>
      </c>
      <c r="D16" s="16" t="s">
        <v>188</v>
      </c>
      <c r="F16" s="664">
        <v>4462980.3657449055</v>
      </c>
      <c r="H16" s="654"/>
      <c r="J16" s="654"/>
      <c r="L16" s="654">
        <f t="shared" si="2"/>
        <v>4462980.3657449055</v>
      </c>
    </row>
    <row r="17" spans="2:12">
      <c r="B17" s="660">
        <f>MAX($B$8:B16)+1</f>
        <v>10</v>
      </c>
      <c r="D17" s="16" t="s">
        <v>190</v>
      </c>
      <c r="F17" s="664">
        <v>4611746.7035386227</v>
      </c>
      <c r="H17" s="654"/>
      <c r="J17" s="654"/>
      <c r="L17" s="654">
        <f>F17-H17-J17</f>
        <v>4611746.7035386227</v>
      </c>
    </row>
    <row r="18" spans="2:12">
      <c r="B18" s="660">
        <f>MAX($B$8:B17)+1</f>
        <v>11</v>
      </c>
      <c r="D18" s="16" t="s">
        <v>189</v>
      </c>
      <c r="F18" s="664">
        <v>4462980.3799015237</v>
      </c>
      <c r="H18" s="654"/>
      <c r="J18" s="654"/>
      <c r="L18" s="654">
        <f t="shared" si="2"/>
        <v>4462980.3799015237</v>
      </c>
    </row>
    <row r="19" spans="2:12">
      <c r="B19" s="660">
        <f>MAX($B$8:B18)+1</f>
        <v>12</v>
      </c>
      <c r="D19" s="16" t="s">
        <v>180</v>
      </c>
      <c r="F19" s="664">
        <v>4611746.9265053608</v>
      </c>
      <c r="H19" s="671"/>
      <c r="J19" s="671"/>
      <c r="L19" s="654">
        <f t="shared" si="2"/>
        <v>4611746.9265053608</v>
      </c>
    </row>
    <row r="20" spans="2:12">
      <c r="B20" s="660">
        <f>MAX($B$8:B19)+1</f>
        <v>13</v>
      </c>
      <c r="D20" s="16" t="s">
        <v>9</v>
      </c>
      <c r="F20" s="710">
        <f>SUM(F8:F19)</f>
        <v>54299596.612319797</v>
      </c>
      <c r="H20" s="664">
        <v>0</v>
      </c>
      <c r="J20" s="664">
        <v>-280734</v>
      </c>
      <c r="L20" s="710">
        <f>F20-H20-J20</f>
        <v>54580330.612319797</v>
      </c>
    </row>
    <row r="22" spans="2:12">
      <c r="D22" s="702"/>
      <c r="E22" s="703"/>
      <c r="F22" s="702"/>
      <c r="H22" s="702"/>
      <c r="J22" s="702"/>
      <c r="L22" s="702"/>
    </row>
    <row r="23" spans="2:12">
      <c r="F23" s="881" t="s">
        <v>689</v>
      </c>
      <c r="G23" s="882"/>
      <c r="H23" s="704"/>
      <c r="I23" s="704"/>
      <c r="J23" s="704"/>
    </row>
    <row r="24" spans="2:12">
      <c r="B24" s="711"/>
      <c r="D24" s="706" t="s">
        <v>690</v>
      </c>
      <c r="F24" s="705" t="s">
        <v>825</v>
      </c>
      <c r="G24" s="707" t="s">
        <v>691</v>
      </c>
      <c r="H24" s="705" t="s">
        <v>826</v>
      </c>
      <c r="I24" s="707" t="s">
        <v>691</v>
      </c>
      <c r="J24" s="705" t="s">
        <v>1034</v>
      </c>
      <c r="K24" s="707" t="s">
        <v>78</v>
      </c>
      <c r="L24" s="706" t="s">
        <v>9</v>
      </c>
    </row>
    <row r="25" spans="2:12">
      <c r="B25" s="660">
        <f>B20+1</f>
        <v>14</v>
      </c>
      <c r="D25" s="16" t="s">
        <v>181</v>
      </c>
      <c r="F25" s="664">
        <v>33312.58950199376</v>
      </c>
      <c r="H25" s="654"/>
      <c r="J25" s="654"/>
      <c r="L25" s="654">
        <f>F25-H25-J25</f>
        <v>33312.58950199376</v>
      </c>
    </row>
    <row r="26" spans="2:12">
      <c r="B26" s="660">
        <f>B25+1</f>
        <v>15</v>
      </c>
      <c r="D26" s="16" t="s">
        <v>182</v>
      </c>
      <c r="F26" s="664">
        <v>33312.58950199376</v>
      </c>
      <c r="H26" s="654"/>
      <c r="J26" s="654"/>
      <c r="L26" s="654">
        <f t="shared" ref="L26:L36" si="3">F26-H26-J26</f>
        <v>33312.58950199376</v>
      </c>
    </row>
    <row r="27" spans="2:12">
      <c r="B27" s="660">
        <f t="shared" ref="B27:B37" si="4">B26+1</f>
        <v>16</v>
      </c>
      <c r="D27" s="16" t="s">
        <v>183</v>
      </c>
      <c r="F27" s="664">
        <v>33312.58950199376</v>
      </c>
      <c r="H27" s="654"/>
      <c r="J27" s="654"/>
      <c r="L27" s="654">
        <f t="shared" si="3"/>
        <v>33312.58950199376</v>
      </c>
    </row>
    <row r="28" spans="2:12">
      <c r="B28" s="660">
        <f t="shared" si="4"/>
        <v>17</v>
      </c>
      <c r="D28" s="16" t="s">
        <v>184</v>
      </c>
      <c r="F28" s="664">
        <v>33312.58950199376</v>
      </c>
      <c r="H28" s="654"/>
      <c r="J28" s="654"/>
      <c r="L28" s="654">
        <f t="shared" si="3"/>
        <v>33312.58950199376</v>
      </c>
    </row>
    <row r="29" spans="2:12">
      <c r="B29" s="660">
        <f t="shared" si="4"/>
        <v>18</v>
      </c>
      <c r="D29" s="16" t="s">
        <v>185</v>
      </c>
      <c r="F29" s="664">
        <v>33312.58950199376</v>
      </c>
      <c r="H29" s="654"/>
      <c r="J29" s="654"/>
      <c r="L29" s="654">
        <f>F29-H29-J29</f>
        <v>33312.58950199376</v>
      </c>
    </row>
    <row r="30" spans="2:12">
      <c r="B30" s="660">
        <f t="shared" si="4"/>
        <v>19</v>
      </c>
      <c r="D30" s="16" t="s">
        <v>195</v>
      </c>
      <c r="F30" s="664">
        <v>33312.58950199376</v>
      </c>
      <c r="H30" s="654"/>
      <c r="J30" s="654"/>
      <c r="L30" s="654">
        <f t="shared" si="3"/>
        <v>33312.58950199376</v>
      </c>
    </row>
    <row r="31" spans="2:12">
      <c r="B31" s="660">
        <f t="shared" si="4"/>
        <v>20</v>
      </c>
      <c r="D31" s="16" t="s">
        <v>186</v>
      </c>
      <c r="F31" s="664">
        <v>33312.58950199376</v>
      </c>
      <c r="H31" s="654"/>
      <c r="J31" s="654"/>
      <c r="L31" s="654">
        <f t="shared" si="3"/>
        <v>33312.58950199376</v>
      </c>
    </row>
    <row r="32" spans="2:12">
      <c r="B32" s="660">
        <f t="shared" si="4"/>
        <v>21</v>
      </c>
      <c r="D32" s="16" t="s">
        <v>187</v>
      </c>
      <c r="F32" s="664">
        <v>33312.58950199376</v>
      </c>
      <c r="H32" s="654"/>
      <c r="J32" s="654"/>
      <c r="L32" s="654">
        <f t="shared" si="3"/>
        <v>33312.58950199376</v>
      </c>
    </row>
    <row r="33" spans="2:25">
      <c r="B33" s="660">
        <f t="shared" si="4"/>
        <v>22</v>
      </c>
      <c r="D33" s="16" t="s">
        <v>188</v>
      </c>
      <c r="F33" s="664">
        <v>33312.58950199376</v>
      </c>
      <c r="H33" s="654"/>
      <c r="J33" s="654"/>
      <c r="L33" s="654">
        <f t="shared" si="3"/>
        <v>33312.58950199376</v>
      </c>
    </row>
    <row r="34" spans="2:25">
      <c r="B34" s="660">
        <f t="shared" si="4"/>
        <v>23</v>
      </c>
      <c r="D34" s="16" t="s">
        <v>190</v>
      </c>
      <c r="F34" s="664">
        <v>33312.58950199376</v>
      </c>
      <c r="H34" s="654"/>
      <c r="J34" s="654"/>
      <c r="L34" s="654">
        <f t="shared" si="3"/>
        <v>33312.58950199376</v>
      </c>
    </row>
    <row r="35" spans="2:25">
      <c r="B35" s="660">
        <f t="shared" si="4"/>
        <v>24</v>
      </c>
      <c r="D35" s="16" t="s">
        <v>189</v>
      </c>
      <c r="F35" s="664">
        <v>33312.58950199376</v>
      </c>
      <c r="H35" s="654"/>
      <c r="J35" s="654"/>
      <c r="L35" s="654">
        <f t="shared" si="3"/>
        <v>33312.58950199376</v>
      </c>
    </row>
    <row r="36" spans="2:25">
      <c r="B36" s="660">
        <f t="shared" si="4"/>
        <v>25</v>
      </c>
      <c r="D36" s="16" t="s">
        <v>180</v>
      </c>
      <c r="F36" s="664">
        <v>33312.58950199376</v>
      </c>
      <c r="H36" s="671"/>
      <c r="J36" s="671"/>
      <c r="L36" s="654">
        <f t="shared" si="3"/>
        <v>33312.58950199376</v>
      </c>
    </row>
    <row r="37" spans="2:25">
      <c r="B37" s="660">
        <f t="shared" si="4"/>
        <v>26</v>
      </c>
      <c r="D37" s="16" t="s">
        <v>9</v>
      </c>
      <c r="F37" s="710">
        <f>SUM(F25:F36)</f>
        <v>399751.074023925</v>
      </c>
      <c r="H37" s="664"/>
      <c r="J37" s="664">
        <v>-129</v>
      </c>
      <c r="L37" s="710">
        <f>F37-H37-J37</f>
        <v>399880.074023925</v>
      </c>
    </row>
    <row r="38" spans="2:25">
      <c r="F38" s="670"/>
      <c r="H38" s="654"/>
      <c r="J38" s="654"/>
      <c r="L38" s="670"/>
    </row>
    <row r="39" spans="2:25">
      <c r="F39" s="670"/>
      <c r="H39" s="654"/>
      <c r="J39" s="654"/>
      <c r="L39" s="670"/>
    </row>
    <row r="40" spans="2:25" ht="15.6" customHeight="1">
      <c r="D40" s="712" t="s">
        <v>176</v>
      </c>
      <c r="F40" s="713"/>
      <c r="H40" s="714"/>
      <c r="I40" s="714"/>
      <c r="J40" s="714"/>
    </row>
    <row r="41" spans="2:25" ht="15.6" customHeight="1">
      <c r="D41" s="712"/>
      <c r="F41" s="713"/>
      <c r="H41" s="714"/>
      <c r="I41" s="714"/>
      <c r="J41" s="714"/>
    </row>
    <row r="42" spans="2:25" ht="15.6" customHeight="1">
      <c r="D42" s="883" t="s">
        <v>830</v>
      </c>
      <c r="F42" s="713"/>
      <c r="H42" s="714"/>
      <c r="I42" s="714"/>
      <c r="J42" s="714"/>
      <c r="L42" s="654"/>
    </row>
    <row r="43" spans="2:25" ht="15.6" customHeight="1">
      <c r="D43" s="1151" t="s">
        <v>1033</v>
      </c>
      <c r="E43" s="1152"/>
      <c r="F43" s="1152"/>
      <c r="G43" s="1152"/>
      <c r="H43" s="1152"/>
      <c r="I43" s="1152"/>
      <c r="J43" s="1152"/>
      <c r="K43" s="1152"/>
      <c r="L43" s="1152"/>
    </row>
    <row r="44" spans="2:25">
      <c r="D44" s="1152"/>
      <c r="E44" s="1152"/>
      <c r="F44" s="1152"/>
      <c r="G44" s="1152"/>
      <c r="H44" s="1152"/>
      <c r="I44" s="1152"/>
      <c r="J44" s="1152"/>
      <c r="K44" s="1152"/>
      <c r="L44" s="1152"/>
    </row>
    <row r="45" spans="2:25">
      <c r="D45" s="1152"/>
      <c r="E45" s="1152"/>
      <c r="F45" s="1152"/>
      <c r="G45" s="1152"/>
      <c r="H45" s="1152"/>
      <c r="I45" s="1152"/>
      <c r="J45" s="1152"/>
      <c r="K45" s="1152"/>
      <c r="L45" s="1152"/>
      <c r="N45" s="708"/>
    </row>
    <row r="46" spans="2:25">
      <c r="D46" s="1152"/>
      <c r="E46" s="1152"/>
      <c r="F46" s="1152"/>
      <c r="G46" s="1152"/>
      <c r="H46" s="1152"/>
      <c r="I46" s="1152"/>
      <c r="J46" s="1152"/>
      <c r="K46" s="1152"/>
      <c r="L46" s="1152"/>
      <c r="N46" s="709"/>
      <c r="O46" s="709"/>
      <c r="P46" s="709"/>
      <c r="Q46" s="709"/>
      <c r="R46" s="709"/>
      <c r="S46" s="709"/>
      <c r="T46" s="709"/>
      <c r="U46" s="709"/>
      <c r="V46" s="709"/>
      <c r="W46" s="709"/>
      <c r="X46" s="709"/>
      <c r="Y46" s="709"/>
    </row>
    <row r="47" spans="2:25" ht="51" customHeight="1">
      <c r="D47" s="1109" t="s">
        <v>1174</v>
      </c>
      <c r="E47" s="1109"/>
      <c r="F47" s="1109"/>
      <c r="G47" s="1109"/>
      <c r="H47" s="1109"/>
      <c r="I47" s="1109"/>
      <c r="J47" s="1109"/>
      <c r="K47" s="1109"/>
      <c r="L47" s="1109"/>
      <c r="N47" s="709"/>
      <c r="O47" s="709"/>
      <c r="P47" s="709"/>
      <c r="Q47" s="709"/>
      <c r="R47" s="709"/>
      <c r="S47" s="709"/>
      <c r="T47" s="709"/>
      <c r="U47" s="709"/>
      <c r="V47" s="709"/>
      <c r="W47" s="709"/>
      <c r="X47" s="709"/>
      <c r="Y47" s="709"/>
    </row>
    <row r="48" spans="2:25">
      <c r="F48" s="713"/>
      <c r="H48" s="714"/>
      <c r="I48" s="714"/>
      <c r="J48" s="714"/>
    </row>
    <row r="49" spans="2:12">
      <c r="F49" s="713"/>
      <c r="H49" s="714"/>
      <c r="I49" s="714"/>
      <c r="J49" s="714"/>
    </row>
    <row r="50" spans="2:12">
      <c r="F50" s="713"/>
      <c r="H50" s="714"/>
      <c r="I50" s="714"/>
      <c r="J50" s="714"/>
    </row>
    <row r="51" spans="2:12">
      <c r="B51" s="1"/>
      <c r="D51" s="1"/>
      <c r="F51" s="713"/>
      <c r="H51" s="714"/>
      <c r="I51" s="714"/>
      <c r="J51" s="714"/>
      <c r="L51" s="1"/>
    </row>
    <row r="52" spans="2:12">
      <c r="B52" s="1"/>
      <c r="D52" s="1"/>
      <c r="F52" s="713"/>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c r="B66" s="1"/>
      <c r="D66" s="1"/>
      <c r="F66"/>
      <c r="L66" s="1"/>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row>
    <row r="94" spans="6:6" s="1" customFormat="1">
      <c r="F94" s="715"/>
    </row>
    <row r="95" spans="6:6" s="1" customFormat="1">
      <c r="F95" s="715"/>
    </row>
    <row r="96" spans="6:6" s="1" customFormat="1">
      <c r="F96" s="715"/>
    </row>
    <row r="97" spans="6:6" s="1" customFormat="1">
      <c r="F97" s="715"/>
    </row>
    <row r="98" spans="6:6" s="1" customFormat="1">
      <c r="F98" s="715"/>
    </row>
    <row r="99" spans="6:6" s="1" customFormat="1">
      <c r="F99" s="715"/>
    </row>
    <row r="100" spans="6:6" s="1" customFormat="1">
      <c r="F100" s="715"/>
    </row>
    <row r="101" spans="6:6" s="1" customFormat="1">
      <c r="F101" s="715"/>
    </row>
    <row r="102" spans="6:6" s="1" customFormat="1">
      <c r="F102" s="715"/>
    </row>
    <row r="103" spans="6:6" s="1" customFormat="1">
      <c r="F103" s="715"/>
    </row>
    <row r="104" spans="6:6" s="1" customFormat="1">
      <c r="F104" s="715"/>
    </row>
    <row r="105" spans="6:6" s="1" customFormat="1">
      <c r="F105" s="715"/>
    </row>
    <row r="106" spans="6:6" s="1" customFormat="1">
      <c r="F106" s="715"/>
    </row>
    <row r="107" spans="6:6" s="1" customFormat="1">
      <c r="F107" s="715"/>
    </row>
  </sheetData>
  <mergeCells count="2">
    <mergeCell ref="D43:L46"/>
    <mergeCell ref="D47:L47"/>
  </mergeCells>
  <pageMargins left="0.7" right="0.7" top="0.75" bottom="0.75" header="0.3" footer="0.3"/>
  <pageSetup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53024-4FB6-425E-879F-4BDCFAB522C0}">
  <sheetPr codeName="Sheet24"/>
  <dimension ref="A1:AF71"/>
  <sheetViews>
    <sheetView view="pageBreakPreview" zoomScale="60" zoomScaleNormal="90" workbookViewId="0"/>
  </sheetViews>
  <sheetFormatPr defaultColWidth="8.88671875" defaultRowHeight="15.75"/>
  <cols>
    <col min="1" max="1" width="7.33203125" style="39" bestFit="1" customWidth="1"/>
    <col min="2" max="2" width="3.21875" style="33" customWidth="1"/>
    <col min="3" max="3" width="67.6640625" style="33" customWidth="1"/>
    <col min="4" max="4" width="22" style="33" bestFit="1" customWidth="1"/>
    <col min="5" max="5" width="1" style="33" customWidth="1"/>
    <col min="6" max="6" width="15.44140625" style="39"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10.21875" style="33" bestFit="1" customWidth="1"/>
    <col min="13" max="13" width="1.77734375" style="33" customWidth="1"/>
    <col min="14" max="14" width="10.21875" style="33" bestFit="1" customWidth="1"/>
    <col min="15" max="15" width="1.77734375" style="33" customWidth="1"/>
    <col min="16" max="16" width="10.21875" style="33" bestFit="1" customWidth="1"/>
    <col min="17" max="17" width="1.77734375" style="33" customWidth="1"/>
    <col min="18" max="18" width="10.21875" style="33" bestFit="1" customWidth="1"/>
    <col min="19" max="19" width="1.77734375" style="33" customWidth="1"/>
    <col min="20" max="20" width="10.21875" style="33" bestFit="1" customWidth="1"/>
    <col min="21" max="21" width="1.77734375" style="33" customWidth="1"/>
    <col min="22" max="22" width="10.21875" style="33" bestFit="1" customWidth="1"/>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909"/>
      <c r="C1" s="909"/>
      <c r="D1" s="909"/>
      <c r="AD1" s="691" t="s">
        <v>967</v>
      </c>
    </row>
    <row r="2" spans="1:32" ht="20.100000000000001" customHeight="1">
      <c r="B2" s="909"/>
      <c r="C2" s="909"/>
      <c r="D2" s="909"/>
      <c r="AD2" s="691" t="s">
        <v>168</v>
      </c>
    </row>
    <row r="3" spans="1:32" ht="20.100000000000001" customHeight="1">
      <c r="B3" s="909"/>
      <c r="C3" s="909"/>
      <c r="D3" s="909"/>
      <c r="J3" s="910"/>
      <c r="K3" s="910"/>
      <c r="L3" s="911" t="s">
        <v>504</v>
      </c>
      <c r="M3" s="910"/>
      <c r="N3" s="910"/>
      <c r="AD3" s="912" t="s">
        <v>1302</v>
      </c>
    </row>
    <row r="4" spans="1:32" ht="20.100000000000001" customHeight="1">
      <c r="A4" s="42"/>
      <c r="B4" s="909"/>
      <c r="C4" s="909"/>
      <c r="D4" s="909"/>
    </row>
    <row r="5" spans="1:32">
      <c r="A5" s="913"/>
      <c r="B5" s="914"/>
      <c r="C5" s="915" t="s">
        <v>688</v>
      </c>
      <c r="D5" s="915" t="str">
        <f>"("&amp;CHAR(CODE(MID(C5,2,1))+1)&amp;")"</f>
        <v>(B)</v>
      </c>
      <c r="E5" s="914"/>
      <c r="F5" s="915" t="str">
        <f>"("&amp;CHAR(CODE(MID(D5,2,1))+1)&amp;")"</f>
        <v>(C)</v>
      </c>
      <c r="G5" s="914"/>
      <c r="H5" s="915" t="str">
        <f>"("&amp;CHAR(CODE(MID(F5,2,1))+1)&amp;")"</f>
        <v>(D)</v>
      </c>
      <c r="I5" s="914"/>
      <c r="J5" s="915" t="str">
        <f>"("&amp;CHAR(CODE(MID(H5,2,1))+1)&amp;")"</f>
        <v>(E)</v>
      </c>
      <c r="K5" s="914"/>
      <c r="L5" s="915" t="str">
        <f>"("&amp;CHAR(CODE(MID(J5,2,1))+1)&amp;")"</f>
        <v>(F)</v>
      </c>
      <c r="M5" s="914"/>
      <c r="N5" s="915" t="str">
        <f>"("&amp;CHAR(CODE(MID(L5,2,1))+1)&amp;")"</f>
        <v>(G)</v>
      </c>
      <c r="O5" s="914"/>
      <c r="P5" s="915" t="str">
        <f>"("&amp;CHAR(CODE(MID(N5,2,1))+1)&amp;")"</f>
        <v>(H)</v>
      </c>
      <c r="Q5" s="914"/>
      <c r="R5" s="915" t="str">
        <f>"("&amp;CHAR(CODE(MID(P5,2,1))+1)&amp;")"</f>
        <v>(I)</v>
      </c>
      <c r="S5" s="914"/>
      <c r="T5" s="915" t="str">
        <f>"("&amp;CHAR(CODE(MID(R5,2,1))+1)&amp;")"</f>
        <v>(J)</v>
      </c>
      <c r="U5" s="914"/>
      <c r="V5" s="915" t="str">
        <f>"("&amp;CHAR(CODE(MID(T5,2,1))+1)&amp;")"</f>
        <v>(K)</v>
      </c>
      <c r="W5" s="914"/>
      <c r="X5" s="915" t="str">
        <f>"("&amp;CHAR(CODE(MID(V5,2,1))+1)&amp;")"</f>
        <v>(L)</v>
      </c>
      <c r="Y5" s="914"/>
      <c r="Z5" s="915" t="str">
        <f>"("&amp;CHAR(CODE(MID(X5,2,1))+1)&amp;")"</f>
        <v>(M)</v>
      </c>
      <c r="AA5" s="914"/>
      <c r="AB5" s="915" t="str">
        <f>"("&amp;CHAR(CODE(MID(Z5,2,1))+1)&amp;")"</f>
        <v>(N)</v>
      </c>
      <c r="AC5" s="914"/>
      <c r="AD5" s="915" t="str">
        <f>"("&amp;CHAR(CODE(MID(AB5,2,1))+1)&amp;")"</f>
        <v>(O)</v>
      </c>
      <c r="AE5" s="914"/>
      <c r="AF5" s="915" t="str">
        <f>"("&amp;CHAR(CODE(MID(AD5,2,1))+1)&amp;")"</f>
        <v>(P)</v>
      </c>
    </row>
    <row r="6" spans="1:32">
      <c r="A6" s="913"/>
      <c r="B6" s="914"/>
      <c r="C6" s="914"/>
      <c r="D6" s="914"/>
      <c r="E6" s="914"/>
      <c r="F6" s="915"/>
      <c r="G6" s="914"/>
      <c r="H6" s="915"/>
      <c r="I6" s="914"/>
      <c r="J6" s="915"/>
      <c r="K6" s="914"/>
      <c r="L6" s="915"/>
      <c r="M6" s="914"/>
      <c r="N6" s="915"/>
      <c r="O6" s="914"/>
      <c r="P6" s="915"/>
      <c r="Q6" s="914"/>
      <c r="R6" s="915"/>
      <c r="S6" s="914"/>
      <c r="T6" s="915"/>
      <c r="U6" s="914"/>
      <c r="V6" s="915"/>
      <c r="W6" s="914"/>
      <c r="X6" s="915"/>
      <c r="Y6" s="914"/>
      <c r="Z6" s="915"/>
      <c r="AA6" s="914"/>
      <c r="AB6" s="915"/>
      <c r="AC6" s="913"/>
      <c r="AD6" s="915"/>
      <c r="AE6" s="913"/>
      <c r="AF6" s="913"/>
    </row>
    <row r="7" spans="1:32">
      <c r="A7" s="913"/>
      <c r="B7" s="914"/>
      <c r="C7" s="914"/>
      <c r="E7" s="914"/>
      <c r="F7" s="916">
        <v>2022</v>
      </c>
      <c r="G7" s="914"/>
      <c r="H7" s="917">
        <f>$F$7+1</f>
        <v>2023</v>
      </c>
      <c r="I7" s="914"/>
      <c r="J7" s="917">
        <f>$F$7+1</f>
        <v>2023</v>
      </c>
      <c r="K7" s="914"/>
      <c r="L7" s="917">
        <f>$F$7+1</f>
        <v>2023</v>
      </c>
      <c r="M7" s="914"/>
      <c r="N7" s="917">
        <f>$F$7+1</f>
        <v>2023</v>
      </c>
      <c r="O7" s="914"/>
      <c r="P7" s="917">
        <f>$F$7+1</f>
        <v>2023</v>
      </c>
      <c r="Q7" s="914"/>
      <c r="R7" s="917">
        <f>$F$7+1</f>
        <v>2023</v>
      </c>
      <c r="S7" s="914"/>
      <c r="T7" s="917">
        <f>$F$7+1</f>
        <v>2023</v>
      </c>
      <c r="U7" s="914"/>
      <c r="V7" s="917">
        <f>$F$7+1</f>
        <v>2023</v>
      </c>
      <c r="W7" s="914"/>
      <c r="X7" s="917">
        <f>$F$7+1</f>
        <v>2023</v>
      </c>
      <c r="Y7" s="914"/>
      <c r="Z7" s="917">
        <f>$F$7+1</f>
        <v>2023</v>
      </c>
      <c r="AA7" s="914"/>
      <c r="AB7" s="917">
        <f>$F$7+1</f>
        <v>2023</v>
      </c>
      <c r="AC7" s="914"/>
      <c r="AD7" s="917">
        <f>$F$7+1</f>
        <v>2023</v>
      </c>
      <c r="AE7" s="913"/>
      <c r="AF7" s="913"/>
    </row>
    <row r="8" spans="1:32" ht="20.100000000000001" customHeight="1">
      <c r="A8" s="918" t="s">
        <v>729</v>
      </c>
      <c r="B8" s="919"/>
      <c r="C8" s="920" t="s">
        <v>968</v>
      </c>
      <c r="D8" s="921" t="s">
        <v>969</v>
      </c>
      <c r="E8" s="922"/>
      <c r="F8" s="923" t="s">
        <v>216</v>
      </c>
      <c r="G8" s="919"/>
      <c r="H8" s="923" t="s">
        <v>732</v>
      </c>
      <c r="I8" s="919"/>
      <c r="J8" s="923" t="s">
        <v>733</v>
      </c>
      <c r="K8" s="919"/>
      <c r="L8" s="923" t="s">
        <v>734</v>
      </c>
      <c r="M8" s="919"/>
      <c r="N8" s="923" t="s">
        <v>735</v>
      </c>
      <c r="O8" s="919"/>
      <c r="P8" s="923" t="s">
        <v>736</v>
      </c>
      <c r="Q8" s="919"/>
      <c r="R8" s="923" t="s">
        <v>737</v>
      </c>
      <c r="S8" s="919"/>
      <c r="T8" s="923" t="s">
        <v>738</v>
      </c>
      <c r="U8" s="919"/>
      <c r="V8" s="923" t="s">
        <v>739</v>
      </c>
      <c r="W8" s="919"/>
      <c r="X8" s="923" t="s">
        <v>740</v>
      </c>
      <c r="Y8" s="919"/>
      <c r="Z8" s="923" t="s">
        <v>741</v>
      </c>
      <c r="AA8" s="919"/>
      <c r="AB8" s="923" t="s">
        <v>742</v>
      </c>
      <c r="AC8" s="919"/>
      <c r="AD8" s="923" t="s">
        <v>216</v>
      </c>
      <c r="AE8" s="924"/>
      <c r="AF8" s="925" t="s">
        <v>743</v>
      </c>
    </row>
    <row r="9" spans="1:32" ht="20.100000000000001" customHeight="1">
      <c r="A9" s="926"/>
      <c r="B9" s="919"/>
      <c r="C9" s="927"/>
      <c r="D9" s="927"/>
      <c r="E9" s="922"/>
      <c r="F9" s="928"/>
      <c r="G9" s="919"/>
      <c r="H9" s="928"/>
      <c r="I9" s="919"/>
      <c r="J9" s="928"/>
      <c r="K9" s="919"/>
      <c r="L9" s="928"/>
      <c r="M9" s="919"/>
      <c r="N9" s="928"/>
      <c r="O9" s="919"/>
      <c r="P9" s="928"/>
      <c r="Q9" s="919"/>
      <c r="R9" s="928"/>
      <c r="S9" s="919"/>
      <c r="T9" s="928"/>
      <c r="U9" s="919"/>
      <c r="V9" s="928"/>
      <c r="W9" s="919"/>
      <c r="X9" s="928"/>
      <c r="Y9" s="919"/>
      <c r="Z9" s="928"/>
      <c r="AA9" s="919"/>
      <c r="AB9" s="928"/>
      <c r="AC9" s="919"/>
      <c r="AD9" s="928"/>
      <c r="AE9" s="924"/>
      <c r="AF9" s="929"/>
    </row>
    <row r="10" spans="1:32" ht="20.100000000000001" customHeight="1">
      <c r="A10" s="930">
        <v>1</v>
      </c>
      <c r="B10" s="919"/>
      <c r="C10" s="931" t="s">
        <v>1088</v>
      </c>
      <c r="D10" s="932"/>
      <c r="E10" s="922"/>
      <c r="F10" s="929"/>
      <c r="G10" s="919"/>
      <c r="H10" s="929"/>
      <c r="I10" s="919"/>
      <c r="J10" s="929"/>
      <c r="K10" s="919"/>
      <c r="L10" s="929"/>
      <c r="M10" s="919"/>
      <c r="N10" s="929"/>
      <c r="O10" s="919"/>
      <c r="P10" s="929"/>
      <c r="Q10" s="919"/>
      <c r="R10" s="929"/>
      <c r="S10" s="919"/>
      <c r="T10" s="929"/>
      <c r="U10" s="919"/>
      <c r="V10" s="929"/>
      <c r="W10" s="919"/>
      <c r="X10" s="929"/>
      <c r="Y10" s="919"/>
      <c r="Z10" s="929"/>
      <c r="AA10" s="919"/>
      <c r="AB10" s="929"/>
      <c r="AC10" s="919"/>
      <c r="AD10" s="929"/>
      <c r="AE10" s="924"/>
      <c r="AF10" s="933"/>
    </row>
    <row r="11" spans="1:32" ht="10.5" customHeight="1">
      <c r="A11" s="913"/>
      <c r="B11" s="913"/>
      <c r="C11" s="934"/>
      <c r="D11" s="934"/>
      <c r="E11" s="922"/>
      <c r="F11" s="928"/>
      <c r="G11" s="919"/>
      <c r="H11" s="928"/>
      <c r="I11" s="919"/>
      <c r="J11" s="928"/>
      <c r="K11" s="919"/>
      <c r="L11" s="928"/>
      <c r="M11" s="919"/>
      <c r="N11" s="928"/>
      <c r="O11" s="919"/>
      <c r="P11" s="928"/>
      <c r="Q11" s="919"/>
      <c r="R11" s="928"/>
      <c r="S11" s="919"/>
      <c r="T11" s="928"/>
      <c r="U11" s="919"/>
      <c r="V11" s="928"/>
      <c r="W11" s="919"/>
      <c r="X11" s="928"/>
      <c r="Y11" s="919"/>
      <c r="Z11" s="928"/>
      <c r="AA11" s="919"/>
      <c r="AB11" s="928"/>
      <c r="AC11" s="919"/>
      <c r="AD11" s="928"/>
      <c r="AE11" s="924"/>
      <c r="AF11" s="929"/>
    </row>
    <row r="12" spans="1:32" ht="18.75" customHeight="1">
      <c r="A12" s="935">
        <v>1.01</v>
      </c>
      <c r="B12" s="913"/>
      <c r="C12" s="936" t="s">
        <v>1316</v>
      </c>
      <c r="D12" s="936" t="s">
        <v>52</v>
      </c>
      <c r="E12" s="922"/>
      <c r="F12" s="86">
        <v>204364.2847203</v>
      </c>
      <c r="G12" s="919"/>
      <c r="H12" s="86">
        <v>143636.48324959414</v>
      </c>
      <c r="I12" s="919"/>
      <c r="J12" s="86">
        <v>111941.07039487278</v>
      </c>
      <c r="K12" s="919"/>
      <c r="L12" s="86">
        <v>108619.85588991486</v>
      </c>
      <c r="M12" s="919"/>
      <c r="N12" s="86">
        <v>73419.89971172942</v>
      </c>
      <c r="O12" s="919"/>
      <c r="P12" s="86">
        <v>37422.123675230047</v>
      </c>
      <c r="Q12" s="919"/>
      <c r="R12" s="86">
        <v>2157.0456440062144</v>
      </c>
      <c r="S12" s="919"/>
      <c r="T12" s="86">
        <v>160662.29852382548</v>
      </c>
      <c r="U12" s="919"/>
      <c r="V12" s="86">
        <v>127842.22200809988</v>
      </c>
      <c r="W12" s="919"/>
      <c r="X12" s="86">
        <v>138701.41959990756</v>
      </c>
      <c r="Y12" s="919"/>
      <c r="Z12" s="86">
        <v>301822.91682046239</v>
      </c>
      <c r="AA12" s="919"/>
      <c r="AB12" s="86">
        <v>263641.34682749241</v>
      </c>
      <c r="AC12" s="919"/>
      <c r="AD12" s="86">
        <v>226112.53853677923</v>
      </c>
      <c r="AE12" s="924"/>
      <c r="AF12" s="933">
        <f>SUM(F12:AD12)/13</f>
        <v>146180.26966170879</v>
      </c>
    </row>
    <row r="13" spans="1:32" ht="18.75" customHeight="1">
      <c r="A13" s="935">
        <v>1.02</v>
      </c>
      <c r="B13" s="913"/>
      <c r="C13" s="936" t="s">
        <v>1316</v>
      </c>
      <c r="D13" s="936" t="s">
        <v>35</v>
      </c>
      <c r="E13" s="922"/>
      <c r="F13" s="86">
        <v>969.40126809099991</v>
      </c>
      <c r="G13" s="919"/>
      <c r="H13" s="86">
        <v>1439.6772225674754</v>
      </c>
      <c r="I13" s="919"/>
      <c r="J13" s="86">
        <v>4851.0985332973669</v>
      </c>
      <c r="K13" s="919"/>
      <c r="L13" s="86">
        <v>4272.2998689253045</v>
      </c>
      <c r="M13" s="919"/>
      <c r="N13" s="86">
        <v>3693.4680849226411</v>
      </c>
      <c r="O13" s="919"/>
      <c r="P13" s="86">
        <v>4353.3104853738087</v>
      </c>
      <c r="Q13" s="919"/>
      <c r="R13" s="86">
        <v>3779.3804067000005</v>
      </c>
      <c r="S13" s="919"/>
      <c r="T13" s="86">
        <v>3205.450328026192</v>
      </c>
      <c r="U13" s="919"/>
      <c r="V13" s="86">
        <v>2631.553368982984</v>
      </c>
      <c r="W13" s="919"/>
      <c r="X13" s="86">
        <v>2239.7812586112095</v>
      </c>
      <c r="Y13" s="919"/>
      <c r="Z13" s="86">
        <v>1687.4782987194424</v>
      </c>
      <c r="AA13" s="919"/>
      <c r="AB13" s="86">
        <v>1591.9612840679758</v>
      </c>
      <c r="AC13" s="919"/>
      <c r="AD13" s="86">
        <v>998.12630740334509</v>
      </c>
      <c r="AE13" s="924"/>
      <c r="AF13" s="933">
        <f>SUM(F13:AD13)/13</f>
        <v>2747.1528242837499</v>
      </c>
    </row>
    <row r="14" spans="1:32" ht="20.100000000000001" customHeight="1">
      <c r="A14" s="913">
        <f>A10+1</f>
        <v>2</v>
      </c>
      <c r="B14" s="914"/>
      <c r="C14" s="390" t="str">
        <f ca="1">"Sum of Lines "&amp;A12&amp;" through "&amp;OFFSET(A14,-1,0)</f>
        <v>Sum of Lines 1.01 through 1.02</v>
      </c>
      <c r="E14" s="922"/>
      <c r="F14" s="938">
        <f>SUM(F12:F13)</f>
        <v>205333.68598839099</v>
      </c>
      <c r="G14" s="919"/>
      <c r="H14" s="938">
        <f>SUM(H12:H13)</f>
        <v>145076.1604721616</v>
      </c>
      <c r="I14" s="914"/>
      <c r="J14" s="938">
        <f>SUM(J12:J13)</f>
        <v>116792.16892817014</v>
      </c>
      <c r="K14" s="914"/>
      <c r="L14" s="938">
        <f>SUM(L12:L13)</f>
        <v>112892.15575884016</v>
      </c>
      <c r="M14" s="914"/>
      <c r="N14" s="938">
        <f>SUM(N12:N13)</f>
        <v>77113.367796652063</v>
      </c>
      <c r="O14" s="914"/>
      <c r="P14" s="938">
        <f>SUM(P12:P13)</f>
        <v>41775.434160603858</v>
      </c>
      <c r="Q14" s="914"/>
      <c r="R14" s="938">
        <f>SUM(R12:R13)</f>
        <v>5936.4260507062154</v>
      </c>
      <c r="S14" s="914"/>
      <c r="T14" s="938">
        <f>SUM(T12:T13)</f>
        <v>163867.74885185168</v>
      </c>
      <c r="U14" s="914"/>
      <c r="V14" s="938">
        <f>SUM(V12:V13)</f>
        <v>130473.77537708287</v>
      </c>
      <c r="W14" s="914"/>
      <c r="X14" s="938">
        <f>SUM(X12:X13)</f>
        <v>140941.20085851877</v>
      </c>
      <c r="Y14" s="914"/>
      <c r="Z14" s="938">
        <f>SUM(Z12:Z13)</f>
        <v>303510.39511918183</v>
      </c>
      <c r="AA14" s="914"/>
      <c r="AB14" s="938">
        <f>SUM(AB12:AB13)</f>
        <v>265233.30811156036</v>
      </c>
      <c r="AC14" s="914"/>
      <c r="AD14" s="938">
        <f>SUM(AD12:AD13)</f>
        <v>227110.66484418258</v>
      </c>
      <c r="AE14" s="924"/>
      <c r="AF14" s="938">
        <f>SUM(AF12:AF13)</f>
        <v>148927.42248599255</v>
      </c>
    </row>
    <row r="15" spans="1:32" ht="20.100000000000001" customHeight="1">
      <c r="A15" s="913">
        <v>2.0099999999999998</v>
      </c>
      <c r="B15" s="914"/>
      <c r="C15" s="33" t="s">
        <v>1211</v>
      </c>
      <c r="E15" s="922"/>
      <c r="F15" s="1054"/>
      <c r="G15" s="919"/>
      <c r="H15" s="1053"/>
      <c r="I15" s="914"/>
      <c r="J15" s="1053"/>
      <c r="K15" s="914"/>
      <c r="L15" s="1053"/>
      <c r="M15" s="914"/>
      <c r="N15" s="1053"/>
      <c r="O15" s="914"/>
      <c r="P15" s="1053"/>
      <c r="Q15" s="914"/>
      <c r="R15" s="1053"/>
      <c r="S15" s="914"/>
      <c r="T15" s="1053"/>
      <c r="U15" s="914"/>
      <c r="V15" s="1053"/>
      <c r="W15" s="914"/>
      <c r="X15" s="1053"/>
      <c r="Y15" s="914"/>
      <c r="Z15" s="1053"/>
      <c r="AA15" s="914"/>
      <c r="AB15" s="1053"/>
      <c r="AC15" s="914"/>
      <c r="AD15" s="1054"/>
      <c r="AE15" s="924"/>
      <c r="AF15" s="1053"/>
    </row>
    <row r="16" spans="1:32" ht="20.100000000000001" customHeight="1">
      <c r="A16" s="913"/>
      <c r="B16" s="914"/>
      <c r="E16" s="922"/>
      <c r="F16" s="928"/>
      <c r="G16" s="919"/>
      <c r="H16" s="928"/>
      <c r="I16" s="919"/>
      <c r="J16" s="928"/>
      <c r="K16" s="919"/>
      <c r="L16" s="928"/>
      <c r="M16" s="919"/>
      <c r="N16" s="928"/>
      <c r="O16" s="919"/>
      <c r="P16" s="928"/>
      <c r="Q16" s="919"/>
      <c r="R16" s="928"/>
      <c r="S16" s="919"/>
      <c r="T16" s="928"/>
      <c r="U16" s="919"/>
      <c r="V16" s="928"/>
      <c r="W16" s="919"/>
      <c r="X16" s="928"/>
      <c r="Y16" s="919"/>
      <c r="Z16" s="928"/>
      <c r="AA16" s="919"/>
      <c r="AB16" s="928"/>
      <c r="AC16" s="919"/>
      <c r="AD16" s="928"/>
      <c r="AE16" s="924"/>
      <c r="AF16" s="929"/>
    </row>
    <row r="17" spans="1:32" ht="20.100000000000001" customHeight="1">
      <c r="A17" s="913">
        <f>A14+1</f>
        <v>3</v>
      </c>
      <c r="B17" s="913"/>
      <c r="C17" s="921" t="s">
        <v>970</v>
      </c>
      <c r="D17" s="939"/>
      <c r="E17" s="922"/>
      <c r="F17" s="937"/>
      <c r="G17" s="919"/>
      <c r="H17" s="937"/>
      <c r="I17" s="919"/>
      <c r="J17" s="937"/>
      <c r="K17" s="919"/>
      <c r="L17" s="937"/>
      <c r="M17" s="919"/>
      <c r="N17" s="937"/>
      <c r="O17" s="919"/>
      <c r="P17" s="937"/>
      <c r="Q17" s="919"/>
      <c r="R17" s="937"/>
      <c r="S17" s="919"/>
      <c r="T17" s="937"/>
      <c r="U17" s="919"/>
      <c r="V17" s="937"/>
      <c r="W17" s="919"/>
      <c r="X17" s="937"/>
      <c r="Y17" s="919"/>
      <c r="Z17" s="937"/>
      <c r="AA17" s="919"/>
      <c r="AB17" s="937"/>
      <c r="AC17" s="919"/>
      <c r="AD17" s="937"/>
      <c r="AE17" s="924"/>
      <c r="AF17" s="933">
        <f>SUM(F17:AD17)/13</f>
        <v>0</v>
      </c>
    </row>
    <row r="18" spans="1:32" ht="20.100000000000001" customHeight="1">
      <c r="A18" s="913"/>
      <c r="B18" s="913"/>
      <c r="C18" s="934" t="s">
        <v>971</v>
      </c>
      <c r="D18" s="940"/>
      <c r="E18" s="922"/>
      <c r="F18" s="937"/>
      <c r="G18" s="919"/>
      <c r="H18" s="928"/>
      <c r="I18" s="919"/>
      <c r="J18" s="928"/>
      <c r="K18" s="919"/>
      <c r="L18" s="928"/>
      <c r="M18" s="919"/>
      <c r="N18" s="928"/>
      <c r="O18" s="919"/>
      <c r="P18" s="928"/>
      <c r="Q18" s="919"/>
      <c r="R18" s="928"/>
      <c r="S18" s="919"/>
      <c r="T18" s="928"/>
      <c r="U18" s="919"/>
      <c r="V18" s="928"/>
      <c r="W18" s="919"/>
      <c r="X18" s="928"/>
      <c r="Y18" s="919"/>
      <c r="Z18" s="928"/>
      <c r="AA18" s="919"/>
      <c r="AB18" s="928"/>
      <c r="AC18" s="919"/>
      <c r="AD18" s="937"/>
      <c r="AE18" s="924"/>
      <c r="AF18" s="929"/>
    </row>
    <row r="19" spans="1:32" ht="20.100000000000001" customHeight="1">
      <c r="A19" s="913"/>
      <c r="B19" s="913"/>
      <c r="C19" s="934"/>
      <c r="D19" s="940"/>
      <c r="E19" s="922"/>
      <c r="F19" s="928"/>
      <c r="G19" s="919"/>
      <c r="H19" s="928"/>
      <c r="I19" s="919"/>
      <c r="J19" s="928"/>
      <c r="K19" s="919"/>
      <c r="L19" s="928"/>
      <c r="M19" s="919"/>
      <c r="N19" s="928"/>
      <c r="O19" s="919"/>
      <c r="P19" s="928"/>
      <c r="Q19" s="919"/>
      <c r="R19" s="928"/>
      <c r="S19" s="919"/>
      <c r="T19" s="928"/>
      <c r="U19" s="919"/>
      <c r="V19" s="928"/>
      <c r="W19" s="919"/>
      <c r="X19" s="928"/>
      <c r="Y19" s="919"/>
      <c r="Z19" s="928"/>
      <c r="AA19" s="919"/>
      <c r="AB19" s="928"/>
      <c r="AC19" s="919"/>
      <c r="AD19" s="928"/>
      <c r="AE19" s="924"/>
      <c r="AF19" s="929"/>
    </row>
    <row r="20" spans="1:32" ht="20.100000000000001" customHeight="1">
      <c r="A20" s="913">
        <f>A17+1</f>
        <v>4</v>
      </c>
      <c r="B20" s="913"/>
      <c r="C20" s="921" t="s">
        <v>972</v>
      </c>
      <c r="D20" s="939"/>
      <c r="E20" s="922"/>
      <c r="F20" s="937"/>
      <c r="G20" s="919"/>
      <c r="H20" s="937"/>
      <c r="I20" s="919"/>
      <c r="J20" s="937"/>
      <c r="K20" s="919"/>
      <c r="L20" s="937"/>
      <c r="M20" s="919"/>
      <c r="N20" s="937"/>
      <c r="O20" s="919"/>
      <c r="P20" s="937"/>
      <c r="Q20" s="919"/>
      <c r="R20" s="937"/>
      <c r="S20" s="919"/>
      <c r="T20" s="937"/>
      <c r="U20" s="919"/>
      <c r="V20" s="937"/>
      <c r="W20" s="919"/>
      <c r="X20" s="937"/>
      <c r="Y20" s="919"/>
      <c r="Z20" s="937"/>
      <c r="AA20" s="919"/>
      <c r="AB20" s="937"/>
      <c r="AC20" s="919"/>
      <c r="AD20" s="937"/>
      <c r="AE20" s="924"/>
      <c r="AF20" s="933">
        <f>SUM(F20:AD20)/13</f>
        <v>0</v>
      </c>
    </row>
    <row r="21" spans="1:32" ht="20.100000000000001" customHeight="1">
      <c r="A21" s="913"/>
      <c r="B21" s="913"/>
      <c r="C21" s="941" t="s">
        <v>973</v>
      </c>
      <c r="D21" s="941"/>
      <c r="E21" s="922"/>
      <c r="F21" s="937"/>
      <c r="G21" s="919"/>
      <c r="H21" s="928"/>
      <c r="I21" s="919"/>
      <c r="J21" s="928"/>
      <c r="K21" s="919"/>
      <c r="L21" s="928"/>
      <c r="M21" s="919"/>
      <c r="N21" s="928"/>
      <c r="O21" s="919"/>
      <c r="P21" s="928"/>
      <c r="Q21" s="919"/>
      <c r="R21" s="928"/>
      <c r="S21" s="919"/>
      <c r="T21" s="928"/>
      <c r="U21" s="919"/>
      <c r="V21" s="928"/>
      <c r="W21" s="919"/>
      <c r="X21" s="928"/>
      <c r="Y21" s="919"/>
      <c r="Z21" s="928"/>
      <c r="AA21" s="919"/>
      <c r="AB21" s="928"/>
      <c r="AC21" s="919"/>
      <c r="AD21" s="937"/>
      <c r="AE21" s="924"/>
      <c r="AF21" s="933"/>
    </row>
    <row r="22" spans="1:32" ht="20.100000000000001" customHeight="1">
      <c r="A22" s="913"/>
      <c r="B22" s="913"/>
      <c r="C22" s="941"/>
      <c r="D22" s="941"/>
      <c r="E22" s="922"/>
      <c r="F22" s="928"/>
      <c r="G22" s="919"/>
      <c r="H22" s="928"/>
      <c r="I22" s="919"/>
      <c r="J22" s="928"/>
      <c r="K22" s="919"/>
      <c r="L22" s="928"/>
      <c r="M22" s="919"/>
      <c r="N22" s="928"/>
      <c r="O22" s="919"/>
      <c r="P22" s="928"/>
      <c r="Q22" s="919"/>
      <c r="R22" s="928"/>
      <c r="S22" s="919"/>
      <c r="T22" s="928"/>
      <c r="U22" s="919"/>
      <c r="V22" s="928"/>
      <c r="W22" s="919"/>
      <c r="X22" s="928"/>
      <c r="Y22" s="919"/>
      <c r="Z22" s="928"/>
      <c r="AA22" s="919"/>
      <c r="AB22" s="928"/>
      <c r="AC22" s="919"/>
      <c r="AD22" s="928"/>
      <c r="AE22" s="924"/>
      <c r="AF22" s="929"/>
    </row>
    <row r="23" spans="1:32" ht="20.100000000000001" customHeight="1">
      <c r="A23" s="913"/>
      <c r="B23" s="913"/>
      <c r="C23" s="941"/>
      <c r="D23" s="941"/>
      <c r="E23" s="922"/>
      <c r="F23" s="928"/>
      <c r="G23" s="919"/>
      <c r="H23" s="928"/>
      <c r="I23" s="919"/>
      <c r="J23" s="928"/>
      <c r="K23" s="919"/>
      <c r="L23" s="928"/>
      <c r="M23" s="919"/>
      <c r="N23" s="928"/>
      <c r="O23" s="919"/>
      <c r="P23" s="928"/>
      <c r="Q23" s="919"/>
      <c r="R23" s="928"/>
      <c r="S23" s="919"/>
      <c r="T23" s="928"/>
      <c r="U23" s="919"/>
      <c r="V23" s="928"/>
      <c r="W23" s="919"/>
      <c r="X23" s="928"/>
      <c r="Y23" s="919"/>
      <c r="Z23" s="928"/>
      <c r="AA23" s="919"/>
      <c r="AB23" s="928"/>
      <c r="AC23" s="919"/>
      <c r="AD23" s="928"/>
      <c r="AE23" s="924"/>
      <c r="AF23" s="929"/>
    </row>
    <row r="24" spans="1:32" ht="20.100000000000001" customHeight="1">
      <c r="A24" s="930">
        <v>5</v>
      </c>
      <c r="B24" s="919"/>
      <c r="C24" s="942" t="s">
        <v>1212</v>
      </c>
      <c r="D24" s="942"/>
      <c r="E24" s="44"/>
      <c r="F24" s="44"/>
      <c r="G24" s="44"/>
      <c r="H24" s="44"/>
      <c r="I24" s="919"/>
      <c r="J24" s="943"/>
      <c r="K24" s="919"/>
      <c r="L24" s="943"/>
      <c r="M24" s="919"/>
      <c r="N24" s="943"/>
      <c r="O24" s="919"/>
      <c r="P24" s="943"/>
      <c r="Q24" s="919"/>
      <c r="R24" s="943"/>
      <c r="S24" s="919"/>
      <c r="T24" s="943"/>
      <c r="U24" s="919"/>
      <c r="V24" s="943"/>
      <c r="W24" s="919"/>
      <c r="X24" s="943"/>
      <c r="Y24" s="919"/>
      <c r="Z24" s="943"/>
      <c r="AA24" s="919"/>
      <c r="AB24" s="943"/>
      <c r="AC24" s="919"/>
      <c r="AD24" s="943"/>
      <c r="AE24" s="924"/>
      <c r="AF24" s="943"/>
    </row>
    <row r="25" spans="1:32" ht="20.100000000000001" customHeight="1">
      <c r="A25" s="930">
        <v>6</v>
      </c>
      <c r="B25" s="919"/>
      <c r="C25" s="932" t="s">
        <v>974</v>
      </c>
      <c r="D25" s="932"/>
      <c r="E25" s="919"/>
      <c r="F25" s="943"/>
      <c r="G25" s="919"/>
      <c r="H25" s="943"/>
      <c r="I25" s="919"/>
      <c r="J25" s="943"/>
      <c r="K25" s="919"/>
      <c r="L25" s="943"/>
      <c r="M25" s="919"/>
      <c r="N25" s="943"/>
      <c r="O25" s="919"/>
      <c r="P25" s="943"/>
      <c r="Q25" s="919"/>
      <c r="R25" s="943"/>
      <c r="S25" s="919"/>
      <c r="T25" s="943"/>
      <c r="U25" s="919"/>
      <c r="V25" s="943"/>
      <c r="W25" s="919"/>
      <c r="X25" s="943"/>
      <c r="Y25" s="919"/>
      <c r="Z25" s="943"/>
      <c r="AA25" s="919"/>
      <c r="AB25" s="943"/>
      <c r="AC25" s="919"/>
      <c r="AD25" s="943"/>
      <c r="AE25" s="924"/>
      <c r="AF25" s="943"/>
    </row>
    <row r="26" spans="1:32" ht="20.100000000000001" customHeight="1">
      <c r="A26" s="913"/>
      <c r="B26" s="913"/>
      <c r="C26" s="913"/>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3"/>
      <c r="AE26" s="913"/>
      <c r="AF26" s="913"/>
    </row>
    <row r="27" spans="1:32">
      <c r="A27" s="944">
        <f>A25+0.01</f>
        <v>6.01</v>
      </c>
      <c r="B27" s="914"/>
      <c r="C27" s="945" t="s">
        <v>1317</v>
      </c>
      <c r="D27" s="945" t="s">
        <v>35</v>
      </c>
      <c r="E27" s="914"/>
      <c r="F27" s="936">
        <v>-66.513517779545893</v>
      </c>
      <c r="G27" s="914"/>
      <c r="H27" s="936">
        <v>-5448.179233760834</v>
      </c>
      <c r="I27" s="914"/>
      <c r="J27" s="936">
        <v>-6938.562610777476</v>
      </c>
      <c r="K27" s="914"/>
      <c r="L27" s="936">
        <v>-5448.179233760834</v>
      </c>
      <c r="M27" s="914"/>
      <c r="N27" s="936">
        <v>-5448.179233760834</v>
      </c>
      <c r="O27" s="914"/>
      <c r="P27" s="936">
        <v>-66.239261200739634</v>
      </c>
      <c r="Q27" s="914"/>
      <c r="R27" s="936">
        <v>-66.239261200739634</v>
      </c>
      <c r="S27" s="914"/>
      <c r="T27" s="936">
        <v>-66.239261200739634</v>
      </c>
      <c r="U27" s="914"/>
      <c r="V27" s="936">
        <v>0</v>
      </c>
      <c r="W27" s="914"/>
      <c r="X27" s="936">
        <v>0</v>
      </c>
      <c r="Y27" s="914"/>
      <c r="Z27" s="936">
        <v>-2980.7667540332832</v>
      </c>
      <c r="AA27" s="914"/>
      <c r="AB27" s="936">
        <v>-662.39261200739622</v>
      </c>
      <c r="AC27" s="914"/>
      <c r="AD27" s="936">
        <v>-662.39261200739622</v>
      </c>
      <c r="AE27" s="914"/>
      <c r="AF27" s="933">
        <f>SUM(F27:AD27)/13</f>
        <v>-2142.6064301146012</v>
      </c>
    </row>
    <row r="28" spans="1:32">
      <c r="A28" s="944">
        <f>A27+0.01</f>
        <v>6.02</v>
      </c>
      <c r="B28" s="914"/>
      <c r="C28" s="945" t="s">
        <v>1318</v>
      </c>
      <c r="D28" s="945" t="s">
        <v>35</v>
      </c>
      <c r="E28" s="914"/>
      <c r="F28" s="936">
        <v>-32589.357928994326</v>
      </c>
      <c r="G28" s="914"/>
      <c r="H28" s="936">
        <v>-32454.98585348159</v>
      </c>
      <c r="I28" s="914"/>
      <c r="J28" s="936">
        <v>-32454.98585348159</v>
      </c>
      <c r="K28" s="914"/>
      <c r="L28" s="936">
        <v>-28595.919615557101</v>
      </c>
      <c r="M28" s="914"/>
      <c r="N28" s="936">
        <v>-28595.919615557101</v>
      </c>
      <c r="O28" s="914"/>
      <c r="P28" s="936">
        <v>-28595.919615557101</v>
      </c>
      <c r="Q28" s="914"/>
      <c r="R28" s="936">
        <v>-29140.24074447418</v>
      </c>
      <c r="S28" s="914"/>
      <c r="T28" s="936">
        <v>-29140.24074447418</v>
      </c>
      <c r="U28" s="914"/>
      <c r="V28" s="936">
        <v>-29140.24074447418</v>
      </c>
      <c r="W28" s="914"/>
      <c r="X28" s="936">
        <v>-28402.500972850943</v>
      </c>
      <c r="Y28" s="914"/>
      <c r="Z28" s="936">
        <v>-28402.500972850943</v>
      </c>
      <c r="AA28" s="914"/>
      <c r="AB28" s="936">
        <v>-28402.500972850943</v>
      </c>
      <c r="AC28" s="914"/>
      <c r="AD28" s="936">
        <v>-32853.514368495838</v>
      </c>
      <c r="AE28" s="914"/>
      <c r="AF28" s="933">
        <f>SUM(F28:AD28)/13</f>
        <v>-29905.294461776924</v>
      </c>
    </row>
    <row r="29" spans="1:32">
      <c r="A29" s="913">
        <f>A25+1</f>
        <v>7</v>
      </c>
      <c r="B29" s="914"/>
      <c r="C29" s="945" t="str">
        <f ca="1">"Sum of Lines "&amp;A27&amp;" through "&amp;OFFSET(A29,-1,0)</f>
        <v>Sum of Lines 6.01 through 6.02</v>
      </c>
      <c r="D29" s="941"/>
      <c r="E29" s="914"/>
      <c r="F29" s="938">
        <f>SUM(F27:F28)</f>
        <v>-32655.871446773872</v>
      </c>
      <c r="G29" s="914"/>
      <c r="H29" s="938">
        <f>SUM(H27:H28)</f>
        <v>-37903.165087242422</v>
      </c>
      <c r="I29" s="914"/>
      <c r="J29" s="938">
        <f>SUM(J27:J28)</f>
        <v>-39393.548464259067</v>
      </c>
      <c r="K29" s="914"/>
      <c r="L29" s="938">
        <f>SUM(L27:L28)</f>
        <v>-34044.098849317932</v>
      </c>
      <c r="M29" s="914"/>
      <c r="N29" s="938">
        <f>SUM(N27:N28)</f>
        <v>-34044.098849317932</v>
      </c>
      <c r="O29" s="914"/>
      <c r="P29" s="938">
        <f>SUM(P27:P28)</f>
        <v>-28662.15887675784</v>
      </c>
      <c r="Q29" s="914"/>
      <c r="R29" s="938">
        <f>SUM(R27:R28)</f>
        <v>-29206.480005674919</v>
      </c>
      <c r="S29" s="914"/>
      <c r="T29" s="938">
        <f>SUM(T27:T28)</f>
        <v>-29206.480005674919</v>
      </c>
      <c r="U29" s="914"/>
      <c r="V29" s="938">
        <f>SUM(V27:V28)</f>
        <v>-29140.24074447418</v>
      </c>
      <c r="W29" s="914"/>
      <c r="X29" s="938">
        <f>SUM(X27:X28)</f>
        <v>-28402.500972850943</v>
      </c>
      <c r="Y29" s="914"/>
      <c r="Z29" s="938">
        <f>SUM(Z27:Z28)</f>
        <v>-31383.267726884227</v>
      </c>
      <c r="AA29" s="914"/>
      <c r="AB29" s="938">
        <f>SUM(AB27:AB28)</f>
        <v>-29064.893584858339</v>
      </c>
      <c r="AC29" s="914"/>
      <c r="AD29" s="938">
        <f>SUM(AD27:AD28)</f>
        <v>-33515.906980503234</v>
      </c>
      <c r="AE29" s="914"/>
      <c r="AF29" s="938">
        <f>SUM(AF27:AF28)</f>
        <v>-32047.900891891524</v>
      </c>
    </row>
    <row r="30" spans="1:32">
      <c r="A30" s="913"/>
      <c r="B30" s="913"/>
      <c r="C30" s="914"/>
      <c r="D30" s="914"/>
      <c r="E30" s="914"/>
      <c r="F30" s="933"/>
      <c r="G30" s="914"/>
      <c r="H30" s="933"/>
      <c r="I30" s="914"/>
      <c r="J30" s="933"/>
      <c r="K30" s="914"/>
      <c r="L30" s="933"/>
      <c r="M30" s="914"/>
      <c r="N30" s="933"/>
      <c r="O30" s="914"/>
      <c r="P30" s="933"/>
      <c r="Q30" s="914"/>
      <c r="R30" s="933"/>
      <c r="S30" s="914"/>
      <c r="T30" s="933"/>
      <c r="U30" s="914"/>
      <c r="V30" s="933"/>
      <c r="W30" s="914"/>
      <c r="X30" s="933"/>
      <c r="Y30" s="914"/>
      <c r="Z30" s="946"/>
      <c r="AA30" s="914"/>
      <c r="AB30" s="946"/>
      <c r="AC30" s="914"/>
      <c r="AD30" s="913"/>
      <c r="AE30" s="914"/>
      <c r="AF30" s="913"/>
    </row>
    <row r="31" spans="1:32">
      <c r="A31" s="930">
        <f>A29+1</f>
        <v>8</v>
      </c>
      <c r="B31" s="919"/>
      <c r="C31" s="932" t="s">
        <v>975</v>
      </c>
      <c r="D31" s="932"/>
      <c r="E31" s="919"/>
      <c r="F31" s="943"/>
      <c r="G31" s="919"/>
      <c r="H31" s="943"/>
      <c r="I31" s="919"/>
      <c r="J31" s="943"/>
      <c r="K31" s="919"/>
      <c r="L31" s="943"/>
      <c r="M31" s="919"/>
      <c r="N31" s="943"/>
      <c r="O31" s="919"/>
      <c r="P31" s="943"/>
      <c r="Q31" s="919"/>
      <c r="R31" s="943"/>
      <c r="S31" s="919"/>
      <c r="T31" s="943"/>
      <c r="U31" s="919"/>
      <c r="V31" s="943"/>
      <c r="W31" s="919"/>
      <c r="X31" s="943"/>
      <c r="Y31" s="919"/>
      <c r="Z31" s="943"/>
      <c r="AA31" s="919"/>
      <c r="AB31" s="943"/>
      <c r="AC31" s="919"/>
      <c r="AD31" s="943"/>
      <c r="AE31" s="924"/>
      <c r="AF31" s="943"/>
    </row>
    <row r="32" spans="1:32">
      <c r="A32" s="913"/>
      <c r="B32" s="913"/>
      <c r="C32" s="913"/>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c r="AE32" s="913"/>
      <c r="AF32" s="913"/>
    </row>
    <row r="33" spans="1:32">
      <c r="A33" s="944">
        <f>A31+0.01</f>
        <v>8.01</v>
      </c>
      <c r="B33" s="914"/>
      <c r="C33" s="945"/>
      <c r="D33" s="945"/>
      <c r="E33" s="914"/>
      <c r="F33" s="936"/>
      <c r="G33" s="914"/>
      <c r="H33" s="936"/>
      <c r="I33" s="914"/>
      <c r="J33" s="936"/>
      <c r="K33" s="914"/>
      <c r="L33" s="936"/>
      <c r="M33" s="914"/>
      <c r="N33" s="936"/>
      <c r="O33" s="914"/>
      <c r="P33" s="936"/>
      <c r="Q33" s="914"/>
      <c r="R33" s="936"/>
      <c r="S33" s="914"/>
      <c r="T33" s="936"/>
      <c r="U33" s="914"/>
      <c r="V33" s="936"/>
      <c r="W33" s="914"/>
      <c r="X33" s="936"/>
      <c r="Y33" s="914"/>
      <c r="Z33" s="936"/>
      <c r="AA33" s="914"/>
      <c r="AB33" s="936"/>
      <c r="AC33" s="914"/>
      <c r="AD33" s="936"/>
      <c r="AE33" s="914"/>
      <c r="AF33" s="933">
        <f>SUM(F33:AD33)/13</f>
        <v>0</v>
      </c>
    </row>
    <row r="34" spans="1:32">
      <c r="A34" s="944">
        <f>A33+0.01</f>
        <v>8.02</v>
      </c>
      <c r="B34" s="914"/>
      <c r="C34" s="945"/>
      <c r="D34" s="945"/>
      <c r="E34" s="914"/>
      <c r="F34" s="936"/>
      <c r="G34" s="914"/>
      <c r="H34" s="936"/>
      <c r="I34" s="914"/>
      <c r="J34" s="936"/>
      <c r="K34" s="914"/>
      <c r="L34" s="936"/>
      <c r="M34" s="914"/>
      <c r="N34" s="936"/>
      <c r="O34" s="914"/>
      <c r="P34" s="936"/>
      <c r="Q34" s="914"/>
      <c r="R34" s="936"/>
      <c r="S34" s="914"/>
      <c r="T34" s="936"/>
      <c r="U34" s="914"/>
      <c r="V34" s="936"/>
      <c r="W34" s="914"/>
      <c r="X34" s="936"/>
      <c r="Y34" s="914"/>
      <c r="Z34" s="936"/>
      <c r="AA34" s="914"/>
      <c r="AB34" s="936"/>
      <c r="AC34" s="914"/>
      <c r="AD34" s="936"/>
      <c r="AE34" s="914"/>
      <c r="AF34" s="933">
        <f>SUM(F34:AD34)/13</f>
        <v>0</v>
      </c>
    </row>
    <row r="35" spans="1:32">
      <c r="A35" s="913">
        <f>A31+1</f>
        <v>9</v>
      </c>
      <c r="B35" s="914"/>
      <c r="C35" s="945" t="str">
        <f ca="1">"Sum of Lines "&amp;A33&amp;" through "&amp;OFFSET(A35,-1,0)</f>
        <v>Sum of Lines 8.01 through 8.02</v>
      </c>
      <c r="D35" s="941"/>
      <c r="E35" s="914"/>
      <c r="F35" s="938">
        <f>SUM(F33:F34)</f>
        <v>0</v>
      </c>
      <c r="G35" s="914"/>
      <c r="H35" s="938">
        <f>SUM(H33:H34)</f>
        <v>0</v>
      </c>
      <c r="I35" s="914"/>
      <c r="J35" s="938">
        <f>SUM(J33:J34)</f>
        <v>0</v>
      </c>
      <c r="K35" s="914"/>
      <c r="L35" s="938">
        <f>SUM(L33:L34)</f>
        <v>0</v>
      </c>
      <c r="M35" s="914"/>
      <c r="N35" s="938">
        <f>SUM(N33:N34)</f>
        <v>0</v>
      </c>
      <c r="O35" s="914"/>
      <c r="P35" s="938">
        <f>SUM(P33:P34)</f>
        <v>0</v>
      </c>
      <c r="Q35" s="914"/>
      <c r="R35" s="938">
        <f>SUM(R33:R34)</f>
        <v>0</v>
      </c>
      <c r="S35" s="914"/>
      <c r="T35" s="938">
        <f>SUM(T33:T34)</f>
        <v>0</v>
      </c>
      <c r="U35" s="914"/>
      <c r="V35" s="938">
        <f>SUM(V33:V34)</f>
        <v>0</v>
      </c>
      <c r="W35" s="914"/>
      <c r="X35" s="938">
        <f>SUM(X33:X34)</f>
        <v>0</v>
      </c>
      <c r="Y35" s="914"/>
      <c r="Z35" s="938">
        <f>SUM(Z33:Z34)</f>
        <v>0</v>
      </c>
      <c r="AA35" s="914"/>
      <c r="AB35" s="938">
        <f>SUM(AB33:AB34)</f>
        <v>0</v>
      </c>
      <c r="AC35" s="914"/>
      <c r="AD35" s="938">
        <f>SUM(AD33:AD34)</f>
        <v>0</v>
      </c>
      <c r="AE35" s="914"/>
      <c r="AF35" s="938">
        <f>SUM(AF33:AF34)</f>
        <v>0</v>
      </c>
    </row>
    <row r="36" spans="1:32">
      <c r="A36" s="913"/>
      <c r="B36" s="913"/>
      <c r="C36" s="914"/>
      <c r="D36" s="914"/>
      <c r="E36" s="914"/>
      <c r="F36" s="933"/>
      <c r="G36" s="914"/>
      <c r="H36" s="933"/>
      <c r="I36" s="914"/>
      <c r="J36" s="933"/>
      <c r="K36" s="914"/>
      <c r="L36" s="933"/>
      <c r="M36" s="914"/>
      <c r="N36" s="933"/>
      <c r="O36" s="914"/>
      <c r="P36" s="933"/>
      <c r="Q36" s="914"/>
      <c r="R36" s="933"/>
      <c r="S36" s="914"/>
      <c r="T36" s="933"/>
      <c r="U36" s="914"/>
      <c r="V36" s="933"/>
      <c r="W36" s="914"/>
      <c r="X36" s="933"/>
      <c r="Y36" s="914"/>
      <c r="Z36" s="933"/>
      <c r="AA36" s="914"/>
      <c r="AB36" s="933"/>
      <c r="AC36" s="914"/>
      <c r="AD36" s="913"/>
      <c r="AE36" s="914"/>
      <c r="AF36" s="913"/>
    </row>
    <row r="37" spans="1:32">
      <c r="A37" s="930">
        <f>A35+1</f>
        <v>10</v>
      </c>
      <c r="B37" s="919"/>
      <c r="C37" s="932" t="s">
        <v>976</v>
      </c>
      <c r="D37" s="932"/>
      <c r="E37" s="919"/>
      <c r="F37" s="943"/>
      <c r="G37" s="919"/>
      <c r="H37" s="943"/>
      <c r="I37" s="919"/>
      <c r="J37" s="943"/>
      <c r="K37" s="919"/>
      <c r="L37" s="943"/>
      <c r="M37" s="919"/>
      <c r="N37" s="943"/>
      <c r="O37" s="919"/>
      <c r="P37" s="943"/>
      <c r="Q37" s="919"/>
      <c r="R37" s="943"/>
      <c r="S37" s="919"/>
      <c r="T37" s="943"/>
      <c r="U37" s="919"/>
      <c r="V37" s="943"/>
      <c r="W37" s="919"/>
      <c r="X37" s="943"/>
      <c r="Y37" s="919"/>
      <c r="Z37" s="943"/>
      <c r="AA37" s="919"/>
      <c r="AB37" s="943"/>
      <c r="AC37" s="919"/>
      <c r="AD37" s="943"/>
      <c r="AE37" s="924"/>
      <c r="AF37" s="943"/>
    </row>
    <row r="38" spans="1:32">
      <c r="A38" s="913"/>
      <c r="B38" s="913"/>
      <c r="C38" s="913"/>
      <c r="D38" s="913"/>
      <c r="E38" s="913"/>
      <c r="F38" s="913"/>
      <c r="G38" s="913"/>
      <c r="H38" s="913"/>
      <c r="I38" s="913"/>
      <c r="J38" s="913"/>
      <c r="K38" s="913"/>
      <c r="L38" s="913"/>
      <c r="M38" s="913"/>
      <c r="N38" s="913"/>
      <c r="O38" s="913"/>
      <c r="P38" s="913"/>
      <c r="Q38" s="913"/>
      <c r="R38" s="913"/>
      <c r="S38" s="913"/>
      <c r="T38" s="913"/>
      <c r="U38" s="913"/>
      <c r="V38" s="913"/>
      <c r="W38" s="913"/>
      <c r="X38" s="913"/>
      <c r="Y38" s="913"/>
      <c r="Z38" s="913"/>
      <c r="AA38" s="913"/>
      <c r="AB38" s="913"/>
      <c r="AC38" s="913"/>
      <c r="AD38" s="913"/>
      <c r="AE38" s="913"/>
      <c r="AF38" s="913"/>
    </row>
    <row r="39" spans="1:32">
      <c r="A39" s="944">
        <f>A37+0.01</f>
        <v>10.01</v>
      </c>
      <c r="B39" s="914"/>
      <c r="C39" s="945"/>
      <c r="D39" s="945"/>
      <c r="E39" s="914"/>
      <c r="F39" s="936"/>
      <c r="G39" s="914"/>
      <c r="H39" s="936"/>
      <c r="I39" s="914"/>
      <c r="J39" s="936"/>
      <c r="K39" s="914"/>
      <c r="L39" s="936"/>
      <c r="M39" s="914"/>
      <c r="N39" s="936"/>
      <c r="O39" s="914"/>
      <c r="P39" s="936"/>
      <c r="Q39" s="914"/>
      <c r="R39" s="936"/>
      <c r="S39" s="914"/>
      <c r="T39" s="936"/>
      <c r="U39" s="914"/>
      <c r="V39" s="936"/>
      <c r="W39" s="914"/>
      <c r="X39" s="936"/>
      <c r="Y39" s="914"/>
      <c r="Z39" s="936"/>
      <c r="AA39" s="914"/>
      <c r="AB39" s="936"/>
      <c r="AC39" s="914"/>
      <c r="AD39" s="936"/>
      <c r="AE39" s="914"/>
      <c r="AF39" s="933">
        <f>SUM(F39:AD39)/13</f>
        <v>0</v>
      </c>
    </row>
    <row r="40" spans="1:32">
      <c r="A40" s="944">
        <f>A39+0.01</f>
        <v>10.02</v>
      </c>
      <c r="B40" s="914"/>
      <c r="C40" s="945"/>
      <c r="D40" s="945"/>
      <c r="E40" s="914"/>
      <c r="F40" s="936"/>
      <c r="G40" s="914"/>
      <c r="H40" s="936"/>
      <c r="I40" s="914"/>
      <c r="J40" s="936"/>
      <c r="K40" s="914"/>
      <c r="L40" s="936"/>
      <c r="M40" s="914"/>
      <c r="N40" s="936"/>
      <c r="O40" s="914"/>
      <c r="P40" s="936"/>
      <c r="Q40" s="914"/>
      <c r="R40" s="936"/>
      <c r="S40" s="914"/>
      <c r="T40" s="936"/>
      <c r="U40" s="914"/>
      <c r="V40" s="936"/>
      <c r="W40" s="914"/>
      <c r="X40" s="936"/>
      <c r="Y40" s="914"/>
      <c r="Z40" s="936"/>
      <c r="AA40" s="914"/>
      <c r="AB40" s="936"/>
      <c r="AC40" s="914"/>
      <c r="AD40" s="936"/>
      <c r="AE40" s="914"/>
      <c r="AF40" s="933">
        <f>SUM(F40:AD40)/13</f>
        <v>0</v>
      </c>
    </row>
    <row r="41" spans="1:32">
      <c r="A41" s="913">
        <f>A37+1</f>
        <v>11</v>
      </c>
      <c r="B41" s="914"/>
      <c r="C41" s="945" t="str">
        <f ca="1">"Sum of Lines "&amp;A39&amp;" through "&amp;OFFSET(A41,-1,0)</f>
        <v>Sum of Lines 10.01 through 10.02</v>
      </c>
      <c r="D41" s="941"/>
      <c r="E41" s="914"/>
      <c r="F41" s="938">
        <f>SUM(F39:F40)</f>
        <v>0</v>
      </c>
      <c r="G41" s="914"/>
      <c r="H41" s="938">
        <f>SUM(H39:H40)</f>
        <v>0</v>
      </c>
      <c r="I41" s="914"/>
      <c r="J41" s="938">
        <f>SUM(J39:J40)</f>
        <v>0</v>
      </c>
      <c r="K41" s="914"/>
      <c r="L41" s="938">
        <f>SUM(L39:L40)</f>
        <v>0</v>
      </c>
      <c r="M41" s="914"/>
      <c r="N41" s="938">
        <f>SUM(N39:N40)</f>
        <v>0</v>
      </c>
      <c r="O41" s="914"/>
      <c r="P41" s="938">
        <f>SUM(P39:P40)</f>
        <v>0</v>
      </c>
      <c r="Q41" s="914"/>
      <c r="R41" s="938">
        <f>SUM(R39:R40)</f>
        <v>0</v>
      </c>
      <c r="S41" s="914"/>
      <c r="T41" s="938">
        <f>SUM(T39:T40)</f>
        <v>0</v>
      </c>
      <c r="U41" s="914"/>
      <c r="V41" s="938">
        <f>SUM(V39:V40)</f>
        <v>0</v>
      </c>
      <c r="W41" s="914"/>
      <c r="X41" s="938">
        <f>SUM(X39:X40)</f>
        <v>0</v>
      </c>
      <c r="Y41" s="914"/>
      <c r="Z41" s="938">
        <f>SUM(Z39:Z40)</f>
        <v>0</v>
      </c>
      <c r="AA41" s="914"/>
      <c r="AB41" s="938">
        <f>SUM(AB39:AB40)</f>
        <v>0</v>
      </c>
      <c r="AC41" s="914"/>
      <c r="AD41" s="938">
        <f>SUM(AD39:AD40)</f>
        <v>0</v>
      </c>
      <c r="AE41" s="914"/>
      <c r="AF41" s="938">
        <f>SUM(AF39:AF40)</f>
        <v>0</v>
      </c>
    </row>
    <row r="42" spans="1:32">
      <c r="A42" s="913"/>
      <c r="B42" s="913"/>
      <c r="C42" s="914"/>
      <c r="D42" s="914"/>
      <c r="E42" s="914"/>
      <c r="F42" s="933"/>
      <c r="G42" s="914"/>
      <c r="H42" s="933"/>
      <c r="I42" s="914"/>
      <c r="J42" s="933"/>
      <c r="K42" s="914"/>
      <c r="L42" s="933"/>
      <c r="M42" s="914"/>
      <c r="N42" s="933"/>
      <c r="O42" s="914"/>
      <c r="P42" s="933"/>
      <c r="Q42" s="914"/>
      <c r="R42" s="933"/>
      <c r="S42" s="914"/>
      <c r="T42" s="933"/>
      <c r="U42" s="914"/>
      <c r="V42" s="933"/>
      <c r="W42" s="914"/>
      <c r="X42" s="933"/>
      <c r="Y42" s="914"/>
      <c r="Z42" s="933"/>
      <c r="AA42" s="914"/>
      <c r="AB42" s="933"/>
      <c r="AC42" s="914"/>
      <c r="AD42" s="913"/>
      <c r="AE42" s="914"/>
      <c r="AF42" s="913"/>
    </row>
    <row r="43" spans="1:32">
      <c r="A43" s="930">
        <f>A41+1</f>
        <v>12</v>
      </c>
      <c r="B43" s="919"/>
      <c r="C43" s="932" t="s">
        <v>977</v>
      </c>
      <c r="D43" s="932"/>
      <c r="E43" s="919"/>
      <c r="F43" s="943"/>
      <c r="G43" s="919"/>
      <c r="H43" s="943"/>
      <c r="I43" s="919"/>
      <c r="J43" s="943"/>
      <c r="K43" s="919"/>
      <c r="L43" s="943"/>
      <c r="M43" s="919"/>
      <c r="N43" s="943"/>
      <c r="O43" s="919"/>
      <c r="P43" s="943"/>
      <c r="Q43" s="919"/>
      <c r="R43" s="943"/>
      <c r="S43" s="919"/>
      <c r="T43" s="943"/>
      <c r="U43" s="919"/>
      <c r="V43" s="943"/>
      <c r="W43" s="919"/>
      <c r="X43" s="943"/>
      <c r="Y43" s="919"/>
      <c r="Z43" s="943"/>
      <c r="AA43" s="919"/>
      <c r="AB43" s="943"/>
      <c r="AC43" s="919"/>
      <c r="AD43" s="943"/>
      <c r="AE43" s="924"/>
      <c r="AF43" s="943"/>
    </row>
    <row r="44" spans="1:32">
      <c r="A44" s="913"/>
      <c r="B44" s="913"/>
      <c r="C44" s="913"/>
      <c r="D44" s="913"/>
      <c r="E44" s="913"/>
      <c r="F44" s="913"/>
      <c r="G44" s="913"/>
      <c r="H44" s="913"/>
      <c r="I44" s="913"/>
      <c r="J44" s="913"/>
      <c r="K44" s="913"/>
      <c r="L44" s="913"/>
      <c r="M44" s="913"/>
      <c r="N44" s="913"/>
      <c r="O44" s="913"/>
      <c r="P44" s="913"/>
      <c r="Q44" s="913"/>
      <c r="R44" s="913"/>
      <c r="S44" s="913"/>
      <c r="T44" s="913"/>
      <c r="U44" s="913"/>
      <c r="V44" s="913"/>
      <c r="W44" s="913"/>
      <c r="X44" s="913"/>
      <c r="Y44" s="913"/>
      <c r="Z44" s="913"/>
      <c r="AA44" s="913"/>
      <c r="AB44" s="913"/>
      <c r="AC44" s="913"/>
      <c r="AD44" s="913"/>
      <c r="AE44" s="913"/>
      <c r="AF44" s="913"/>
    </row>
    <row r="45" spans="1:32">
      <c r="A45" s="944">
        <f>A43+0.01</f>
        <v>12.01</v>
      </c>
      <c r="B45" s="914"/>
      <c r="C45" s="945"/>
      <c r="D45" s="945"/>
      <c r="E45" s="914"/>
      <c r="F45" s="936"/>
      <c r="G45" s="914"/>
      <c r="H45" s="936"/>
      <c r="I45" s="914"/>
      <c r="J45" s="936"/>
      <c r="K45" s="914"/>
      <c r="L45" s="936"/>
      <c r="M45" s="914"/>
      <c r="N45" s="936"/>
      <c r="O45" s="914"/>
      <c r="P45" s="936"/>
      <c r="Q45" s="914"/>
      <c r="R45" s="936"/>
      <c r="S45" s="914"/>
      <c r="T45" s="936"/>
      <c r="U45" s="914"/>
      <c r="V45" s="936"/>
      <c r="W45" s="914"/>
      <c r="X45" s="936"/>
      <c r="Y45" s="914"/>
      <c r="Z45" s="936"/>
      <c r="AA45" s="914"/>
      <c r="AB45" s="936"/>
      <c r="AC45" s="914"/>
      <c r="AD45" s="936"/>
      <c r="AE45" s="914"/>
      <c r="AF45" s="933">
        <f>SUM(F45:AD45)/13</f>
        <v>0</v>
      </c>
    </row>
    <row r="46" spans="1:32">
      <c r="A46" s="944">
        <f>A45+0.01</f>
        <v>12.02</v>
      </c>
      <c r="B46" s="914"/>
      <c r="C46" s="945"/>
      <c r="D46" s="945"/>
      <c r="E46" s="914"/>
      <c r="F46" s="936"/>
      <c r="G46" s="914"/>
      <c r="H46" s="936"/>
      <c r="I46" s="914"/>
      <c r="J46" s="936"/>
      <c r="K46" s="914"/>
      <c r="L46" s="936"/>
      <c r="M46" s="914"/>
      <c r="N46" s="936"/>
      <c r="O46" s="914"/>
      <c r="P46" s="936"/>
      <c r="Q46" s="914"/>
      <c r="R46" s="936"/>
      <c r="S46" s="914"/>
      <c r="T46" s="936"/>
      <c r="U46" s="914"/>
      <c r="V46" s="936"/>
      <c r="W46" s="914"/>
      <c r="X46" s="936"/>
      <c r="Y46" s="914"/>
      <c r="Z46" s="936"/>
      <c r="AA46" s="914"/>
      <c r="AB46" s="936"/>
      <c r="AC46" s="914"/>
      <c r="AD46" s="936"/>
      <c r="AE46" s="914"/>
      <c r="AF46" s="933">
        <f>SUM(F46:AD46)/13</f>
        <v>0</v>
      </c>
    </row>
    <row r="47" spans="1:32">
      <c r="A47" s="913">
        <f>A43+1</f>
        <v>13</v>
      </c>
      <c r="B47" s="914"/>
      <c r="C47" s="945" t="str">
        <f ca="1">"Sum of Lines "&amp;A45&amp;" through "&amp;OFFSET(A47,-1,0)</f>
        <v>Sum of Lines 12.01 through 12.02</v>
      </c>
      <c r="D47" s="941"/>
      <c r="E47" s="914"/>
      <c r="F47" s="938">
        <f>SUM(F45:F46)</f>
        <v>0</v>
      </c>
      <c r="G47" s="914"/>
      <c r="H47" s="938">
        <f>SUM(H45:H46)</f>
        <v>0</v>
      </c>
      <c r="I47" s="914"/>
      <c r="J47" s="938">
        <f>SUM(J45:J46)</f>
        <v>0</v>
      </c>
      <c r="K47" s="914"/>
      <c r="L47" s="938">
        <f>SUM(L45:L46)</f>
        <v>0</v>
      </c>
      <c r="M47" s="914"/>
      <c r="N47" s="938">
        <f>SUM(N45:N46)</f>
        <v>0</v>
      </c>
      <c r="O47" s="914"/>
      <c r="P47" s="938">
        <f>SUM(P45:P46)</f>
        <v>0</v>
      </c>
      <c r="Q47" s="914"/>
      <c r="R47" s="938">
        <f>SUM(R45:R46)</f>
        <v>0</v>
      </c>
      <c r="S47" s="914"/>
      <c r="T47" s="938">
        <f>SUM(T45:T46)</f>
        <v>0</v>
      </c>
      <c r="U47" s="914"/>
      <c r="V47" s="938">
        <f>SUM(V45:V46)</f>
        <v>0</v>
      </c>
      <c r="W47" s="914"/>
      <c r="X47" s="938">
        <f>SUM(X45:X46)</f>
        <v>0</v>
      </c>
      <c r="Y47" s="914"/>
      <c r="Z47" s="938">
        <f>SUM(Z45:Z46)</f>
        <v>0</v>
      </c>
      <c r="AA47" s="914"/>
      <c r="AB47" s="938">
        <f>SUM(AB45:AB46)</f>
        <v>0</v>
      </c>
      <c r="AC47" s="914"/>
      <c r="AD47" s="938">
        <f>SUM(AD45:AD46)</f>
        <v>0</v>
      </c>
      <c r="AE47" s="914"/>
      <c r="AF47" s="938">
        <f>SUM(AF45:AF46)</f>
        <v>0</v>
      </c>
    </row>
    <row r="48" spans="1:32">
      <c r="A48" s="913"/>
      <c r="B48" s="913"/>
      <c r="C48" s="914"/>
      <c r="D48" s="914"/>
      <c r="E48" s="914"/>
      <c r="F48" s="933"/>
      <c r="G48" s="914"/>
      <c r="H48" s="933"/>
      <c r="I48" s="914"/>
      <c r="J48" s="933"/>
      <c r="K48" s="914"/>
      <c r="L48" s="933"/>
      <c r="M48" s="914"/>
      <c r="N48" s="933"/>
      <c r="O48" s="914"/>
      <c r="P48" s="933"/>
      <c r="Q48" s="914"/>
      <c r="R48" s="933"/>
      <c r="S48" s="914"/>
      <c r="T48" s="933"/>
      <c r="U48" s="914"/>
      <c r="V48" s="933"/>
      <c r="W48" s="914"/>
      <c r="X48" s="933"/>
      <c r="Y48" s="914"/>
      <c r="Z48" s="933"/>
      <c r="AA48" s="914"/>
      <c r="AB48" s="933"/>
      <c r="AC48" s="914"/>
      <c r="AD48" s="913"/>
      <c r="AE48" s="914"/>
      <c r="AF48" s="913"/>
    </row>
    <row r="49" spans="1:32">
      <c r="A49" s="930">
        <f>A47+1</f>
        <v>14</v>
      </c>
      <c r="B49" s="919"/>
      <c r="C49" s="932" t="s">
        <v>978</v>
      </c>
      <c r="D49" s="932"/>
      <c r="E49" s="919"/>
      <c r="F49" s="943"/>
      <c r="G49" s="919"/>
      <c r="H49" s="943"/>
      <c r="I49" s="919"/>
      <c r="J49" s="943"/>
      <c r="K49" s="919"/>
      <c r="L49" s="943"/>
      <c r="M49" s="919"/>
      <c r="N49" s="943"/>
      <c r="O49" s="919"/>
      <c r="P49" s="943"/>
      <c r="Q49" s="919"/>
      <c r="R49" s="943"/>
      <c r="S49" s="919"/>
      <c r="T49" s="943"/>
      <c r="U49" s="919"/>
      <c r="V49" s="943"/>
      <c r="W49" s="919"/>
      <c r="X49" s="943"/>
      <c r="Y49" s="919"/>
      <c r="Z49" s="943"/>
      <c r="AA49" s="919"/>
      <c r="AB49" s="943"/>
      <c r="AC49" s="919"/>
      <c r="AD49" s="943"/>
      <c r="AE49" s="924"/>
      <c r="AF49" s="943"/>
    </row>
    <row r="50" spans="1:32">
      <c r="A50" s="913"/>
      <c r="B50" s="913"/>
      <c r="C50" s="913"/>
      <c r="D50" s="913"/>
      <c r="E50" s="913"/>
      <c r="F50" s="913"/>
      <c r="G50" s="913"/>
      <c r="H50" s="913"/>
      <c r="I50" s="913"/>
      <c r="J50" s="913"/>
      <c r="K50" s="913"/>
      <c r="L50" s="913"/>
      <c r="M50" s="913"/>
      <c r="N50" s="913"/>
      <c r="O50" s="913"/>
      <c r="P50" s="913"/>
      <c r="Q50" s="913"/>
      <c r="R50" s="913"/>
      <c r="S50" s="913"/>
      <c r="T50" s="913"/>
      <c r="U50" s="913"/>
      <c r="V50" s="913"/>
      <c r="W50" s="913"/>
      <c r="X50" s="913"/>
      <c r="Y50" s="913"/>
      <c r="Z50" s="913"/>
      <c r="AA50" s="913"/>
      <c r="AB50" s="913"/>
      <c r="AC50" s="913"/>
      <c r="AD50" s="913"/>
      <c r="AE50" s="913"/>
      <c r="AF50" s="913"/>
    </row>
    <row r="51" spans="1:32">
      <c r="A51" s="944">
        <f>A49+0.01</f>
        <v>14.01</v>
      </c>
      <c r="B51" s="914"/>
      <c r="C51" s="945" t="s">
        <v>1319</v>
      </c>
      <c r="D51" s="945" t="s">
        <v>35</v>
      </c>
      <c r="E51" s="914"/>
      <c r="F51" s="936">
        <v>-264739.23189871752</v>
      </c>
      <c r="G51" s="914"/>
      <c r="H51" s="936">
        <v>-289523.92823635001</v>
      </c>
      <c r="I51" s="914"/>
      <c r="J51" s="936">
        <v>-51752.602297615471</v>
      </c>
      <c r="K51" s="914"/>
      <c r="L51" s="936">
        <v>0</v>
      </c>
      <c r="M51" s="914"/>
      <c r="N51" s="936">
        <v>0</v>
      </c>
      <c r="O51" s="914"/>
      <c r="P51" s="936">
        <v>0</v>
      </c>
      <c r="Q51" s="914"/>
      <c r="R51" s="936">
        <v>-38814.484842842205</v>
      </c>
      <c r="S51" s="914"/>
      <c r="T51" s="936">
        <v>-90567.120260088268</v>
      </c>
      <c r="U51" s="914"/>
      <c r="V51" s="936">
        <v>-103505.27083449214</v>
      </c>
      <c r="W51" s="914"/>
      <c r="X51" s="936">
        <v>-170794.5899234165</v>
      </c>
      <c r="Y51" s="914"/>
      <c r="Z51" s="936">
        <v>-189771.77394149179</v>
      </c>
      <c r="AA51" s="914"/>
      <c r="AB51" s="936">
        <v>-208748.95795956708</v>
      </c>
      <c r="AC51" s="914"/>
      <c r="AD51" s="936">
        <v>-308687.04586061579</v>
      </c>
      <c r="AE51" s="914"/>
      <c r="AF51" s="933">
        <f>SUM(F51:AD51)/13</f>
        <v>-132069.61585039977</v>
      </c>
    </row>
    <row r="52" spans="1:32">
      <c r="A52" s="944">
        <f>A51+0.01</f>
        <v>14.02</v>
      </c>
      <c r="B52" s="914"/>
      <c r="C52" s="945"/>
      <c r="D52" s="945"/>
      <c r="E52" s="914"/>
      <c r="F52" s="936"/>
      <c r="G52" s="914"/>
      <c r="H52" s="936"/>
      <c r="I52" s="914"/>
      <c r="J52" s="936"/>
      <c r="K52" s="914"/>
      <c r="L52" s="936"/>
      <c r="M52" s="914"/>
      <c r="N52" s="936"/>
      <c r="O52" s="914"/>
      <c r="P52" s="936"/>
      <c r="Q52" s="914"/>
      <c r="R52" s="936"/>
      <c r="S52" s="914"/>
      <c r="T52" s="936"/>
      <c r="U52" s="914"/>
      <c r="V52" s="936"/>
      <c r="W52" s="914"/>
      <c r="X52" s="936"/>
      <c r="Y52" s="914"/>
      <c r="Z52" s="936"/>
      <c r="AA52" s="914"/>
      <c r="AB52" s="936"/>
      <c r="AC52" s="914"/>
      <c r="AD52" s="936"/>
      <c r="AE52" s="914"/>
      <c r="AF52" s="933">
        <f>SUM(F52:AD52)/13</f>
        <v>0</v>
      </c>
    </row>
    <row r="53" spans="1:32">
      <c r="A53" s="913">
        <f>A49+1</f>
        <v>15</v>
      </c>
      <c r="B53" s="914"/>
      <c r="C53" s="945" t="str">
        <f ca="1">"Sum of Lines "&amp;A51&amp;" through "&amp;OFFSET(A53,-1,0)</f>
        <v>Sum of Lines 14.01 through 14.02</v>
      </c>
      <c r="D53" s="941"/>
      <c r="E53" s="914"/>
      <c r="F53" s="938">
        <f>SUM(F51:F52)</f>
        <v>-264739.23189871752</v>
      </c>
      <c r="G53" s="914"/>
      <c r="H53" s="938">
        <f>SUM(H51:H52)</f>
        <v>-289523.92823635001</v>
      </c>
      <c r="I53" s="914"/>
      <c r="J53" s="938">
        <f>SUM(J51:J52)</f>
        <v>-51752.602297615471</v>
      </c>
      <c r="K53" s="914"/>
      <c r="L53" s="938">
        <f>SUM(L51:L52)</f>
        <v>0</v>
      </c>
      <c r="M53" s="914"/>
      <c r="N53" s="938">
        <f>SUM(N51:N52)</f>
        <v>0</v>
      </c>
      <c r="O53" s="914"/>
      <c r="P53" s="938">
        <f>SUM(P51:P52)</f>
        <v>0</v>
      </c>
      <c r="Q53" s="914"/>
      <c r="R53" s="938">
        <f>SUM(R51:R52)</f>
        <v>-38814.484842842205</v>
      </c>
      <c r="S53" s="914"/>
      <c r="T53" s="938">
        <f>SUM(T51:T52)</f>
        <v>-90567.120260088268</v>
      </c>
      <c r="U53" s="914"/>
      <c r="V53" s="938">
        <f>SUM(V51:V52)</f>
        <v>-103505.27083449214</v>
      </c>
      <c r="W53" s="914"/>
      <c r="X53" s="938">
        <f>SUM(X51:X52)</f>
        <v>-170794.5899234165</v>
      </c>
      <c r="Y53" s="914"/>
      <c r="Z53" s="938">
        <f>SUM(Z51:Z52)</f>
        <v>-189771.77394149179</v>
      </c>
      <c r="AA53" s="914"/>
      <c r="AB53" s="938">
        <f>SUM(AB51:AB52)</f>
        <v>-208748.95795956708</v>
      </c>
      <c r="AC53" s="914"/>
      <c r="AD53" s="938">
        <f>SUM(AD51:AD52)</f>
        <v>-308687.04586061579</v>
      </c>
      <c r="AE53" s="914"/>
      <c r="AF53" s="938">
        <f>SUM(AF51:AF52)</f>
        <v>-132069.61585039977</v>
      </c>
    </row>
    <row r="54" spans="1:32">
      <c r="A54" s="913"/>
      <c r="B54" s="913"/>
      <c r="C54" s="914"/>
      <c r="D54" s="914"/>
      <c r="E54" s="914"/>
      <c r="F54" s="933"/>
      <c r="G54" s="914"/>
      <c r="H54" s="933"/>
      <c r="I54" s="914"/>
      <c r="J54" s="933"/>
      <c r="K54" s="914"/>
      <c r="L54" s="933"/>
      <c r="M54" s="914"/>
      <c r="N54" s="933"/>
      <c r="O54" s="914"/>
      <c r="P54" s="933"/>
      <c r="Q54" s="914"/>
      <c r="R54" s="933"/>
      <c r="S54" s="914"/>
      <c r="T54" s="933"/>
      <c r="U54" s="914"/>
      <c r="V54" s="933"/>
      <c r="W54" s="914"/>
      <c r="X54" s="933"/>
      <c r="Y54" s="914"/>
      <c r="Z54" s="933"/>
      <c r="AA54" s="914"/>
      <c r="AB54" s="933"/>
      <c r="AC54" s="914"/>
      <c r="AD54" s="913"/>
      <c r="AE54" s="914"/>
      <c r="AF54" s="913"/>
    </row>
    <row r="55" spans="1:32">
      <c r="A55" s="930">
        <f>A53+1</f>
        <v>16</v>
      </c>
      <c r="B55" s="919"/>
      <c r="C55" s="932" t="s">
        <v>979</v>
      </c>
      <c r="D55" s="932"/>
      <c r="E55" s="919"/>
      <c r="F55" s="943"/>
      <c r="G55" s="919"/>
      <c r="H55" s="943"/>
      <c r="I55" s="919"/>
      <c r="J55" s="943"/>
      <c r="K55" s="919"/>
      <c r="L55" s="943"/>
      <c r="M55" s="919"/>
      <c r="N55" s="943"/>
      <c r="O55" s="919"/>
      <c r="P55" s="943"/>
      <c r="Q55" s="919"/>
      <c r="R55" s="943"/>
      <c r="S55" s="919"/>
      <c r="T55" s="943"/>
      <c r="U55" s="919"/>
      <c r="V55" s="943"/>
      <c r="W55" s="919"/>
      <c r="X55" s="943"/>
      <c r="Y55" s="919"/>
      <c r="Z55" s="943"/>
      <c r="AA55" s="919"/>
      <c r="AB55" s="943"/>
      <c r="AC55" s="919"/>
      <c r="AD55" s="943"/>
      <c r="AE55" s="924"/>
      <c r="AF55" s="943"/>
    </row>
    <row r="56" spans="1:32">
      <c r="A56" s="913"/>
      <c r="B56" s="913"/>
      <c r="C56" s="913"/>
      <c r="D56" s="913"/>
      <c r="E56" s="913"/>
      <c r="F56" s="913"/>
      <c r="G56" s="913"/>
      <c r="H56" s="913"/>
      <c r="I56" s="913"/>
      <c r="J56" s="913"/>
      <c r="K56" s="913"/>
      <c r="L56" s="913"/>
      <c r="M56" s="913"/>
      <c r="N56" s="913"/>
      <c r="O56" s="913"/>
      <c r="P56" s="913"/>
      <c r="Q56" s="913"/>
      <c r="R56" s="913"/>
      <c r="S56" s="913"/>
      <c r="T56" s="913"/>
      <c r="U56" s="913"/>
      <c r="V56" s="913"/>
      <c r="W56" s="913"/>
      <c r="X56" s="913"/>
      <c r="Y56" s="913"/>
      <c r="Z56" s="913"/>
      <c r="AA56" s="913"/>
      <c r="AB56" s="913"/>
      <c r="AC56" s="913"/>
      <c r="AD56" s="913"/>
      <c r="AE56" s="913"/>
      <c r="AF56" s="913"/>
    </row>
    <row r="57" spans="1:32">
      <c r="A57" s="944">
        <f>A55+0.01</f>
        <v>16.010000000000002</v>
      </c>
      <c r="B57" s="914"/>
      <c r="C57" s="945"/>
      <c r="D57" s="945"/>
      <c r="E57" s="914"/>
      <c r="F57" s="936"/>
      <c r="G57" s="914"/>
      <c r="H57" s="936"/>
      <c r="I57" s="914"/>
      <c r="J57" s="936"/>
      <c r="K57" s="914"/>
      <c r="L57" s="936"/>
      <c r="M57" s="914"/>
      <c r="N57" s="936"/>
      <c r="O57" s="914"/>
      <c r="P57" s="936"/>
      <c r="Q57" s="914"/>
      <c r="R57" s="936"/>
      <c r="S57" s="914"/>
      <c r="T57" s="936"/>
      <c r="U57" s="914"/>
      <c r="V57" s="936"/>
      <c r="W57" s="914"/>
      <c r="X57" s="936"/>
      <c r="Y57" s="914"/>
      <c r="Z57" s="936"/>
      <c r="AA57" s="914"/>
      <c r="AB57" s="936"/>
      <c r="AC57" s="914"/>
      <c r="AD57" s="936"/>
      <c r="AE57" s="914"/>
      <c r="AF57" s="933">
        <f>SUM(F57:AD57)/13</f>
        <v>0</v>
      </c>
    </row>
    <row r="58" spans="1:32">
      <c r="A58" s="944">
        <f>A57+0.01</f>
        <v>16.020000000000003</v>
      </c>
      <c r="B58" s="914"/>
      <c r="C58" s="945"/>
      <c r="D58" s="945"/>
      <c r="E58" s="914"/>
      <c r="F58" s="936"/>
      <c r="G58" s="914"/>
      <c r="H58" s="936"/>
      <c r="I58" s="914"/>
      <c r="J58" s="936"/>
      <c r="K58" s="914"/>
      <c r="L58" s="936"/>
      <c r="M58" s="914"/>
      <c r="N58" s="936"/>
      <c r="O58" s="914"/>
      <c r="P58" s="936"/>
      <c r="Q58" s="914"/>
      <c r="R58" s="936"/>
      <c r="S58" s="914"/>
      <c r="T58" s="936"/>
      <c r="U58" s="914"/>
      <c r="V58" s="936"/>
      <c r="W58" s="914"/>
      <c r="X58" s="936"/>
      <c r="Y58" s="914"/>
      <c r="Z58" s="936"/>
      <c r="AA58" s="914"/>
      <c r="AB58" s="936"/>
      <c r="AC58" s="914"/>
      <c r="AD58" s="936"/>
      <c r="AE58" s="914"/>
      <c r="AF58" s="933">
        <f>SUM(F58:AD58)/13</f>
        <v>0</v>
      </c>
    </row>
    <row r="59" spans="1:32">
      <c r="A59" s="913">
        <f>A55+1</f>
        <v>17</v>
      </c>
      <c r="B59" s="914"/>
      <c r="C59" s="945" t="str">
        <f ca="1">"Sum of Lines "&amp;A57&amp;" through "&amp;OFFSET(A59,-1,0)</f>
        <v>Sum of Lines 16.01 through 16.02</v>
      </c>
      <c r="D59" s="941"/>
      <c r="E59" s="914"/>
      <c r="F59" s="938">
        <f>SUM(F57:F58)</f>
        <v>0</v>
      </c>
      <c r="G59" s="914"/>
      <c r="H59" s="938">
        <f>SUM(H57:H58)</f>
        <v>0</v>
      </c>
      <c r="I59" s="914"/>
      <c r="J59" s="938">
        <f>SUM(J57:J58)</f>
        <v>0</v>
      </c>
      <c r="K59" s="914"/>
      <c r="L59" s="938">
        <f>SUM(L57:L58)</f>
        <v>0</v>
      </c>
      <c r="M59" s="914"/>
      <c r="N59" s="938">
        <f>SUM(N57:N58)</f>
        <v>0</v>
      </c>
      <c r="O59" s="914"/>
      <c r="P59" s="938">
        <f>SUM(P57:P58)</f>
        <v>0</v>
      </c>
      <c r="Q59" s="914"/>
      <c r="R59" s="938">
        <f>SUM(R57:R58)</f>
        <v>0</v>
      </c>
      <c r="S59" s="914"/>
      <c r="T59" s="938">
        <f>SUM(T57:T58)</f>
        <v>0</v>
      </c>
      <c r="U59" s="914"/>
      <c r="V59" s="938">
        <f>SUM(V57:V58)</f>
        <v>0</v>
      </c>
      <c r="W59" s="914"/>
      <c r="X59" s="938">
        <f>SUM(X57:X58)</f>
        <v>0</v>
      </c>
      <c r="Y59" s="914"/>
      <c r="Z59" s="938">
        <f>SUM(Z57:Z58)</f>
        <v>0</v>
      </c>
      <c r="AA59" s="914"/>
      <c r="AB59" s="938">
        <f>SUM(AB57:AB58)</f>
        <v>0</v>
      </c>
      <c r="AC59" s="914"/>
      <c r="AD59" s="938">
        <f>SUM(AD57:AD58)</f>
        <v>0</v>
      </c>
      <c r="AE59" s="914"/>
      <c r="AF59" s="938">
        <f>SUM(AF57:AF58)</f>
        <v>0</v>
      </c>
    </row>
    <row r="60" spans="1:32">
      <c r="A60" s="913"/>
      <c r="B60" s="914"/>
      <c r="C60" s="914"/>
      <c r="D60" s="914"/>
      <c r="E60" s="914"/>
      <c r="F60" s="947"/>
      <c r="G60" s="914"/>
      <c r="H60" s="933"/>
      <c r="I60" s="914"/>
      <c r="J60" s="933"/>
      <c r="K60" s="914"/>
      <c r="L60" s="933"/>
      <c r="M60" s="914"/>
      <c r="N60" s="933"/>
      <c r="O60" s="914"/>
      <c r="P60" s="933"/>
      <c r="Q60" s="914"/>
      <c r="R60" s="933"/>
      <c r="S60" s="914"/>
      <c r="T60" s="933"/>
      <c r="U60" s="914"/>
      <c r="V60" s="933"/>
      <c r="W60" s="914"/>
      <c r="X60" s="933"/>
      <c r="Y60" s="914"/>
      <c r="Z60" s="933"/>
      <c r="AA60" s="914"/>
      <c r="AB60" s="947"/>
      <c r="AC60" s="947"/>
      <c r="AD60" s="947"/>
      <c r="AE60" s="914"/>
      <c r="AF60" s="933"/>
    </row>
    <row r="61" spans="1:32" ht="18.75">
      <c r="A61" s="913">
        <f>A59+1</f>
        <v>18</v>
      </c>
      <c r="B61" s="948" t="s">
        <v>356</v>
      </c>
      <c r="C61" s="921" t="str">
        <f>"Total Unfunded Reserve (Line "&amp;A29&amp;" + Line "&amp;A35&amp;" + Line "&amp;A41&amp;" + Line "&amp;A47&amp;" + Line "&amp;A53&amp;"  + Line "&amp;A59&amp;")"</f>
        <v>Total Unfunded Reserve (Line 7 + Line 9 + Line 11 + Line 13 + Line 15  + Line 17)</v>
      </c>
      <c r="D61" s="921"/>
      <c r="E61" s="914"/>
      <c r="F61" s="933"/>
      <c r="G61" s="933"/>
      <c r="H61" s="933"/>
      <c r="I61" s="914"/>
      <c r="J61" s="933"/>
      <c r="K61" s="914"/>
      <c r="L61" s="933"/>
      <c r="M61" s="914"/>
      <c r="N61" s="933"/>
      <c r="O61" s="914"/>
      <c r="P61" s="933"/>
      <c r="Q61" s="914"/>
      <c r="R61" s="933"/>
      <c r="S61" s="914"/>
      <c r="T61" s="933"/>
      <c r="U61" s="914"/>
      <c r="V61" s="933"/>
      <c r="W61" s="914"/>
      <c r="X61" s="933"/>
      <c r="Y61" s="914"/>
      <c r="Z61" s="933"/>
      <c r="AA61" s="914"/>
      <c r="AB61" s="933"/>
      <c r="AC61" s="914"/>
      <c r="AD61" s="933"/>
      <c r="AE61" s="914"/>
      <c r="AF61" s="949">
        <f>AF29+AF35+AF41+AF47+AF53+AF59</f>
        <v>-164117.51674229131</v>
      </c>
    </row>
    <row r="62" spans="1:32" ht="30.75" customHeight="1">
      <c r="A62" s="913"/>
      <c r="B62" s="914"/>
      <c r="C62" s="914"/>
      <c r="D62" s="914"/>
      <c r="E62" s="914"/>
      <c r="F62" s="933"/>
      <c r="G62" s="933"/>
      <c r="H62" s="933"/>
      <c r="I62" s="914"/>
      <c r="J62" s="933"/>
      <c r="K62" s="914"/>
      <c r="L62" s="933"/>
      <c r="M62" s="914"/>
      <c r="N62" s="933"/>
      <c r="O62" s="914"/>
      <c r="P62" s="933"/>
      <c r="Q62" s="914"/>
      <c r="R62" s="933"/>
      <c r="S62" s="914"/>
      <c r="T62" s="933"/>
      <c r="U62" s="914"/>
      <c r="V62" s="933"/>
      <c r="W62" s="914"/>
      <c r="X62" s="933"/>
      <c r="Y62" s="914"/>
      <c r="Z62" s="933"/>
      <c r="AA62" s="914"/>
      <c r="AB62" s="933"/>
      <c r="AC62" s="914"/>
      <c r="AD62" s="933"/>
      <c r="AE62" s="914"/>
      <c r="AF62" s="933"/>
    </row>
    <row r="63" spans="1:32">
      <c r="A63" s="913"/>
      <c r="B63" s="914"/>
      <c r="C63" s="914"/>
      <c r="D63" s="914"/>
      <c r="E63" s="914"/>
      <c r="F63" s="933"/>
      <c r="G63" s="933"/>
      <c r="H63" s="933"/>
      <c r="I63" s="914"/>
      <c r="J63" s="933"/>
      <c r="K63" s="914"/>
      <c r="L63" s="933"/>
      <c r="M63" s="914"/>
      <c r="N63" s="950"/>
      <c r="O63" s="950"/>
      <c r="P63" s="950"/>
      <c r="Q63" s="950"/>
      <c r="R63" s="950"/>
      <c r="S63" s="914"/>
      <c r="T63" s="933"/>
      <c r="U63" s="914"/>
      <c r="V63" s="933"/>
      <c r="W63" s="914"/>
      <c r="X63" s="933"/>
      <c r="Y63" s="914"/>
      <c r="Z63" s="933"/>
      <c r="AA63" s="914"/>
      <c r="AB63" s="933"/>
      <c r="AC63" s="914"/>
      <c r="AD63" s="933"/>
      <c r="AE63" s="914"/>
      <c r="AF63" s="913"/>
    </row>
    <row r="64" spans="1:32">
      <c r="A64" s="913"/>
      <c r="B64" s="914"/>
      <c r="C64" s="914"/>
      <c r="D64" s="914"/>
      <c r="E64" s="914"/>
      <c r="F64" s="933"/>
      <c r="G64" s="933"/>
      <c r="H64" s="933"/>
      <c r="I64" s="914"/>
      <c r="J64" s="933"/>
      <c r="K64" s="914"/>
      <c r="L64" s="933"/>
      <c r="M64" s="914"/>
      <c r="N64" s="950"/>
      <c r="O64" s="950"/>
      <c r="P64" s="950"/>
      <c r="Q64" s="950"/>
      <c r="R64" s="950"/>
      <c r="S64" s="914"/>
      <c r="T64" s="933"/>
      <c r="U64" s="914"/>
      <c r="V64" s="933"/>
      <c r="W64" s="914"/>
      <c r="X64" s="933"/>
      <c r="Y64" s="914"/>
      <c r="Z64" s="933"/>
      <c r="AA64" s="914"/>
      <c r="AB64" s="933"/>
      <c r="AC64" s="914"/>
      <c r="AD64" s="933"/>
      <c r="AE64" s="914"/>
      <c r="AF64" s="913"/>
    </row>
    <row r="65" spans="1:32">
      <c r="A65" s="914"/>
      <c r="B65" s="914"/>
      <c r="C65" s="951" t="s">
        <v>176</v>
      </c>
      <c r="D65" s="951"/>
      <c r="E65" s="913"/>
      <c r="F65" s="933"/>
      <c r="G65" s="914"/>
      <c r="H65" s="933"/>
      <c r="I65" s="914"/>
      <c r="J65" s="933"/>
      <c r="K65" s="914"/>
      <c r="L65" s="933"/>
      <c r="M65" s="914"/>
      <c r="N65" s="950"/>
      <c r="O65" s="950"/>
      <c r="P65" s="950"/>
      <c r="Q65" s="950"/>
      <c r="R65" s="950"/>
      <c r="S65" s="914"/>
      <c r="T65" s="933"/>
      <c r="U65" s="914"/>
      <c r="V65" s="933"/>
      <c r="W65" s="914"/>
      <c r="X65" s="933"/>
      <c r="Y65" s="914"/>
      <c r="Z65" s="933"/>
      <c r="AA65" s="914"/>
      <c r="AB65" s="933"/>
      <c r="AC65" s="914"/>
      <c r="AD65" s="933"/>
      <c r="AE65" s="914"/>
      <c r="AF65" s="933"/>
    </row>
    <row r="66" spans="1:32">
      <c r="A66" s="914"/>
      <c r="B66" s="914"/>
      <c r="C66" s="1153" t="s">
        <v>980</v>
      </c>
      <c r="D66" s="1153"/>
      <c r="E66" s="1153"/>
      <c r="F66" s="946"/>
      <c r="G66" s="914"/>
      <c r="H66" s="952"/>
      <c r="I66" s="914"/>
      <c r="J66" s="933"/>
      <c r="K66" s="914"/>
      <c r="L66" s="953"/>
      <c r="M66" s="954"/>
      <c r="N66" s="950"/>
      <c r="O66" s="950"/>
      <c r="P66" s="950"/>
      <c r="Q66" s="950"/>
      <c r="R66" s="950"/>
      <c r="S66" s="914"/>
      <c r="T66" s="933"/>
      <c r="U66" s="914"/>
      <c r="V66" s="933"/>
      <c r="W66" s="914"/>
      <c r="X66" s="933"/>
      <c r="Y66" s="914"/>
      <c r="Z66" s="933"/>
      <c r="AA66" s="914"/>
      <c r="AB66" s="933"/>
      <c r="AC66" s="914"/>
      <c r="AD66" s="933"/>
      <c r="AE66" s="914"/>
      <c r="AF66" s="913"/>
    </row>
    <row r="67" spans="1:32" ht="15.75" customHeight="1">
      <c r="A67" s="914"/>
      <c r="B67" s="914"/>
      <c r="C67" s="1154" t="s">
        <v>1175</v>
      </c>
      <c r="D67" s="1154"/>
      <c r="E67" s="1154"/>
      <c r="F67" s="946"/>
      <c r="G67" s="914"/>
      <c r="H67" s="952"/>
      <c r="I67" s="914"/>
      <c r="J67" s="933"/>
      <c r="K67" s="914"/>
      <c r="L67" s="933"/>
      <c r="M67" s="914"/>
      <c r="N67" s="950"/>
      <c r="O67" s="950"/>
      <c r="P67" s="950"/>
      <c r="Q67" s="950"/>
      <c r="R67" s="950"/>
      <c r="S67" s="914"/>
      <c r="T67" s="933"/>
      <c r="U67" s="914"/>
      <c r="V67" s="933"/>
      <c r="W67" s="914"/>
      <c r="X67" s="933"/>
      <c r="Y67" s="914"/>
      <c r="Z67" s="933"/>
      <c r="AA67" s="914"/>
      <c r="AB67" s="933"/>
      <c r="AC67" s="914"/>
      <c r="AD67" s="933"/>
      <c r="AE67" s="914"/>
      <c r="AF67" s="913"/>
    </row>
    <row r="68" spans="1:32">
      <c r="A68" s="913"/>
      <c r="B68" s="913"/>
      <c r="C68" s="1046" t="s">
        <v>1213</v>
      </c>
      <c r="D68" s="1046"/>
      <c r="E68" s="914"/>
      <c r="F68" s="946"/>
      <c r="G68" s="914"/>
      <c r="H68" s="946"/>
      <c r="I68" s="914"/>
      <c r="J68" s="933"/>
      <c r="K68" s="914"/>
      <c r="L68" s="933"/>
      <c r="M68" s="914"/>
      <c r="N68" s="933"/>
      <c r="O68" s="914"/>
      <c r="P68" s="933"/>
      <c r="Q68" s="914"/>
      <c r="R68" s="933"/>
      <c r="S68" s="914"/>
      <c r="T68" s="933"/>
      <c r="U68" s="914"/>
      <c r="V68" s="933"/>
      <c r="W68" s="914"/>
      <c r="X68" s="933"/>
      <c r="Y68" s="914"/>
      <c r="Z68" s="933"/>
      <c r="AA68" s="914"/>
      <c r="AB68" s="933"/>
      <c r="AC68" s="914"/>
      <c r="AD68" s="933"/>
      <c r="AE68" s="914"/>
      <c r="AF68" s="913"/>
    </row>
    <row r="69" spans="1:32" ht="32.25" customHeight="1">
      <c r="A69" s="913"/>
      <c r="B69" s="913"/>
      <c r="C69" s="1155" t="s">
        <v>981</v>
      </c>
      <c r="D69" s="1155"/>
      <c r="E69" s="1155"/>
      <c r="F69" s="933"/>
      <c r="G69" s="914"/>
      <c r="H69" s="955"/>
      <c r="I69" s="955"/>
      <c r="J69" s="955"/>
      <c r="K69" s="955"/>
      <c r="L69" s="955"/>
      <c r="M69" s="955"/>
      <c r="N69" s="955"/>
      <c r="O69" s="914"/>
      <c r="P69" s="933"/>
      <c r="Q69" s="914"/>
      <c r="R69" s="933"/>
      <c r="S69" s="914"/>
      <c r="T69" s="933"/>
      <c r="U69" s="914"/>
      <c r="V69" s="933"/>
      <c r="W69" s="914"/>
      <c r="X69" s="933"/>
      <c r="Y69" s="914"/>
      <c r="Z69" s="933"/>
      <c r="AA69" s="914"/>
      <c r="AB69" s="933"/>
      <c r="AC69" s="914"/>
      <c r="AD69" s="933"/>
      <c r="AE69" s="914"/>
      <c r="AF69" s="913"/>
    </row>
    <row r="70" spans="1:32">
      <c r="C70" s="33" t="s">
        <v>982</v>
      </c>
    </row>
    <row r="71" spans="1:32">
      <c r="C71" s="33" t="s">
        <v>983</v>
      </c>
    </row>
  </sheetData>
  <mergeCells count="3">
    <mergeCell ref="C66:E66"/>
    <mergeCell ref="C67:E67"/>
    <mergeCell ref="C69:E69"/>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sheetPr codeName="Sheet25"/>
  <dimension ref="A1:P75"/>
  <sheetViews>
    <sheetView view="pageBreakPreview" zoomScale="60" zoomScaleNormal="80" workbookViewId="0"/>
  </sheetViews>
  <sheetFormatPr defaultColWidth="6.88671875" defaultRowHeight="12.75"/>
  <cols>
    <col min="1" max="1" width="7.109375" style="717" customWidth="1"/>
    <col min="2" max="2" width="47.88671875" style="717" customWidth="1"/>
    <col min="3" max="3" width="6.88671875" style="717"/>
    <col min="4" max="4" width="21" style="717" customWidth="1"/>
    <col min="5" max="6" width="15.109375" style="717" customWidth="1"/>
    <col min="7" max="7" width="19.5546875" style="717" customWidth="1"/>
    <col min="8" max="8" width="15.109375" style="717" customWidth="1"/>
    <col min="9" max="9" width="20.33203125" style="717" customWidth="1"/>
    <col min="10" max="10" width="15.109375" style="717" customWidth="1"/>
    <col min="11" max="11" width="11.33203125" style="717" bestFit="1" customWidth="1"/>
    <col min="12" max="12" width="14.5546875" style="717" bestFit="1" customWidth="1"/>
    <col min="13" max="13" width="9" style="717" bestFit="1" customWidth="1"/>
    <col min="14" max="14" width="12.88671875" style="717" bestFit="1" customWidth="1"/>
    <col min="15" max="15" width="6.88671875" style="717"/>
    <col min="16" max="16" width="11.109375" style="717" customWidth="1"/>
    <col min="17" max="16384" width="6.88671875" style="717"/>
  </cols>
  <sheetData>
    <row r="1" spans="1:16" ht="15.75">
      <c r="A1" s="716"/>
      <c r="B1" s="716"/>
      <c r="C1" s="716"/>
      <c r="D1" s="716"/>
      <c r="I1" s="718"/>
      <c r="J1" s="719" t="str">
        <f>'Attachment H-11A '!K1&amp;""&amp;", Attachment 15"</f>
        <v>Attachment H -11A, Attachment 15</v>
      </c>
    </row>
    <row r="2" spans="1:16" ht="15.75">
      <c r="A2" s="716"/>
      <c r="B2" s="716"/>
      <c r="C2" s="716"/>
      <c r="D2" s="716"/>
      <c r="I2" s="718"/>
      <c r="J2" s="719" t="s">
        <v>168</v>
      </c>
    </row>
    <row r="3" spans="1:16" ht="15.75">
      <c r="A3" s="716"/>
      <c r="B3" s="716"/>
      <c r="C3" s="716"/>
      <c r="D3" s="716"/>
      <c r="E3" s="720"/>
      <c r="G3" s="721"/>
      <c r="H3" s="722"/>
      <c r="I3" s="723"/>
      <c r="J3" s="719" t="str">
        <f>'Attachment H-11A '!K4</f>
        <v>For the 12 months ended 12/31/2023</v>
      </c>
    </row>
    <row r="4" spans="1:16" ht="15.75">
      <c r="A4" s="716"/>
      <c r="B4" s="716"/>
      <c r="C4" s="716"/>
      <c r="D4" s="1079"/>
      <c r="E4" s="720"/>
      <c r="G4" s="721"/>
      <c r="H4" s="1079"/>
      <c r="I4" s="723"/>
      <c r="J4" s="719"/>
    </row>
    <row r="5" spans="1:16" ht="15.75">
      <c r="B5" s="1156" t="s">
        <v>698</v>
      </c>
      <c r="C5" s="1156"/>
      <c r="D5" s="1156"/>
      <c r="E5" s="1156"/>
      <c r="F5" s="1156"/>
      <c r="G5" s="1156"/>
      <c r="H5" s="1156"/>
      <c r="I5" s="1156"/>
      <c r="J5" s="724"/>
    </row>
    <row r="6" spans="1:16" ht="15.75">
      <c r="B6" s="1156" t="s">
        <v>699</v>
      </c>
      <c r="C6" s="1156"/>
      <c r="D6" s="1156"/>
      <c r="E6" s="1156"/>
      <c r="F6" s="1156"/>
      <c r="G6" s="1156"/>
      <c r="H6" s="1156"/>
      <c r="I6" s="1156"/>
      <c r="J6" s="725"/>
    </row>
    <row r="7" spans="1:16">
      <c r="B7" s="726"/>
      <c r="C7" s="726"/>
    </row>
    <row r="8" spans="1:16">
      <c r="B8" s="727" t="s">
        <v>574</v>
      </c>
      <c r="C8" s="726"/>
      <c r="D8" s="727" t="s">
        <v>575</v>
      </c>
      <c r="E8" s="727" t="s">
        <v>576</v>
      </c>
      <c r="F8" s="727" t="s">
        <v>577</v>
      </c>
      <c r="G8" s="727" t="s">
        <v>578</v>
      </c>
      <c r="H8" s="727" t="s">
        <v>579</v>
      </c>
      <c r="I8" s="727" t="s">
        <v>700</v>
      </c>
      <c r="J8" s="727" t="s">
        <v>701</v>
      </c>
    </row>
    <row r="9" spans="1:16">
      <c r="B9" s="726"/>
      <c r="C9" s="726"/>
    </row>
    <row r="10" spans="1:16" ht="117" customHeight="1">
      <c r="A10" s="728" t="s">
        <v>159</v>
      </c>
      <c r="B10" s="728" t="s">
        <v>580</v>
      </c>
      <c r="C10" s="718"/>
      <c r="D10" s="728" t="s">
        <v>702</v>
      </c>
      <c r="E10" s="728" t="s">
        <v>703</v>
      </c>
      <c r="F10" s="728" t="s">
        <v>704</v>
      </c>
      <c r="G10" s="728" t="s">
        <v>621</v>
      </c>
      <c r="H10" s="728" t="s">
        <v>705</v>
      </c>
      <c r="I10" s="728" t="s">
        <v>706</v>
      </c>
      <c r="J10" s="728" t="s">
        <v>582</v>
      </c>
    </row>
    <row r="11" spans="1:16" ht="15.75">
      <c r="A11" s="729"/>
      <c r="B11" s="730" t="s">
        <v>707</v>
      </c>
      <c r="C11" s="718"/>
      <c r="D11" s="729"/>
      <c r="E11" s="729"/>
      <c r="F11" s="729"/>
      <c r="G11" s="729"/>
      <c r="H11" s="729"/>
      <c r="I11" s="729"/>
      <c r="J11" s="729"/>
    </row>
    <row r="12" spans="1:16" ht="15.75">
      <c r="A12" s="731">
        <v>1</v>
      </c>
      <c r="B12" s="730" t="s">
        <v>708</v>
      </c>
      <c r="C12" s="718"/>
      <c r="D12" s="729"/>
      <c r="E12" s="729"/>
      <c r="F12" s="729"/>
      <c r="G12" s="729"/>
      <c r="H12" s="729"/>
      <c r="I12" s="718"/>
      <c r="J12" s="729"/>
    </row>
    <row r="13" spans="1:16" ht="15.75">
      <c r="A13" s="732" t="s">
        <v>464</v>
      </c>
      <c r="B13" s="733" t="s">
        <v>1372</v>
      </c>
      <c r="C13" s="718"/>
      <c r="D13" s="734">
        <v>532.20000000000005</v>
      </c>
      <c r="E13" s="734"/>
      <c r="F13" s="734">
        <v>10</v>
      </c>
      <c r="G13" s="734">
        <v>4</v>
      </c>
      <c r="H13" s="734">
        <v>106.4396386144073</v>
      </c>
      <c r="I13" s="735">
        <f>(D13+E13)-H13</f>
        <v>425.76036138559277</v>
      </c>
      <c r="J13" s="732" t="s">
        <v>118</v>
      </c>
      <c r="L13" s="736"/>
      <c r="M13" s="736"/>
      <c r="N13" s="736"/>
      <c r="O13" s="736"/>
      <c r="P13" s="735"/>
    </row>
    <row r="14" spans="1:16" ht="15.75">
      <c r="A14" s="732" t="s">
        <v>465</v>
      </c>
      <c r="B14" s="733" t="s">
        <v>1373</v>
      </c>
      <c r="C14" s="718"/>
      <c r="D14" s="734">
        <v>5018.2650000000003</v>
      </c>
      <c r="E14" s="734"/>
      <c r="F14" s="734">
        <v>10</v>
      </c>
      <c r="G14" s="734">
        <v>4</v>
      </c>
      <c r="H14" s="734">
        <v>1003.6528645612195</v>
      </c>
      <c r="I14" s="735">
        <f t="shared" ref="I14:I29" si="0">(D14+E14)-H14</f>
        <v>4014.6121354387806</v>
      </c>
      <c r="J14" s="732" t="s">
        <v>118</v>
      </c>
      <c r="L14" s="736"/>
      <c r="M14" s="736"/>
      <c r="N14" s="736"/>
      <c r="O14" s="736"/>
      <c r="P14" s="735"/>
    </row>
    <row r="15" spans="1:16" ht="15.75">
      <c r="A15" s="732" t="s">
        <v>466</v>
      </c>
      <c r="B15" s="733" t="s">
        <v>1374</v>
      </c>
      <c r="C15" s="718"/>
      <c r="D15" s="734">
        <v>66949.964999999997</v>
      </c>
      <c r="E15" s="734"/>
      <c r="F15" s="734">
        <v>10</v>
      </c>
      <c r="G15" s="734">
        <v>4</v>
      </c>
      <c r="H15" s="734">
        <v>13389.991471225911</v>
      </c>
      <c r="I15" s="735">
        <f t="shared" si="0"/>
        <v>53559.973528774084</v>
      </c>
      <c r="J15" s="732" t="s">
        <v>118</v>
      </c>
      <c r="L15" s="736"/>
      <c r="M15" s="736"/>
      <c r="N15" s="736"/>
      <c r="O15" s="736"/>
      <c r="P15" s="735"/>
    </row>
    <row r="16" spans="1:16" ht="15.75">
      <c r="A16" s="732" t="s">
        <v>509</v>
      </c>
      <c r="B16" s="733" t="s">
        <v>1375</v>
      </c>
      <c r="C16" s="718"/>
      <c r="D16" s="734">
        <v>5733.8950000000004</v>
      </c>
      <c r="E16" s="734"/>
      <c r="F16" s="734">
        <v>10</v>
      </c>
      <c r="G16" s="734">
        <v>4</v>
      </c>
      <c r="H16" s="734">
        <v>1146.778361357309</v>
      </c>
      <c r="I16" s="735">
        <f t="shared" si="0"/>
        <v>4587.1166386426912</v>
      </c>
      <c r="J16" s="732" t="s">
        <v>118</v>
      </c>
      <c r="L16" s="736"/>
      <c r="M16" s="736"/>
      <c r="N16" s="736"/>
      <c r="O16" s="736"/>
      <c r="P16" s="735"/>
    </row>
    <row r="17" spans="1:16" ht="15.75">
      <c r="A17" s="732" t="s">
        <v>769</v>
      </c>
      <c r="B17" s="733" t="s">
        <v>1326</v>
      </c>
      <c r="C17" s="718"/>
      <c r="D17" s="734">
        <v>3180.3449999999998</v>
      </c>
      <c r="E17" s="734"/>
      <c r="F17" s="734">
        <v>10</v>
      </c>
      <c r="G17" s="734">
        <v>4</v>
      </c>
      <c r="H17" s="734">
        <v>636.06887230817847</v>
      </c>
      <c r="I17" s="735">
        <f t="shared" si="0"/>
        <v>2544.2761276918213</v>
      </c>
      <c r="J17" s="732" t="s">
        <v>118</v>
      </c>
      <c r="L17" s="736"/>
      <c r="M17" s="736"/>
      <c r="N17" s="736"/>
      <c r="O17" s="736"/>
      <c r="P17" s="735"/>
    </row>
    <row r="18" spans="1:16" ht="15.75">
      <c r="A18" s="732" t="s">
        <v>770</v>
      </c>
      <c r="B18" s="733" t="s">
        <v>1376</v>
      </c>
      <c r="C18" s="718"/>
      <c r="D18" s="734">
        <v>25048.245000000003</v>
      </c>
      <c r="E18" s="734"/>
      <c r="F18" s="734">
        <v>10</v>
      </c>
      <c r="G18" s="734">
        <v>4</v>
      </c>
      <c r="H18" s="734">
        <v>5009.6481739445971</v>
      </c>
      <c r="I18" s="735">
        <f t="shared" si="0"/>
        <v>20038.596826055407</v>
      </c>
      <c r="J18" s="732" t="s">
        <v>118</v>
      </c>
      <c r="L18" s="736"/>
      <c r="M18" s="736"/>
      <c r="N18" s="736"/>
      <c r="O18" s="736"/>
      <c r="P18" s="735"/>
    </row>
    <row r="19" spans="1:16" ht="15.75">
      <c r="A19" s="732" t="s">
        <v>1377</v>
      </c>
      <c r="B19" s="733" t="s">
        <v>1378</v>
      </c>
      <c r="C19" s="718"/>
      <c r="D19" s="734">
        <v>1130759.2849999999</v>
      </c>
      <c r="E19" s="734"/>
      <c r="F19" s="734">
        <v>10</v>
      </c>
      <c r="G19" s="734">
        <v>4</v>
      </c>
      <c r="H19" s="734">
        <v>226151.82879812759</v>
      </c>
      <c r="I19" s="735">
        <f t="shared" si="0"/>
        <v>904607.45620187232</v>
      </c>
      <c r="J19" s="732" t="s">
        <v>118</v>
      </c>
      <c r="L19" s="736"/>
      <c r="M19" s="736"/>
      <c r="N19" s="736"/>
      <c r="O19" s="736"/>
      <c r="P19" s="735"/>
    </row>
    <row r="20" spans="1:16" ht="15.75">
      <c r="A20" s="732" t="s">
        <v>1379</v>
      </c>
      <c r="B20" s="733" t="s">
        <v>1380</v>
      </c>
      <c r="C20" s="718"/>
      <c r="D20" s="734">
        <v>497114.35</v>
      </c>
      <c r="E20" s="734"/>
      <c r="F20" s="734">
        <v>10</v>
      </c>
      <c r="G20" s="734">
        <v>4</v>
      </c>
      <c r="H20" s="734">
        <v>99422.858009871503</v>
      </c>
      <c r="I20" s="735">
        <f t="shared" si="0"/>
        <v>397691.49199012847</v>
      </c>
      <c r="J20" s="732" t="s">
        <v>118</v>
      </c>
      <c r="L20" s="736"/>
      <c r="M20" s="736"/>
      <c r="N20" s="736"/>
      <c r="O20" s="736"/>
      <c r="P20" s="735"/>
    </row>
    <row r="21" spans="1:16" ht="15.75">
      <c r="A21" s="732" t="s">
        <v>1381</v>
      </c>
      <c r="B21" s="733" t="s">
        <v>1382</v>
      </c>
      <c r="C21" s="718"/>
      <c r="D21" s="734">
        <v>27211.25</v>
      </c>
      <c r="E21" s="734"/>
      <c r="F21" s="734">
        <v>10</v>
      </c>
      <c r="G21" s="734">
        <v>4</v>
      </c>
      <c r="H21" s="734">
        <v>5442.2494626751813</v>
      </c>
      <c r="I21" s="735">
        <f t="shared" si="0"/>
        <v>21769.00053732482</v>
      </c>
      <c r="J21" s="732" t="s">
        <v>118</v>
      </c>
      <c r="L21" s="736"/>
      <c r="M21" s="736"/>
      <c r="N21" s="736"/>
      <c r="O21" s="736"/>
      <c r="P21" s="735"/>
    </row>
    <row r="22" spans="1:16" ht="15.75">
      <c r="A22" s="732" t="s">
        <v>1383</v>
      </c>
      <c r="B22" s="733" t="s">
        <v>1384</v>
      </c>
      <c r="C22" s="718"/>
      <c r="D22" s="734">
        <v>-28377.485000000001</v>
      </c>
      <c r="E22" s="734"/>
      <c r="F22" s="734">
        <v>10</v>
      </c>
      <c r="G22" s="734">
        <v>4</v>
      </c>
      <c r="H22" s="734">
        <v>-5675.4959682238441</v>
      </c>
      <c r="I22" s="735">
        <f t="shared" si="0"/>
        <v>-22701.989031776156</v>
      </c>
      <c r="J22" s="732" t="s">
        <v>118</v>
      </c>
      <c r="L22" s="736"/>
      <c r="M22" s="736"/>
      <c r="N22" s="736"/>
      <c r="O22" s="736"/>
      <c r="P22" s="735"/>
    </row>
    <row r="23" spans="1:16" ht="15.75">
      <c r="A23" s="732" t="s">
        <v>1385</v>
      </c>
      <c r="B23" s="733" t="s">
        <v>1386</v>
      </c>
      <c r="C23" s="718"/>
      <c r="D23" s="734">
        <v>3849.7849999999999</v>
      </c>
      <c r="E23" s="734"/>
      <c r="F23" s="734">
        <v>10</v>
      </c>
      <c r="G23" s="734">
        <v>4</v>
      </c>
      <c r="H23" s="734">
        <v>769.9565078680323</v>
      </c>
      <c r="I23" s="735">
        <f t="shared" si="0"/>
        <v>3079.8284921319673</v>
      </c>
      <c r="J23" s="732" t="s">
        <v>118</v>
      </c>
      <c r="L23" s="736"/>
      <c r="M23" s="736"/>
      <c r="N23" s="736"/>
      <c r="O23" s="736"/>
      <c r="P23" s="735"/>
    </row>
    <row r="24" spans="1:16" ht="15.75">
      <c r="A24" s="732" t="s">
        <v>1387</v>
      </c>
      <c r="B24" s="733" t="s">
        <v>1388</v>
      </c>
      <c r="C24" s="718"/>
      <c r="D24" s="734">
        <v>68805.875</v>
      </c>
      <c r="E24" s="734"/>
      <c r="F24" s="734">
        <v>10</v>
      </c>
      <c r="G24" s="734">
        <v>4</v>
      </c>
      <c r="H24" s="734">
        <v>13761.173387354371</v>
      </c>
      <c r="I24" s="735">
        <f t="shared" si="0"/>
        <v>55044.701612645629</v>
      </c>
      <c r="J24" s="732" t="s">
        <v>118</v>
      </c>
      <c r="L24" s="736"/>
      <c r="M24" s="736"/>
      <c r="N24" s="736"/>
      <c r="O24" s="736"/>
      <c r="P24" s="735"/>
    </row>
    <row r="25" spans="1:16" ht="15.75">
      <c r="A25" s="732" t="s">
        <v>1389</v>
      </c>
      <c r="B25" s="733" t="s">
        <v>1390</v>
      </c>
      <c r="C25" s="718"/>
      <c r="D25" s="734">
        <v>306392.5</v>
      </c>
      <c r="E25" s="734"/>
      <c r="F25" s="734">
        <v>10</v>
      </c>
      <c r="G25" s="734">
        <v>4</v>
      </c>
      <c r="H25" s="734">
        <v>61278.491966913789</v>
      </c>
      <c r="I25" s="735">
        <f t="shared" si="0"/>
        <v>245114.0080330862</v>
      </c>
      <c r="J25" s="732" t="s">
        <v>118</v>
      </c>
      <c r="L25" s="736"/>
      <c r="M25" s="736"/>
      <c r="N25" s="736"/>
      <c r="O25" s="736"/>
      <c r="P25" s="735"/>
    </row>
    <row r="26" spans="1:16" ht="15.75">
      <c r="A26" s="732" t="s">
        <v>1391</v>
      </c>
      <c r="B26" s="733" t="s">
        <v>1327</v>
      </c>
      <c r="C26" s="718"/>
      <c r="D26" s="734">
        <v>-32691.58</v>
      </c>
      <c r="E26" s="734"/>
      <c r="F26" s="734">
        <v>10</v>
      </c>
      <c r="G26" s="734">
        <v>4</v>
      </c>
      <c r="H26" s="734">
        <v>-6538.3152498669715</v>
      </c>
      <c r="I26" s="735">
        <f t="shared" si="0"/>
        <v>-26153.264750133028</v>
      </c>
      <c r="J26" s="732" t="s">
        <v>118</v>
      </c>
      <c r="L26" s="736"/>
      <c r="M26" s="736"/>
      <c r="N26" s="736"/>
      <c r="O26" s="736"/>
      <c r="P26" s="735"/>
    </row>
    <row r="27" spans="1:16" ht="15.75">
      <c r="A27" s="732" t="s">
        <v>1392</v>
      </c>
      <c r="B27" s="733" t="s">
        <v>1393</v>
      </c>
      <c r="C27" s="718"/>
      <c r="D27" s="734">
        <v>2751.88</v>
      </c>
      <c r="E27" s="734"/>
      <c r="F27" s="734">
        <v>10</v>
      </c>
      <c r="G27" s="734">
        <v>4</v>
      </c>
      <c r="H27" s="734">
        <v>550.37569260461783</v>
      </c>
      <c r="I27" s="735">
        <f t="shared" si="0"/>
        <v>2201.5043073953821</v>
      </c>
      <c r="J27" s="732" t="s">
        <v>118</v>
      </c>
      <c r="L27" s="736"/>
      <c r="M27" s="736"/>
      <c r="N27" s="736"/>
      <c r="O27" s="736"/>
      <c r="P27" s="735"/>
    </row>
    <row r="28" spans="1:16" ht="15.75">
      <c r="A28" s="732" t="s">
        <v>1394</v>
      </c>
      <c r="B28" s="733" t="s">
        <v>1395</v>
      </c>
      <c r="C28" s="718"/>
      <c r="D28" s="734">
        <v>-1928.09</v>
      </c>
      <c r="E28" s="734"/>
      <c r="F28" s="734">
        <v>10</v>
      </c>
      <c r="G28" s="734">
        <v>4</v>
      </c>
      <c r="H28" s="734">
        <v>-385.61745502843075</v>
      </c>
      <c r="I28" s="735">
        <f t="shared" si="0"/>
        <v>-1542.4725449715693</v>
      </c>
      <c r="J28" s="732" t="s">
        <v>118</v>
      </c>
      <c r="L28" s="736"/>
      <c r="M28" s="736"/>
      <c r="N28" s="736"/>
      <c r="O28" s="736"/>
      <c r="P28" s="735"/>
    </row>
    <row r="29" spans="1:16" ht="15.75">
      <c r="A29" s="732"/>
      <c r="B29" s="733"/>
      <c r="C29" s="718"/>
      <c r="D29" s="734"/>
      <c r="E29" s="734"/>
      <c r="F29" s="734"/>
      <c r="G29" s="734"/>
      <c r="H29" s="734"/>
      <c r="I29" s="735">
        <f t="shared" si="0"/>
        <v>0</v>
      </c>
      <c r="J29" s="732" t="s">
        <v>118</v>
      </c>
      <c r="L29" s="736"/>
      <c r="M29" s="736"/>
      <c r="N29" s="736"/>
      <c r="O29" s="736"/>
      <c r="P29" s="735"/>
    </row>
    <row r="30" spans="1:16" ht="15.75">
      <c r="A30" s="737"/>
      <c r="B30" s="718"/>
      <c r="C30" s="718"/>
      <c r="D30" s="738"/>
      <c r="E30" s="738"/>
      <c r="F30" s="738"/>
      <c r="G30" s="738"/>
      <c r="H30" s="738"/>
      <c r="I30" s="735"/>
      <c r="J30" s="737"/>
      <c r="L30" s="736"/>
      <c r="M30" s="736"/>
      <c r="N30" s="736"/>
      <c r="O30" s="736"/>
      <c r="P30" s="736"/>
    </row>
    <row r="31" spans="1:16" ht="15.75">
      <c r="A31" s="731">
        <v>2</v>
      </c>
      <c r="B31" s="730" t="s">
        <v>709</v>
      </c>
      <c r="C31" s="718"/>
      <c r="D31" s="729"/>
      <c r="E31" s="729"/>
      <c r="F31" s="729"/>
      <c r="G31" s="729"/>
      <c r="H31" s="729"/>
      <c r="I31" s="718"/>
      <c r="J31" s="729"/>
      <c r="L31" s="736"/>
      <c r="M31" s="736"/>
      <c r="N31" s="736"/>
      <c r="O31" s="736"/>
      <c r="P31" s="736"/>
    </row>
    <row r="32" spans="1:16" ht="15.75">
      <c r="A32" s="732" t="s">
        <v>433</v>
      </c>
      <c r="B32" s="733"/>
      <c r="C32" s="718"/>
      <c r="D32" s="734"/>
      <c r="E32" s="734"/>
      <c r="F32" s="734"/>
      <c r="G32" s="734"/>
      <c r="H32" s="734"/>
      <c r="I32" s="735">
        <f t="shared" ref="I32" si="1">(D32+E32)-H32</f>
        <v>0</v>
      </c>
      <c r="J32" s="732"/>
      <c r="K32" s="739"/>
      <c r="L32" s="736"/>
      <c r="M32" s="736"/>
      <c r="N32" s="736"/>
      <c r="O32" s="736"/>
      <c r="P32" s="736"/>
    </row>
    <row r="33" spans="1:16" s="740" customFormat="1" ht="15.75">
      <c r="A33" s="725"/>
      <c r="B33" s="725"/>
      <c r="C33" s="725"/>
      <c r="D33" s="725"/>
      <c r="E33" s="725"/>
      <c r="F33" s="725"/>
      <c r="G33" s="725"/>
      <c r="H33" s="725"/>
      <c r="I33" s="725"/>
      <c r="J33" s="725"/>
      <c r="L33" s="741"/>
      <c r="M33" s="741"/>
      <c r="N33" s="741"/>
      <c r="O33" s="741"/>
      <c r="P33" s="741"/>
    </row>
    <row r="34" spans="1:16" ht="15.75">
      <c r="A34" s="731">
        <v>3</v>
      </c>
      <c r="B34" s="730" t="s">
        <v>710</v>
      </c>
      <c r="C34" s="718"/>
      <c r="D34" s="729"/>
      <c r="E34" s="729"/>
      <c r="F34" s="729"/>
      <c r="G34" s="729"/>
      <c r="H34" s="729"/>
      <c r="I34" s="718"/>
      <c r="J34" s="729"/>
      <c r="L34" s="736"/>
      <c r="M34" s="736"/>
      <c r="N34" s="736"/>
      <c r="O34" s="736"/>
      <c r="P34" s="736"/>
    </row>
    <row r="35" spans="1:16" ht="15.75">
      <c r="A35" s="732" t="s">
        <v>507</v>
      </c>
      <c r="B35" s="733" t="s">
        <v>1396</v>
      </c>
      <c r="C35" s="718"/>
      <c r="D35" s="734">
        <v>4141.6400000000003</v>
      </c>
      <c r="E35" s="734"/>
      <c r="F35" s="734">
        <v>10</v>
      </c>
      <c r="G35" s="734">
        <v>4</v>
      </c>
      <c r="H35" s="734">
        <v>828.3282849574673</v>
      </c>
      <c r="I35" s="735">
        <f t="shared" ref="I35:I41" si="2">(D35+E35)-H35</f>
        <v>3313.3117150425333</v>
      </c>
      <c r="J35" s="732" t="s">
        <v>118</v>
      </c>
      <c r="L35" s="736"/>
      <c r="M35" s="736"/>
      <c r="N35" s="736"/>
      <c r="O35" s="736"/>
      <c r="P35" s="735"/>
    </row>
    <row r="36" spans="1:16" ht="15.75">
      <c r="A36" s="732" t="s">
        <v>468</v>
      </c>
      <c r="B36" s="733" t="s">
        <v>1328</v>
      </c>
      <c r="C36" s="718"/>
      <c r="D36" s="734">
        <v>-17650.78</v>
      </c>
      <c r="E36" s="734"/>
      <c r="F36" s="734">
        <v>10</v>
      </c>
      <c r="G36" s="734">
        <v>4</v>
      </c>
      <c r="H36" s="734">
        <v>-3530.1559729160049</v>
      </c>
      <c r="I36" s="735">
        <f t="shared" si="2"/>
        <v>-14120.624027083993</v>
      </c>
      <c r="J36" s="732" t="s">
        <v>118</v>
      </c>
      <c r="L36" s="736"/>
      <c r="M36" s="736"/>
      <c r="N36" s="736"/>
      <c r="O36" s="736"/>
      <c r="P36" s="735"/>
    </row>
    <row r="37" spans="1:16" ht="15.75">
      <c r="A37" s="732" t="s">
        <v>469</v>
      </c>
      <c r="B37" s="733" t="s">
        <v>1397</v>
      </c>
      <c r="C37" s="718"/>
      <c r="D37" s="734">
        <v>-20654.994999999999</v>
      </c>
      <c r="E37" s="734"/>
      <c r="F37" s="734">
        <v>10</v>
      </c>
      <c r="G37" s="734">
        <v>4</v>
      </c>
      <c r="H37" s="734">
        <v>-4130.998685681634</v>
      </c>
      <c r="I37" s="735">
        <f t="shared" si="2"/>
        <v>-16523.996314318363</v>
      </c>
      <c r="J37" s="732" t="s">
        <v>118</v>
      </c>
      <c r="L37" s="736"/>
      <c r="M37" s="736"/>
      <c r="N37" s="736"/>
      <c r="O37" s="736"/>
      <c r="P37" s="735"/>
    </row>
    <row r="38" spans="1:16" ht="15.75">
      <c r="A38" s="732" t="s">
        <v>1043</v>
      </c>
      <c r="B38" s="733" t="s">
        <v>1398</v>
      </c>
      <c r="C38" s="718"/>
      <c r="D38" s="734">
        <v>-489580.05</v>
      </c>
      <c r="E38" s="734"/>
      <c r="F38" s="734">
        <v>10</v>
      </c>
      <c r="G38" s="734">
        <v>4</v>
      </c>
      <c r="H38" s="734">
        <v>-97915.998107046165</v>
      </c>
      <c r="I38" s="735">
        <f t="shared" si="2"/>
        <v>-391664.05189295381</v>
      </c>
      <c r="J38" s="732" t="s">
        <v>118</v>
      </c>
      <c r="L38" s="736"/>
      <c r="M38" s="736"/>
      <c r="N38" s="736"/>
      <c r="O38" s="736"/>
      <c r="P38" s="735"/>
    </row>
    <row r="39" spans="1:16" ht="15.75">
      <c r="A39" s="732" t="s">
        <v>1329</v>
      </c>
      <c r="B39" s="733" t="s">
        <v>1399</v>
      </c>
      <c r="C39" s="718"/>
      <c r="D39" s="734">
        <v>9656.6</v>
      </c>
      <c r="E39" s="734"/>
      <c r="F39" s="734">
        <v>10</v>
      </c>
      <c r="G39" s="734">
        <v>4</v>
      </c>
      <c r="H39" s="734">
        <v>1931.3200268321102</v>
      </c>
      <c r="I39" s="735">
        <f t="shared" si="2"/>
        <v>7725.2799731678897</v>
      </c>
      <c r="J39" s="732" t="s">
        <v>118</v>
      </c>
      <c r="L39" s="736"/>
      <c r="M39" s="736"/>
      <c r="N39" s="736"/>
      <c r="O39" s="736"/>
      <c r="P39" s="735"/>
    </row>
    <row r="40" spans="1:16" ht="15.75">
      <c r="A40" s="737"/>
      <c r="B40" s="718"/>
      <c r="C40" s="718"/>
      <c r="D40" s="738"/>
      <c r="E40" s="738"/>
      <c r="F40" s="738"/>
      <c r="G40" s="738"/>
      <c r="H40" s="738"/>
      <c r="I40" s="735"/>
      <c r="J40" s="737"/>
      <c r="L40" s="736"/>
      <c r="M40" s="736"/>
      <c r="N40" s="736"/>
      <c r="O40" s="736"/>
      <c r="P40" s="735"/>
    </row>
    <row r="41" spans="1:16" ht="15.75">
      <c r="A41" s="732">
        <v>4</v>
      </c>
      <c r="B41" s="742" t="s">
        <v>711</v>
      </c>
      <c r="C41" s="718"/>
      <c r="D41" s="734">
        <v>540617.63664839964</v>
      </c>
      <c r="E41" s="734">
        <v>3991</v>
      </c>
      <c r="F41" s="734"/>
      <c r="G41" s="734"/>
      <c r="H41" s="734">
        <v>108921.68112493456</v>
      </c>
      <c r="I41" s="735">
        <f t="shared" si="2"/>
        <v>435686.95552346506</v>
      </c>
      <c r="J41" s="732" t="s">
        <v>1330</v>
      </c>
      <c r="K41" s="739"/>
      <c r="L41" s="736"/>
      <c r="M41" s="736"/>
      <c r="N41" s="736"/>
      <c r="O41" s="736"/>
      <c r="P41" s="735"/>
    </row>
    <row r="42" spans="1:16" ht="15.75">
      <c r="A42" s="737"/>
      <c r="B42" s="743"/>
      <c r="C42" s="718"/>
      <c r="D42" s="744"/>
      <c r="E42" s="744"/>
      <c r="F42" s="738"/>
      <c r="G42" s="738"/>
      <c r="H42" s="744"/>
      <c r="I42" s="745"/>
      <c r="J42" s="737"/>
      <c r="L42" s="736"/>
      <c r="M42" s="736"/>
      <c r="N42" s="736"/>
      <c r="O42" s="736"/>
      <c r="P42" s="736"/>
    </row>
    <row r="43" spans="1:16" ht="15.75">
      <c r="A43" s="732">
        <v>5</v>
      </c>
      <c r="B43" s="742" t="s">
        <v>712</v>
      </c>
      <c r="C43" s="718"/>
      <c r="D43" s="746">
        <f>SUM(D13:D42)</f>
        <v>2106880.7366483989</v>
      </c>
      <c r="E43" s="746">
        <f>SUM(E13:E42)</f>
        <v>3991</v>
      </c>
      <c r="F43" s="747"/>
      <c r="G43" s="747"/>
      <c r="H43" s="746">
        <f>SUM(H13:H42)</f>
        <v>422174.26120538783</v>
      </c>
      <c r="I43" s="746">
        <f>SUM(I13:I42)</f>
        <v>1688697.4754430118</v>
      </c>
      <c r="J43" s="718"/>
      <c r="K43" s="746"/>
      <c r="L43" s="746"/>
      <c r="M43" s="747"/>
      <c r="N43" s="746"/>
      <c r="O43" s="746"/>
      <c r="P43" s="746"/>
    </row>
    <row r="44" spans="1:16" ht="15.75">
      <c r="A44" s="718"/>
      <c r="B44" s="743"/>
      <c r="C44" s="718"/>
      <c r="D44" s="1079"/>
      <c r="E44" s="746"/>
      <c r="F44" s="755"/>
      <c r="G44" s="755"/>
      <c r="H44" s="1079"/>
      <c r="I44" s="1079"/>
      <c r="J44" s="718"/>
      <c r="K44" s="736"/>
      <c r="L44" s="736"/>
      <c r="M44" s="736"/>
      <c r="N44" s="736"/>
      <c r="O44" s="736"/>
      <c r="P44" s="736"/>
    </row>
    <row r="45" spans="1:16" ht="78.75">
      <c r="A45" s="728" t="s">
        <v>159</v>
      </c>
      <c r="B45" s="728" t="s">
        <v>580</v>
      </c>
      <c r="C45" s="718"/>
      <c r="D45" s="728" t="s">
        <v>713</v>
      </c>
      <c r="E45" s="728" t="s">
        <v>703</v>
      </c>
      <c r="F45" s="728" t="s">
        <v>704</v>
      </c>
      <c r="G45" s="728" t="s">
        <v>621</v>
      </c>
      <c r="H45" s="728" t="s">
        <v>705</v>
      </c>
      <c r="I45" s="728" t="s">
        <v>706</v>
      </c>
      <c r="J45" s="728" t="s">
        <v>582</v>
      </c>
      <c r="L45" s="736"/>
      <c r="M45" s="736"/>
      <c r="N45" s="736"/>
      <c r="O45" s="736"/>
      <c r="P45" s="736"/>
    </row>
    <row r="46" spans="1:16" ht="15.75">
      <c r="A46" s="729"/>
      <c r="B46" s="730" t="s">
        <v>714</v>
      </c>
      <c r="C46" s="718"/>
      <c r="D46" s="729"/>
      <c r="E46" s="729"/>
      <c r="F46" s="729"/>
      <c r="G46" s="729"/>
      <c r="H46" s="729"/>
      <c r="I46" s="729"/>
      <c r="J46" s="729"/>
      <c r="L46" s="736"/>
      <c r="M46" s="736"/>
      <c r="N46" s="736"/>
      <c r="O46" s="736"/>
      <c r="P46" s="736"/>
    </row>
    <row r="47" spans="1:16" ht="15.75">
      <c r="A47" s="732">
        <f>A43+1</f>
        <v>6</v>
      </c>
      <c r="B47" s="718" t="s">
        <v>715</v>
      </c>
      <c r="C47" s="718"/>
      <c r="D47" s="734">
        <v>5797478.8746712953</v>
      </c>
      <c r="E47" s="734">
        <v>-65138.700666944358</v>
      </c>
      <c r="F47" s="748" t="s">
        <v>581</v>
      </c>
      <c r="G47" s="748" t="s">
        <v>581</v>
      </c>
      <c r="H47" s="749">
        <v>6663.1740043507889</v>
      </c>
      <c r="I47" s="735">
        <f>(D47+E47)-H47</f>
        <v>5725677</v>
      </c>
      <c r="J47" s="732" t="s">
        <v>1330</v>
      </c>
      <c r="L47" s="736"/>
      <c r="M47" s="736"/>
      <c r="N47" s="736"/>
      <c r="O47" s="736"/>
      <c r="P47" s="735"/>
    </row>
    <row r="48" spans="1:16" ht="15.75">
      <c r="A48" s="732">
        <v>7</v>
      </c>
      <c r="B48" s="718" t="s">
        <v>716</v>
      </c>
      <c r="C48" s="718"/>
      <c r="D48" s="734">
        <v>-36935452.060991012</v>
      </c>
      <c r="E48" s="734">
        <v>432138.27062649786</v>
      </c>
      <c r="F48" s="748" t="s">
        <v>581</v>
      </c>
      <c r="G48" s="748" t="s">
        <v>581</v>
      </c>
      <c r="H48" s="749">
        <v>-701941.79036451131</v>
      </c>
      <c r="I48" s="735">
        <f t="shared" ref="I48:I50" si="3">(D48+E48)-H48</f>
        <v>-35801372</v>
      </c>
      <c r="J48" s="732" t="s">
        <v>1330</v>
      </c>
      <c r="L48" s="736"/>
      <c r="M48" s="736"/>
      <c r="N48" s="736"/>
      <c r="O48" s="736"/>
      <c r="P48" s="735"/>
    </row>
    <row r="49" spans="1:16" ht="15.75">
      <c r="A49" s="732">
        <v>8</v>
      </c>
      <c r="B49" s="718" t="s">
        <v>717</v>
      </c>
      <c r="C49" s="718"/>
      <c r="D49" s="750">
        <v>0</v>
      </c>
      <c r="E49" s="750">
        <v>0</v>
      </c>
      <c r="F49" s="748" t="s">
        <v>581</v>
      </c>
      <c r="G49" s="748" t="s">
        <v>581</v>
      </c>
      <c r="H49" s="750">
        <v>0</v>
      </c>
      <c r="I49" s="735">
        <f t="shared" si="3"/>
        <v>0</v>
      </c>
      <c r="J49" s="732" t="s">
        <v>1330</v>
      </c>
      <c r="L49" s="736"/>
      <c r="M49" s="736"/>
      <c r="N49" s="736"/>
      <c r="O49" s="736"/>
      <c r="P49" s="735"/>
    </row>
    <row r="50" spans="1:16" ht="15.75">
      <c r="A50" s="732">
        <v>9</v>
      </c>
      <c r="B50" s="718" t="s">
        <v>718</v>
      </c>
      <c r="C50" s="718"/>
      <c r="D50" s="751">
        <v>-10747701.641926672</v>
      </c>
      <c r="E50" s="751">
        <v>127610.15446977627</v>
      </c>
      <c r="F50" s="748" t="s">
        <v>581</v>
      </c>
      <c r="G50" s="748" t="s">
        <v>581</v>
      </c>
      <c r="H50" s="751">
        <v>-241756.71825182415</v>
      </c>
      <c r="I50" s="745">
        <f t="shared" si="3"/>
        <v>-10378334.769205071</v>
      </c>
      <c r="J50" s="732" t="s">
        <v>1330</v>
      </c>
      <c r="L50" s="736"/>
      <c r="M50" s="736"/>
      <c r="N50" s="736"/>
      <c r="O50" s="736"/>
      <c r="P50" s="735"/>
    </row>
    <row r="51" spans="1:16" ht="15.75">
      <c r="A51" s="732">
        <v>10</v>
      </c>
      <c r="B51" s="742" t="s">
        <v>719</v>
      </c>
      <c r="C51" s="718"/>
      <c r="D51" s="752">
        <f>SUM(D47:D50)</f>
        <v>-41885674.828246385</v>
      </c>
      <c r="E51" s="752">
        <f>SUM(E47:E50)</f>
        <v>494609.72442932974</v>
      </c>
      <c r="F51" s="747"/>
      <c r="G51" s="747"/>
      <c r="H51" s="752">
        <f>SUM(H47:H50)</f>
        <v>-937035.33461198467</v>
      </c>
      <c r="I51" s="752">
        <f>SUM(I47:I50)</f>
        <v>-40454029.769205071</v>
      </c>
      <c r="J51" s="737"/>
      <c r="K51" s="739"/>
      <c r="L51" s="752"/>
      <c r="M51" s="752"/>
      <c r="N51" s="752"/>
      <c r="O51" s="736"/>
      <c r="P51" s="752"/>
    </row>
    <row r="52" spans="1:16" ht="15.75">
      <c r="A52" s="737"/>
      <c r="B52" s="743"/>
      <c r="C52" s="718"/>
      <c r="D52" s="753"/>
      <c r="E52" s="753"/>
      <c r="F52" s="747"/>
      <c r="G52" s="747"/>
      <c r="H52" s="754"/>
      <c r="I52" s="752"/>
      <c r="J52" s="737"/>
      <c r="L52" s="736"/>
      <c r="M52" s="736"/>
      <c r="N52" s="736"/>
      <c r="O52" s="736"/>
      <c r="P52" s="736"/>
    </row>
    <row r="53" spans="1:16" ht="15.75">
      <c r="A53" s="732">
        <v>11</v>
      </c>
      <c r="B53" s="743" t="s">
        <v>720</v>
      </c>
      <c r="C53" s="718"/>
      <c r="D53" s="747"/>
      <c r="E53" s="747"/>
      <c r="F53" s="747"/>
      <c r="G53" s="747"/>
      <c r="H53" s="734"/>
      <c r="I53" s="718"/>
      <c r="J53" s="737"/>
      <c r="K53" s="739"/>
      <c r="N53" s="746"/>
    </row>
    <row r="54" spans="1:16" ht="15.75">
      <c r="A54" s="737"/>
      <c r="B54" s="743"/>
      <c r="C54" s="718"/>
      <c r="D54" s="755"/>
      <c r="E54" s="755"/>
      <c r="F54" s="755"/>
      <c r="G54" s="755"/>
      <c r="H54" s="746"/>
      <c r="I54" s="735"/>
      <c r="J54" s="737"/>
      <c r="K54" s="739"/>
      <c r="N54" s="746"/>
    </row>
    <row r="55" spans="1:16" ht="15.75">
      <c r="A55" s="732">
        <v>12</v>
      </c>
      <c r="B55" s="743" t="s">
        <v>721</v>
      </c>
      <c r="C55" s="718"/>
      <c r="D55" s="747"/>
      <c r="E55" s="747"/>
      <c r="F55" s="747"/>
      <c r="G55" s="747"/>
      <c r="H55" s="746">
        <f>SUM(H13:H39)+SUM(H47:H49)+H53</f>
        <v>-382026.03627970727</v>
      </c>
      <c r="I55" s="718"/>
      <c r="J55" s="732" t="s">
        <v>1330</v>
      </c>
      <c r="K55" s="739"/>
      <c r="N55" s="746"/>
    </row>
    <row r="56" spans="1:16" ht="15.75">
      <c r="A56" s="756"/>
      <c r="B56" s="743"/>
      <c r="D56" s="1079"/>
      <c r="E56" s="1079"/>
      <c r="F56" s="755"/>
      <c r="G56" s="755"/>
      <c r="H56" s="1079"/>
      <c r="I56" s="1079"/>
      <c r="J56" s="756"/>
    </row>
    <row r="57" spans="1:16">
      <c r="A57" s="757" t="s">
        <v>206</v>
      </c>
      <c r="D57" s="758"/>
      <c r="E57" s="758"/>
      <c r="F57" s="758"/>
      <c r="G57" s="758"/>
      <c r="H57" s="759"/>
    </row>
    <row r="58" spans="1:16" ht="96.6" customHeight="1">
      <c r="A58" s="760" t="s">
        <v>101</v>
      </c>
      <c r="B58" s="1157" t="s">
        <v>1176</v>
      </c>
      <c r="C58" s="1157"/>
      <c r="D58" s="1157"/>
      <c r="E58" s="1157"/>
      <c r="F58" s="1157"/>
      <c r="G58" s="1157"/>
      <c r="H58" s="1157"/>
      <c r="I58" s="1157"/>
      <c r="J58" s="1157"/>
      <c r="L58" s="761"/>
    </row>
    <row r="59" spans="1:16">
      <c r="A59" s="760" t="s">
        <v>102</v>
      </c>
      <c r="B59" s="762" t="s">
        <v>722</v>
      </c>
      <c r="C59" s="762"/>
      <c r="D59" s="763"/>
      <c r="E59" s="763"/>
      <c r="F59" s="763"/>
      <c r="G59" s="764"/>
      <c r="H59" s="765"/>
      <c r="I59" s="762"/>
      <c r="J59" s="762"/>
    </row>
    <row r="60" spans="1:16">
      <c r="A60" s="760" t="s">
        <v>103</v>
      </c>
      <c r="B60" s="762" t="s">
        <v>723</v>
      </c>
      <c r="C60" s="762"/>
      <c r="D60" s="763"/>
      <c r="E60" s="763"/>
      <c r="F60" s="763"/>
      <c r="G60" s="764"/>
      <c r="H60" s="765"/>
      <c r="I60" s="762"/>
      <c r="J60" s="762"/>
    </row>
    <row r="61" spans="1:16">
      <c r="A61" s="760" t="s">
        <v>104</v>
      </c>
      <c r="B61" s="762" t="s">
        <v>724</v>
      </c>
      <c r="C61" s="762"/>
      <c r="D61" s="764"/>
      <c r="E61" s="764"/>
      <c r="F61" s="764"/>
      <c r="G61" s="764"/>
      <c r="H61" s="765"/>
      <c r="I61" s="762"/>
      <c r="J61" s="762"/>
    </row>
    <row r="62" spans="1:16">
      <c r="A62" s="760"/>
      <c r="B62" s="762" t="s">
        <v>725</v>
      </c>
      <c r="C62" s="762" t="s">
        <v>726</v>
      </c>
      <c r="D62" s="763"/>
      <c r="E62" s="763"/>
      <c r="F62" s="763"/>
      <c r="G62" s="763"/>
      <c r="H62" s="765"/>
      <c r="I62" s="762"/>
      <c r="J62" s="762"/>
    </row>
    <row r="63" spans="1:16">
      <c r="A63" s="760"/>
      <c r="B63" s="762" t="s">
        <v>727</v>
      </c>
      <c r="C63" s="762"/>
      <c r="D63" s="764"/>
      <c r="E63" s="764"/>
      <c r="F63" s="764"/>
      <c r="G63" s="764"/>
      <c r="H63" s="765"/>
      <c r="I63" s="762"/>
      <c r="J63" s="762"/>
    </row>
    <row r="64" spans="1:16">
      <c r="A64" s="760" t="s">
        <v>105</v>
      </c>
      <c r="B64" s="762" t="s">
        <v>831</v>
      </c>
      <c r="C64" s="762"/>
      <c r="D64" s="764"/>
      <c r="E64" s="764"/>
      <c r="F64" s="764"/>
      <c r="H64" s="765"/>
      <c r="I64" s="762"/>
      <c r="J64" s="862"/>
    </row>
    <row r="65" spans="1:10">
      <c r="A65" s="760" t="s">
        <v>106</v>
      </c>
      <c r="B65" s="762" t="s">
        <v>728</v>
      </c>
      <c r="C65" s="762"/>
      <c r="D65" s="764"/>
      <c r="E65" s="764"/>
      <c r="F65" s="764"/>
      <c r="G65" s="764"/>
      <c r="H65" s="765"/>
      <c r="I65" s="762"/>
      <c r="J65" s="762"/>
    </row>
    <row r="66" spans="1:10">
      <c r="A66" s="760" t="s">
        <v>107</v>
      </c>
      <c r="B66" s="1157" t="s">
        <v>1153</v>
      </c>
      <c r="C66" s="1157"/>
      <c r="D66" s="1157"/>
      <c r="E66" s="1157"/>
      <c r="F66" s="1157"/>
      <c r="G66" s="1157"/>
      <c r="H66" s="1157"/>
      <c r="I66" s="1157"/>
      <c r="J66" s="1157"/>
    </row>
    <row r="67" spans="1:10" ht="15.75">
      <c r="A67" s="756"/>
      <c r="D67" s="755"/>
      <c r="E67" s="755"/>
      <c r="F67" s="755"/>
      <c r="G67" s="747"/>
      <c r="H67" s="746"/>
    </row>
    <row r="68" spans="1:10" ht="15.75">
      <c r="A68" s="756"/>
      <c r="D68" s="755"/>
      <c r="E68" s="755"/>
      <c r="F68" s="755"/>
      <c r="G68" s="747"/>
      <c r="H68" s="746"/>
    </row>
    <row r="69" spans="1:10" ht="15.75">
      <c r="A69" s="756"/>
      <c r="D69" s="755"/>
      <c r="E69" s="755"/>
      <c r="F69" s="755"/>
      <c r="G69" s="747"/>
      <c r="H69" s="746"/>
    </row>
    <row r="70" spans="1:10" ht="15.75">
      <c r="A70" s="766"/>
      <c r="D70" s="747"/>
      <c r="E70" s="747"/>
      <c r="F70" s="747"/>
      <c r="G70" s="747"/>
      <c r="H70" s="746"/>
    </row>
    <row r="71" spans="1:10" ht="15.75">
      <c r="A71" s="766"/>
      <c r="D71" s="747"/>
      <c r="E71" s="747"/>
      <c r="F71" s="747"/>
      <c r="G71" s="747"/>
      <c r="H71" s="746"/>
    </row>
    <row r="72" spans="1:10" ht="15.75">
      <c r="A72" s="766"/>
      <c r="D72" s="747"/>
      <c r="E72" s="747"/>
      <c r="F72" s="747"/>
      <c r="G72" s="747"/>
      <c r="H72" s="746"/>
    </row>
    <row r="73" spans="1:10" ht="15.75">
      <c r="A73" s="766"/>
      <c r="D73" s="747"/>
      <c r="E73" s="747"/>
      <c r="F73" s="747"/>
      <c r="G73" s="747"/>
      <c r="H73" s="746"/>
    </row>
    <row r="74" spans="1:10" ht="15.75">
      <c r="D74" s="747"/>
      <c r="E74" s="747"/>
      <c r="F74" s="747"/>
      <c r="G74" s="747"/>
      <c r="H74" s="746"/>
    </row>
    <row r="75" spans="1:10" ht="15.75">
      <c r="A75" s="766"/>
      <c r="D75" s="747"/>
      <c r="E75" s="747"/>
      <c r="F75" s="747"/>
    </row>
  </sheetData>
  <mergeCells count="4">
    <mergeCell ref="B5:I5"/>
    <mergeCell ref="B6:I6"/>
    <mergeCell ref="B58:J58"/>
    <mergeCell ref="B66:J66"/>
  </mergeCells>
  <pageMargins left="0.7" right="0.7" top="0.75" bottom="0.75" header="0.3" footer="0.3"/>
  <pageSetup scale="41" orientation="portrait" r:id="rId1"/>
  <ignoredErrors>
    <ignoredError sqref="H55"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sheetPr codeName="Sheet26"/>
  <dimension ref="A2:AC52"/>
  <sheetViews>
    <sheetView view="pageBreakPreview" zoomScale="60" zoomScaleNormal="100" workbookViewId="0"/>
  </sheetViews>
  <sheetFormatPr defaultRowHeight="15"/>
  <cols>
    <col min="1" max="1" width="5.6640625" customWidth="1"/>
    <col min="2" max="2" width="0.88671875" customWidth="1"/>
    <col min="3" max="3" width="15.44140625" customWidth="1"/>
    <col min="4" max="4" width="9.109375" customWidth="1"/>
    <col min="5" max="5" width="14.5546875" customWidth="1"/>
    <col min="6" max="6" width="14" customWidth="1"/>
    <col min="7" max="7" width="6" customWidth="1"/>
    <col min="8" max="8" width="14.21875" customWidth="1"/>
    <col min="9" max="9" width="12.88671875" customWidth="1"/>
    <col min="10" max="10" width="12.77734375" customWidth="1"/>
    <col min="11" max="11" width="10.33203125" customWidth="1"/>
    <col min="12" max="12" width="9.88671875" customWidth="1"/>
    <col min="13" max="13" width="11.88671875" customWidth="1"/>
    <col min="14" max="14" width="9.5546875" customWidth="1"/>
    <col min="15" max="15" width="10.6640625" customWidth="1"/>
    <col min="17" max="17" width="8.88671875" customWidth="1"/>
    <col min="18" max="20" width="9" bestFit="1" customWidth="1"/>
    <col min="22" max="22" width="12.44140625" customWidth="1"/>
    <col min="23" max="23" width="10" customWidth="1"/>
    <col min="24" max="24" width="12.109375" customWidth="1"/>
    <col min="25" max="25" width="11.88671875" customWidth="1"/>
    <col min="26" max="26" width="10" customWidth="1"/>
    <col min="27" max="27" width="8.109375" customWidth="1"/>
    <col min="28" max="28" width="9.109375" customWidth="1"/>
    <col min="29" max="29" width="12.88671875" customWidth="1"/>
  </cols>
  <sheetData>
    <row r="2" spans="1:29" ht="15.75">
      <c r="AA2" s="834"/>
      <c r="AB2" s="834"/>
      <c r="AC2" s="835" t="str">
        <f>'Attachment H-11A '!K1&amp;""&amp;", Attachment 16"</f>
        <v>Attachment H -11A, Attachment 16</v>
      </c>
    </row>
    <row r="3" spans="1:29" ht="15.75">
      <c r="AA3" s="834"/>
      <c r="AB3" s="834"/>
      <c r="AC3" s="835" t="s">
        <v>168</v>
      </c>
    </row>
    <row r="4" spans="1:29" ht="18.75">
      <c r="M4" s="893" t="s">
        <v>914</v>
      </c>
      <c r="N4" s="893"/>
      <c r="AA4" s="834"/>
      <c r="AB4" s="834"/>
      <c r="AC4" s="836" t="str">
        <f>'Attachment H-11A '!K4</f>
        <v>For the 12 months ended 12/31/2023</v>
      </c>
    </row>
    <row r="7" spans="1:29" ht="15.75">
      <c r="A7" s="769"/>
      <c r="B7" s="703"/>
      <c r="C7" s="863"/>
      <c r="D7" s="863"/>
      <c r="E7" s="702"/>
      <c r="F7" s="702"/>
      <c r="G7" s="702"/>
      <c r="H7" s="702"/>
      <c r="I7" s="702"/>
      <c r="J7" s="702"/>
      <c r="K7" s="702"/>
      <c r="L7" s="702" t="s">
        <v>688</v>
      </c>
      <c r="M7" s="702" t="str">
        <f>"("&amp;CHAR(CODE(MID(L7,2,1))+1)&amp;")"</f>
        <v>(B)</v>
      </c>
      <c r="N7" s="702" t="str">
        <f t="shared" ref="N7:AC7" si="0">"("&amp;CHAR(CODE(MID(M7,2,1))+1)&amp;")"</f>
        <v>(C)</v>
      </c>
      <c r="O7" s="702" t="str">
        <f t="shared" si="0"/>
        <v>(D)</v>
      </c>
      <c r="P7" s="702" t="str">
        <f t="shared" si="0"/>
        <v>(E)</v>
      </c>
      <c r="Q7" s="702" t="str">
        <f t="shared" si="0"/>
        <v>(F)</v>
      </c>
      <c r="R7" s="702" t="str">
        <f t="shared" si="0"/>
        <v>(G)</v>
      </c>
      <c r="S7" s="702" t="str">
        <f t="shared" si="0"/>
        <v>(H)</v>
      </c>
      <c r="T7" s="702" t="str">
        <f t="shared" si="0"/>
        <v>(I)</v>
      </c>
      <c r="U7" s="702" t="str">
        <f t="shared" si="0"/>
        <v>(J)</v>
      </c>
      <c r="V7" s="702" t="str">
        <f t="shared" si="0"/>
        <v>(K)</v>
      </c>
      <c r="W7" s="702" t="str">
        <f t="shared" si="0"/>
        <v>(L)</v>
      </c>
      <c r="X7" s="702" t="str">
        <f t="shared" si="0"/>
        <v>(M)</v>
      </c>
      <c r="Y7" s="702" t="str">
        <f t="shared" si="0"/>
        <v>(N)</v>
      </c>
      <c r="Z7" s="702" t="str">
        <f t="shared" si="0"/>
        <v>(O)</v>
      </c>
      <c r="AA7" s="702" t="str">
        <f t="shared" si="0"/>
        <v>(P)</v>
      </c>
      <c r="AB7" s="702" t="str">
        <f t="shared" si="0"/>
        <v>(Q)</v>
      </c>
      <c r="AC7" s="702" t="str">
        <f t="shared" si="0"/>
        <v>(R)</v>
      </c>
    </row>
    <row r="8" spans="1:29" ht="29.45" customHeight="1">
      <c r="A8" s="769"/>
      <c r="B8" s="703"/>
      <c r="C8" s="703"/>
      <c r="D8" s="703"/>
      <c r="E8" s="703"/>
      <c r="F8" s="703"/>
      <c r="G8" s="703"/>
      <c r="H8" s="703"/>
      <c r="I8" s="703"/>
      <c r="J8" s="703"/>
      <c r="K8" s="703"/>
      <c r="L8" s="703"/>
      <c r="M8" s="861">
        <f>(MID(AC4:AC4,31,10)-1)</f>
        <v>2022</v>
      </c>
      <c r="N8" s="770">
        <f t="shared" ref="N8:Y8" si="1">$M$8+1</f>
        <v>2023</v>
      </c>
      <c r="O8" s="770">
        <f t="shared" si="1"/>
        <v>2023</v>
      </c>
      <c r="P8" s="770">
        <f t="shared" si="1"/>
        <v>2023</v>
      </c>
      <c r="Q8" s="770">
        <f t="shared" si="1"/>
        <v>2023</v>
      </c>
      <c r="R8" s="770">
        <f t="shared" si="1"/>
        <v>2023</v>
      </c>
      <c r="S8" s="770">
        <f t="shared" si="1"/>
        <v>2023</v>
      </c>
      <c r="T8" s="770">
        <f t="shared" si="1"/>
        <v>2023</v>
      </c>
      <c r="U8" s="770">
        <f t="shared" si="1"/>
        <v>2023</v>
      </c>
      <c r="V8" s="770">
        <f t="shared" si="1"/>
        <v>2023</v>
      </c>
      <c r="W8" s="770">
        <f t="shared" si="1"/>
        <v>2023</v>
      </c>
      <c r="X8" s="770">
        <f t="shared" si="1"/>
        <v>2023</v>
      </c>
      <c r="Y8" s="770">
        <f t="shared" si="1"/>
        <v>2023</v>
      </c>
      <c r="Z8" s="769"/>
      <c r="AA8" s="820"/>
      <c r="AB8" s="769"/>
      <c r="AC8" s="769"/>
    </row>
    <row r="9" spans="1:29" ht="67.349999999999994" customHeight="1">
      <c r="A9" s="771" t="s">
        <v>159</v>
      </c>
      <c r="B9" s="821"/>
      <c r="C9" s="775" t="s">
        <v>781</v>
      </c>
      <c r="D9" s="775" t="s">
        <v>175</v>
      </c>
      <c r="E9" s="775" t="s">
        <v>782</v>
      </c>
      <c r="F9" s="775" t="s">
        <v>780</v>
      </c>
      <c r="G9" s="775" t="s">
        <v>787</v>
      </c>
      <c r="H9" s="775" t="s">
        <v>779</v>
      </c>
      <c r="I9" s="775" t="s">
        <v>809</v>
      </c>
      <c r="J9" s="775" t="s">
        <v>788</v>
      </c>
      <c r="K9" s="775" t="s">
        <v>777</v>
      </c>
      <c r="L9" s="775" t="s">
        <v>778</v>
      </c>
      <c r="M9" s="776" t="s">
        <v>216</v>
      </c>
      <c r="N9" s="776" t="s">
        <v>732</v>
      </c>
      <c r="O9" s="776" t="s">
        <v>733</v>
      </c>
      <c r="P9" s="776" t="s">
        <v>734</v>
      </c>
      <c r="Q9" s="776" t="s">
        <v>735</v>
      </c>
      <c r="R9" s="776" t="s">
        <v>736</v>
      </c>
      <c r="S9" s="776" t="s">
        <v>737</v>
      </c>
      <c r="T9" s="776" t="s">
        <v>738</v>
      </c>
      <c r="U9" s="776" t="s">
        <v>739</v>
      </c>
      <c r="V9" s="776" t="s">
        <v>740</v>
      </c>
      <c r="W9" s="776" t="s">
        <v>741</v>
      </c>
      <c r="X9" s="776" t="s">
        <v>742</v>
      </c>
      <c r="Y9" s="776" t="s">
        <v>216</v>
      </c>
      <c r="Z9" s="776" t="s">
        <v>783</v>
      </c>
      <c r="AA9" s="822" t="s">
        <v>784</v>
      </c>
      <c r="AB9" s="776" t="s">
        <v>785</v>
      </c>
      <c r="AC9" s="776" t="s">
        <v>786</v>
      </c>
    </row>
    <row r="10" spans="1:29" ht="15.75">
      <c r="A10" s="827">
        <v>1</v>
      </c>
      <c r="B10" s="769"/>
      <c r="C10" s="824"/>
      <c r="D10" s="400"/>
      <c r="E10" s="850"/>
      <c r="F10" s="850"/>
      <c r="G10" s="850"/>
      <c r="H10" s="851"/>
      <c r="I10" s="783">
        <f>IF(G10=0,0,(G10*12))</f>
        <v>0</v>
      </c>
      <c r="J10" s="783">
        <f>IF(I10=0,F10,(F10-I10+12))</f>
        <v>0</v>
      </c>
      <c r="K10" s="783">
        <f>IF(I10=0,0,IFERROR(E10/J10,0))</f>
        <v>0</v>
      </c>
      <c r="L10" s="783">
        <f>K10*12</f>
        <v>0</v>
      </c>
      <c r="M10" s="783">
        <f>E10</f>
        <v>0</v>
      </c>
      <c r="N10" s="783">
        <f>M10-K10</f>
        <v>0</v>
      </c>
      <c r="O10" s="783">
        <f>IF(N10-$K10&gt;=0,N10-$K10,0)</f>
        <v>0</v>
      </c>
      <c r="P10" s="783">
        <f t="shared" ref="P10:Y11" si="2">IF(O10-$K10&gt;=0,O10-$K10,0)</f>
        <v>0</v>
      </c>
      <c r="Q10" s="783">
        <f>IF(P10-$K10&gt;=0,P10-$K10,0)</f>
        <v>0</v>
      </c>
      <c r="R10" s="783">
        <f t="shared" si="2"/>
        <v>0</v>
      </c>
      <c r="S10" s="783">
        <f t="shared" si="2"/>
        <v>0</v>
      </c>
      <c r="T10" s="783">
        <f t="shared" si="2"/>
        <v>0</v>
      </c>
      <c r="U10" s="783">
        <f t="shared" si="2"/>
        <v>0</v>
      </c>
      <c r="V10" s="783">
        <f t="shared" si="2"/>
        <v>0</v>
      </c>
      <c r="W10" s="783">
        <f t="shared" si="2"/>
        <v>0</v>
      </c>
      <c r="X10" s="783">
        <f t="shared" si="2"/>
        <v>0</v>
      </c>
      <c r="Y10" s="783">
        <f>IF(X10-$K10&gt;=0,X10-$K10,0)</f>
        <v>0</v>
      </c>
      <c r="Z10" s="783">
        <f>SUM(M10:Y10)/13</f>
        <v>0</v>
      </c>
      <c r="AA10" s="826">
        <f>Z10*'Attachment H-11A '!$I$248</f>
        <v>0</v>
      </c>
      <c r="AB10" s="783">
        <f>AA10*'Attachment H-11A '!$D$145</f>
        <v>0</v>
      </c>
      <c r="AC10" s="783">
        <f>L10+AA10+AB10</f>
        <v>0</v>
      </c>
    </row>
    <row r="11" spans="1:29" ht="15.75">
      <c r="A11" s="827">
        <v>1.01</v>
      </c>
      <c r="B11" s="703"/>
      <c r="C11" s="824"/>
      <c r="D11" s="400"/>
      <c r="E11" s="850"/>
      <c r="F11" s="850"/>
      <c r="G11" s="850"/>
      <c r="H11" s="851"/>
      <c r="I11" s="783">
        <f>IF(G11=0,0,(G11*12))</f>
        <v>0</v>
      </c>
      <c r="J11" s="783">
        <f t="shared" ref="J11:J20" si="3">IF(I11=0,F11,(F11-I11+12))</f>
        <v>0</v>
      </c>
      <c r="K11" s="783">
        <f>IF(I11=0,0,IFERROR(E11/J11,0))</f>
        <v>0</v>
      </c>
      <c r="L11" s="783">
        <f>K11*12</f>
        <v>0</v>
      </c>
      <c r="M11" s="783">
        <f>E11</f>
        <v>0</v>
      </c>
      <c r="N11" s="783">
        <f>M11-K11</f>
        <v>0</v>
      </c>
      <c r="O11" s="783">
        <f>IF(N11-$K11&gt;=0,N11-$K11,0)</f>
        <v>0</v>
      </c>
      <c r="P11" s="783">
        <f t="shared" si="2"/>
        <v>0</v>
      </c>
      <c r="Q11" s="783">
        <f t="shared" si="2"/>
        <v>0</v>
      </c>
      <c r="R11" s="783">
        <f t="shared" si="2"/>
        <v>0</v>
      </c>
      <c r="S11" s="783">
        <f t="shared" si="2"/>
        <v>0</v>
      </c>
      <c r="T11" s="783">
        <f t="shared" si="2"/>
        <v>0</v>
      </c>
      <c r="U11" s="783">
        <f t="shared" si="2"/>
        <v>0</v>
      </c>
      <c r="V11" s="783">
        <f t="shared" si="2"/>
        <v>0</v>
      </c>
      <c r="W11" s="783">
        <f t="shared" si="2"/>
        <v>0</v>
      </c>
      <c r="X11" s="783">
        <f t="shared" si="2"/>
        <v>0</v>
      </c>
      <c r="Y11" s="783">
        <f t="shared" si="2"/>
        <v>0</v>
      </c>
      <c r="Z11" s="783">
        <f>SUM(M11:Y11)/13</f>
        <v>0</v>
      </c>
      <c r="AA11" s="826">
        <f>Z11*'Attachment H-11A '!$I$248</f>
        <v>0</v>
      </c>
      <c r="AB11" s="783">
        <f>AA11*'Attachment H-11A '!$D$145</f>
        <v>0</v>
      </c>
      <c r="AC11" s="783">
        <f>L11+AA11+AB11</f>
        <v>0</v>
      </c>
    </row>
    <row r="12" spans="1:29" ht="15.75">
      <c r="A12" s="827">
        <f>A11+0.01</f>
        <v>1.02</v>
      </c>
      <c r="B12" s="703"/>
      <c r="C12" s="824"/>
      <c r="D12" s="825"/>
      <c r="E12" s="850"/>
      <c r="F12" s="850"/>
      <c r="G12" s="850"/>
      <c r="H12" s="851"/>
      <c r="I12" s="783">
        <f t="shared" ref="I12:I20" si="4">IF(G12=0,0,(G12*12))</f>
        <v>0</v>
      </c>
      <c r="J12" s="783">
        <f t="shared" si="3"/>
        <v>0</v>
      </c>
      <c r="K12" s="783">
        <f t="shared" ref="K12:K20" si="5">IF(I12=0,0,IFERROR(E12/J12,0))</f>
        <v>0</v>
      </c>
      <c r="L12" s="783">
        <f t="shared" ref="L12:L20" si="6">K12*12</f>
        <v>0</v>
      </c>
      <c r="M12" s="783">
        <f t="shared" ref="M12:M20" si="7">E12</f>
        <v>0</v>
      </c>
      <c r="N12" s="783">
        <f t="shared" ref="N12:N20" si="8">M12-K12</f>
        <v>0</v>
      </c>
      <c r="O12" s="783">
        <f t="shared" ref="O12:Y12" si="9">IF(N12-$K12&gt;=0,N12-$K12,0)</f>
        <v>0</v>
      </c>
      <c r="P12" s="783">
        <f t="shared" si="9"/>
        <v>0</v>
      </c>
      <c r="Q12" s="783">
        <f t="shared" si="9"/>
        <v>0</v>
      </c>
      <c r="R12" s="783">
        <f t="shared" si="9"/>
        <v>0</v>
      </c>
      <c r="S12" s="783">
        <f t="shared" si="9"/>
        <v>0</v>
      </c>
      <c r="T12" s="783">
        <f t="shared" si="9"/>
        <v>0</v>
      </c>
      <c r="U12" s="783">
        <f t="shared" si="9"/>
        <v>0</v>
      </c>
      <c r="V12" s="783">
        <f t="shared" si="9"/>
        <v>0</v>
      </c>
      <c r="W12" s="783">
        <f t="shared" si="9"/>
        <v>0</v>
      </c>
      <c r="X12" s="783">
        <f t="shared" si="9"/>
        <v>0</v>
      </c>
      <c r="Y12" s="783">
        <f t="shared" si="9"/>
        <v>0</v>
      </c>
      <c r="Z12" s="783">
        <f t="shared" ref="Z12:Z19" si="10">SUM(M12:Y12)/13</f>
        <v>0</v>
      </c>
      <c r="AA12" s="826">
        <f>Z12*'Attachment H-11A '!$I$248</f>
        <v>0</v>
      </c>
      <c r="AB12" s="783">
        <f>AA12*'Attachment H-11A '!$D$145</f>
        <v>0</v>
      </c>
      <c r="AC12" s="783">
        <f t="shared" ref="AC12:AC20" si="11">L12+AA12+AB12</f>
        <v>0</v>
      </c>
    </row>
    <row r="13" spans="1:29" ht="15.75">
      <c r="A13" s="827">
        <f t="shared" ref="A13:A20" si="12">A12+0.01</f>
        <v>1.03</v>
      </c>
      <c r="B13" s="703"/>
      <c r="C13" s="824"/>
      <c r="D13" s="825"/>
      <c r="E13" s="850"/>
      <c r="F13" s="850"/>
      <c r="G13" s="850"/>
      <c r="H13" s="851"/>
      <c r="I13" s="783">
        <f t="shared" si="4"/>
        <v>0</v>
      </c>
      <c r="J13" s="783">
        <f t="shared" si="3"/>
        <v>0</v>
      </c>
      <c r="K13" s="783">
        <f t="shared" si="5"/>
        <v>0</v>
      </c>
      <c r="L13" s="783">
        <f t="shared" si="6"/>
        <v>0</v>
      </c>
      <c r="M13" s="783">
        <f t="shared" si="7"/>
        <v>0</v>
      </c>
      <c r="N13" s="783">
        <f t="shared" si="8"/>
        <v>0</v>
      </c>
      <c r="O13" s="783">
        <f t="shared" ref="O13:Y13" si="13">IF(N13-$K13&gt;=0,N13-$K13,0)</f>
        <v>0</v>
      </c>
      <c r="P13" s="783">
        <f t="shared" si="13"/>
        <v>0</v>
      </c>
      <c r="Q13" s="783">
        <f t="shared" si="13"/>
        <v>0</v>
      </c>
      <c r="R13" s="783">
        <f t="shared" si="13"/>
        <v>0</v>
      </c>
      <c r="S13" s="783">
        <f t="shared" si="13"/>
        <v>0</v>
      </c>
      <c r="T13" s="783">
        <f t="shared" si="13"/>
        <v>0</v>
      </c>
      <c r="U13" s="783">
        <f t="shared" si="13"/>
        <v>0</v>
      </c>
      <c r="V13" s="783">
        <f t="shared" si="13"/>
        <v>0</v>
      </c>
      <c r="W13" s="783">
        <f t="shared" si="13"/>
        <v>0</v>
      </c>
      <c r="X13" s="783">
        <f t="shared" si="13"/>
        <v>0</v>
      </c>
      <c r="Y13" s="783">
        <f t="shared" si="13"/>
        <v>0</v>
      </c>
      <c r="Z13" s="783">
        <f t="shared" si="10"/>
        <v>0</v>
      </c>
      <c r="AA13" s="826">
        <f>Z13*'Attachment H-11A '!$I$248</f>
        <v>0</v>
      </c>
      <c r="AB13" s="783">
        <f>AA13*'Attachment H-11A '!$D$145</f>
        <v>0</v>
      </c>
      <c r="AC13" s="783">
        <f t="shared" si="11"/>
        <v>0</v>
      </c>
    </row>
    <row r="14" spans="1:29" ht="15.75">
      <c r="A14" s="827">
        <f t="shared" si="12"/>
        <v>1.04</v>
      </c>
      <c r="B14" s="703"/>
      <c r="C14" s="824"/>
      <c r="D14" s="825"/>
      <c r="E14" s="850"/>
      <c r="F14" s="850"/>
      <c r="G14" s="850"/>
      <c r="H14" s="851"/>
      <c r="I14" s="783">
        <f t="shared" si="4"/>
        <v>0</v>
      </c>
      <c r="J14" s="783">
        <f t="shared" si="3"/>
        <v>0</v>
      </c>
      <c r="K14" s="783">
        <f t="shared" si="5"/>
        <v>0</v>
      </c>
      <c r="L14" s="783">
        <f t="shared" si="6"/>
        <v>0</v>
      </c>
      <c r="M14" s="783">
        <f t="shared" si="7"/>
        <v>0</v>
      </c>
      <c r="N14" s="783">
        <f t="shared" si="8"/>
        <v>0</v>
      </c>
      <c r="O14" s="783">
        <f>IF(N14-$K14&gt;=0,N14-$K14,0)</f>
        <v>0</v>
      </c>
      <c r="P14" s="783">
        <f t="shared" ref="P14:Y14" si="14">IF(O14-$K14&gt;=0,O14-$K14,0)</f>
        <v>0</v>
      </c>
      <c r="Q14" s="783">
        <f t="shared" si="14"/>
        <v>0</v>
      </c>
      <c r="R14" s="783">
        <f t="shared" si="14"/>
        <v>0</v>
      </c>
      <c r="S14" s="783">
        <f t="shared" si="14"/>
        <v>0</v>
      </c>
      <c r="T14" s="783">
        <f t="shared" si="14"/>
        <v>0</v>
      </c>
      <c r="U14" s="783">
        <f t="shared" si="14"/>
        <v>0</v>
      </c>
      <c r="V14" s="783">
        <f t="shared" si="14"/>
        <v>0</v>
      </c>
      <c r="W14" s="783">
        <f t="shared" si="14"/>
        <v>0</v>
      </c>
      <c r="X14" s="783">
        <f t="shared" si="14"/>
        <v>0</v>
      </c>
      <c r="Y14" s="783">
        <f t="shared" si="14"/>
        <v>0</v>
      </c>
      <c r="Z14" s="783">
        <f t="shared" si="10"/>
        <v>0</v>
      </c>
      <c r="AA14" s="826">
        <f>Z14*'Attachment H-11A '!$I$248</f>
        <v>0</v>
      </c>
      <c r="AB14" s="783">
        <f>AA14*'Attachment H-11A '!$D$145</f>
        <v>0</v>
      </c>
      <c r="AC14" s="783">
        <f t="shared" si="11"/>
        <v>0</v>
      </c>
    </row>
    <row r="15" spans="1:29" ht="15.75">
      <c r="A15" s="827">
        <f t="shared" si="12"/>
        <v>1.05</v>
      </c>
      <c r="B15" s="703"/>
      <c r="C15" s="824"/>
      <c r="D15" s="825"/>
      <c r="E15" s="850"/>
      <c r="F15" s="850"/>
      <c r="G15" s="850"/>
      <c r="H15" s="851"/>
      <c r="I15" s="783">
        <f t="shared" si="4"/>
        <v>0</v>
      </c>
      <c r="J15" s="783">
        <f t="shared" si="3"/>
        <v>0</v>
      </c>
      <c r="K15" s="783">
        <f t="shared" si="5"/>
        <v>0</v>
      </c>
      <c r="L15" s="783">
        <f t="shared" si="6"/>
        <v>0</v>
      </c>
      <c r="M15" s="783">
        <f t="shared" si="7"/>
        <v>0</v>
      </c>
      <c r="N15" s="783">
        <f t="shared" si="8"/>
        <v>0</v>
      </c>
      <c r="O15" s="783">
        <f t="shared" ref="O15:Y15" si="15">IF(N15-$K15&gt;=0,N15-$K15,0)</f>
        <v>0</v>
      </c>
      <c r="P15" s="783">
        <f t="shared" si="15"/>
        <v>0</v>
      </c>
      <c r="Q15" s="783">
        <f t="shared" si="15"/>
        <v>0</v>
      </c>
      <c r="R15" s="783">
        <f t="shared" si="15"/>
        <v>0</v>
      </c>
      <c r="S15" s="783">
        <f t="shared" si="15"/>
        <v>0</v>
      </c>
      <c r="T15" s="783">
        <f t="shared" si="15"/>
        <v>0</v>
      </c>
      <c r="U15" s="783">
        <f t="shared" si="15"/>
        <v>0</v>
      </c>
      <c r="V15" s="783">
        <f t="shared" si="15"/>
        <v>0</v>
      </c>
      <c r="W15" s="783">
        <f t="shared" si="15"/>
        <v>0</v>
      </c>
      <c r="X15" s="783">
        <f t="shared" si="15"/>
        <v>0</v>
      </c>
      <c r="Y15" s="783">
        <f t="shared" si="15"/>
        <v>0</v>
      </c>
      <c r="Z15" s="783">
        <f t="shared" si="10"/>
        <v>0</v>
      </c>
      <c r="AA15" s="826">
        <f>Z15*'Attachment H-11A '!$I$248</f>
        <v>0</v>
      </c>
      <c r="AB15" s="783">
        <f>AA15*'Attachment H-11A '!$D$145</f>
        <v>0</v>
      </c>
      <c r="AC15" s="783">
        <f t="shared" si="11"/>
        <v>0</v>
      </c>
    </row>
    <row r="16" spans="1:29" ht="15.75">
      <c r="A16" s="827">
        <f t="shared" si="12"/>
        <v>1.06</v>
      </c>
      <c r="B16" s="703"/>
      <c r="C16" s="824"/>
      <c r="D16" s="825"/>
      <c r="E16" s="850"/>
      <c r="F16" s="850"/>
      <c r="G16" s="850"/>
      <c r="H16" s="851"/>
      <c r="I16" s="783">
        <f t="shared" si="4"/>
        <v>0</v>
      </c>
      <c r="J16" s="783">
        <f t="shared" si="3"/>
        <v>0</v>
      </c>
      <c r="K16" s="783">
        <f t="shared" si="5"/>
        <v>0</v>
      </c>
      <c r="L16" s="783">
        <f t="shared" si="6"/>
        <v>0</v>
      </c>
      <c r="M16" s="783">
        <f t="shared" si="7"/>
        <v>0</v>
      </c>
      <c r="N16" s="783">
        <f t="shared" si="8"/>
        <v>0</v>
      </c>
      <c r="O16" s="783">
        <f t="shared" ref="O16:Y16" si="16">IF(N16-$K16&gt;=0,N16-$K16,0)</f>
        <v>0</v>
      </c>
      <c r="P16" s="783">
        <f t="shared" si="16"/>
        <v>0</v>
      </c>
      <c r="Q16" s="783">
        <f t="shared" si="16"/>
        <v>0</v>
      </c>
      <c r="R16" s="783">
        <f t="shared" si="16"/>
        <v>0</v>
      </c>
      <c r="S16" s="783">
        <f t="shared" si="16"/>
        <v>0</v>
      </c>
      <c r="T16" s="783">
        <f t="shared" si="16"/>
        <v>0</v>
      </c>
      <c r="U16" s="783">
        <f t="shared" si="16"/>
        <v>0</v>
      </c>
      <c r="V16" s="783">
        <f t="shared" si="16"/>
        <v>0</v>
      </c>
      <c r="W16" s="783">
        <f t="shared" si="16"/>
        <v>0</v>
      </c>
      <c r="X16" s="783">
        <f t="shared" si="16"/>
        <v>0</v>
      </c>
      <c r="Y16" s="783">
        <f t="shared" si="16"/>
        <v>0</v>
      </c>
      <c r="Z16" s="783">
        <f t="shared" si="10"/>
        <v>0</v>
      </c>
      <c r="AA16" s="826">
        <f>Z16*'Attachment H-11A '!$I$248</f>
        <v>0</v>
      </c>
      <c r="AB16" s="783">
        <f>AA16*'Attachment H-11A '!$D$145</f>
        <v>0</v>
      </c>
      <c r="AC16" s="783">
        <f t="shared" si="11"/>
        <v>0</v>
      </c>
    </row>
    <row r="17" spans="1:29" ht="15.75">
      <c r="A17" s="827">
        <f t="shared" si="12"/>
        <v>1.07</v>
      </c>
      <c r="B17" s="703"/>
      <c r="C17" s="824"/>
      <c r="D17" s="825"/>
      <c r="E17" s="850"/>
      <c r="F17" s="850"/>
      <c r="G17" s="850"/>
      <c r="H17" s="851"/>
      <c r="I17" s="783">
        <f t="shared" si="4"/>
        <v>0</v>
      </c>
      <c r="J17" s="783">
        <f t="shared" si="3"/>
        <v>0</v>
      </c>
      <c r="K17" s="783">
        <f t="shared" si="5"/>
        <v>0</v>
      </c>
      <c r="L17" s="783">
        <f t="shared" si="6"/>
        <v>0</v>
      </c>
      <c r="M17" s="783">
        <f t="shared" si="7"/>
        <v>0</v>
      </c>
      <c r="N17" s="783">
        <f t="shared" si="8"/>
        <v>0</v>
      </c>
      <c r="O17" s="783">
        <f t="shared" ref="O17:Y17" si="17">IF(N17-$K17&gt;=0,N17-$K17,0)</f>
        <v>0</v>
      </c>
      <c r="P17" s="783">
        <f t="shared" si="17"/>
        <v>0</v>
      </c>
      <c r="Q17" s="783">
        <f t="shared" si="17"/>
        <v>0</v>
      </c>
      <c r="R17" s="783">
        <f t="shared" si="17"/>
        <v>0</v>
      </c>
      <c r="S17" s="783">
        <f t="shared" si="17"/>
        <v>0</v>
      </c>
      <c r="T17" s="783">
        <f t="shared" si="17"/>
        <v>0</v>
      </c>
      <c r="U17" s="783">
        <f t="shared" si="17"/>
        <v>0</v>
      </c>
      <c r="V17" s="783">
        <f t="shared" si="17"/>
        <v>0</v>
      </c>
      <c r="W17" s="783">
        <f t="shared" si="17"/>
        <v>0</v>
      </c>
      <c r="X17" s="783">
        <f t="shared" si="17"/>
        <v>0</v>
      </c>
      <c r="Y17" s="783">
        <f t="shared" si="17"/>
        <v>0</v>
      </c>
      <c r="Z17" s="783">
        <f t="shared" si="10"/>
        <v>0</v>
      </c>
      <c r="AA17" s="826">
        <f>Z17*'Attachment H-11A '!$I$248</f>
        <v>0</v>
      </c>
      <c r="AB17" s="783">
        <f>AA17*'Attachment H-11A '!$D$145</f>
        <v>0</v>
      </c>
      <c r="AC17" s="783">
        <f t="shared" si="11"/>
        <v>0</v>
      </c>
    </row>
    <row r="18" spans="1:29" ht="15.75">
      <c r="A18" s="827">
        <f t="shared" si="12"/>
        <v>1.08</v>
      </c>
      <c r="B18" s="703"/>
      <c r="C18" s="824"/>
      <c r="D18" s="825"/>
      <c r="E18" s="850"/>
      <c r="F18" s="850"/>
      <c r="G18" s="850"/>
      <c r="H18" s="851"/>
      <c r="I18" s="783">
        <f t="shared" si="4"/>
        <v>0</v>
      </c>
      <c r="J18" s="783">
        <f t="shared" si="3"/>
        <v>0</v>
      </c>
      <c r="K18" s="783">
        <f t="shared" si="5"/>
        <v>0</v>
      </c>
      <c r="L18" s="783">
        <f t="shared" si="6"/>
        <v>0</v>
      </c>
      <c r="M18" s="783">
        <f t="shared" si="7"/>
        <v>0</v>
      </c>
      <c r="N18" s="783">
        <f t="shared" si="8"/>
        <v>0</v>
      </c>
      <c r="O18" s="783">
        <f t="shared" ref="O18:Y18" si="18">IF(N18-$K18&gt;=0,N18-$K18,0)</f>
        <v>0</v>
      </c>
      <c r="P18" s="783">
        <f t="shared" si="18"/>
        <v>0</v>
      </c>
      <c r="Q18" s="783">
        <f t="shared" si="18"/>
        <v>0</v>
      </c>
      <c r="R18" s="783">
        <f>IF(Q18-$K18&gt;=0,Q18-$K18,0)</f>
        <v>0</v>
      </c>
      <c r="S18" s="783">
        <f t="shared" si="18"/>
        <v>0</v>
      </c>
      <c r="T18" s="783">
        <f t="shared" si="18"/>
        <v>0</v>
      </c>
      <c r="U18" s="783">
        <f t="shared" si="18"/>
        <v>0</v>
      </c>
      <c r="V18" s="783">
        <f>IF(U18-$K18&gt;=0,U18-$K18,0)</f>
        <v>0</v>
      </c>
      <c r="W18" s="783">
        <f t="shared" si="18"/>
        <v>0</v>
      </c>
      <c r="X18" s="783">
        <f t="shared" si="18"/>
        <v>0</v>
      </c>
      <c r="Y18" s="783">
        <f t="shared" si="18"/>
        <v>0</v>
      </c>
      <c r="Z18" s="783">
        <f t="shared" si="10"/>
        <v>0</v>
      </c>
      <c r="AA18" s="826">
        <f>Z18*'Attachment H-11A '!$I$248</f>
        <v>0</v>
      </c>
      <c r="AB18" s="783">
        <f>AA18*'Attachment H-11A '!$D$145</f>
        <v>0</v>
      </c>
      <c r="AC18" s="783">
        <f t="shared" si="11"/>
        <v>0</v>
      </c>
    </row>
    <row r="19" spans="1:29" ht="15.75">
      <c r="A19" s="827">
        <f t="shared" si="12"/>
        <v>1.0900000000000001</v>
      </c>
      <c r="B19" s="703"/>
      <c r="C19" s="824"/>
      <c r="D19" s="825"/>
      <c r="E19" s="850"/>
      <c r="F19" s="850"/>
      <c r="G19" s="850"/>
      <c r="H19" s="851"/>
      <c r="I19" s="783">
        <f t="shared" si="4"/>
        <v>0</v>
      </c>
      <c r="J19" s="783">
        <f t="shared" si="3"/>
        <v>0</v>
      </c>
      <c r="K19" s="783">
        <f t="shared" si="5"/>
        <v>0</v>
      </c>
      <c r="L19" s="783">
        <f t="shared" si="6"/>
        <v>0</v>
      </c>
      <c r="M19" s="783">
        <f t="shared" si="7"/>
        <v>0</v>
      </c>
      <c r="N19" s="783">
        <f t="shared" si="8"/>
        <v>0</v>
      </c>
      <c r="O19" s="783">
        <f t="shared" ref="O19:Y19" si="19">IF(N19-$K19&gt;=0,N19-$K19,0)</f>
        <v>0</v>
      </c>
      <c r="P19" s="783">
        <f t="shared" si="19"/>
        <v>0</v>
      </c>
      <c r="Q19" s="783">
        <f t="shared" si="19"/>
        <v>0</v>
      </c>
      <c r="R19" s="783">
        <f t="shared" si="19"/>
        <v>0</v>
      </c>
      <c r="S19" s="783">
        <f t="shared" si="19"/>
        <v>0</v>
      </c>
      <c r="T19" s="783">
        <f t="shared" si="19"/>
        <v>0</v>
      </c>
      <c r="U19" s="783">
        <f t="shared" si="19"/>
        <v>0</v>
      </c>
      <c r="V19" s="783">
        <f t="shared" si="19"/>
        <v>0</v>
      </c>
      <c r="W19" s="783">
        <f t="shared" si="19"/>
        <v>0</v>
      </c>
      <c r="X19" s="783">
        <f t="shared" si="19"/>
        <v>0</v>
      </c>
      <c r="Y19" s="783">
        <f t="shared" si="19"/>
        <v>0</v>
      </c>
      <c r="Z19" s="783">
        <f t="shared" si="10"/>
        <v>0</v>
      </c>
      <c r="AA19" s="826">
        <f>Z19*'Attachment H-11A '!$I$248</f>
        <v>0</v>
      </c>
      <c r="AB19" s="783">
        <f>AA19*'Attachment H-11A '!$D$145</f>
        <v>0</v>
      </c>
      <c r="AC19" s="783">
        <f t="shared" si="11"/>
        <v>0</v>
      </c>
    </row>
    <row r="20" spans="1:29" ht="15.75">
      <c r="A20" s="827">
        <f t="shared" si="12"/>
        <v>1.1000000000000001</v>
      </c>
      <c r="B20" s="703"/>
      <c r="C20" s="824"/>
      <c r="D20" s="825"/>
      <c r="E20" s="850"/>
      <c r="F20" s="850"/>
      <c r="G20" s="850"/>
      <c r="H20" s="851"/>
      <c r="I20" s="783">
        <f t="shared" si="4"/>
        <v>0</v>
      </c>
      <c r="J20" s="783">
        <f t="shared" si="3"/>
        <v>0</v>
      </c>
      <c r="K20" s="783">
        <f t="shared" si="5"/>
        <v>0</v>
      </c>
      <c r="L20" s="783">
        <f t="shared" si="6"/>
        <v>0</v>
      </c>
      <c r="M20" s="783">
        <f t="shared" si="7"/>
        <v>0</v>
      </c>
      <c r="N20" s="783">
        <f t="shared" si="8"/>
        <v>0</v>
      </c>
      <c r="O20" s="783">
        <f t="shared" ref="O20:Y20" si="20">IF(N20-$K20&gt;=0,N20-$K20,0)</f>
        <v>0</v>
      </c>
      <c r="P20" s="783">
        <f t="shared" si="20"/>
        <v>0</v>
      </c>
      <c r="Q20" s="783">
        <f>IF(P20-$K20&gt;=0,P20-$K20,0)</f>
        <v>0</v>
      </c>
      <c r="R20" s="783">
        <f t="shared" si="20"/>
        <v>0</v>
      </c>
      <c r="S20" s="783">
        <f t="shared" si="20"/>
        <v>0</v>
      </c>
      <c r="T20" s="783">
        <f t="shared" si="20"/>
        <v>0</v>
      </c>
      <c r="U20" s="783">
        <f>IF(T20-$K20&gt;=0,T20-$K20,0)</f>
        <v>0</v>
      </c>
      <c r="V20" s="783">
        <f t="shared" si="20"/>
        <v>0</v>
      </c>
      <c r="W20" s="783">
        <f t="shared" si="20"/>
        <v>0</v>
      </c>
      <c r="X20" s="783">
        <f>IF(W20-$K20&gt;=0,W20-$K20,0)</f>
        <v>0</v>
      </c>
      <c r="Y20" s="783">
        <f t="shared" si="20"/>
        <v>0</v>
      </c>
      <c r="Z20" s="783">
        <f>SUM(M20:Y20)/13</f>
        <v>0</v>
      </c>
      <c r="AA20" s="826">
        <f>Z20*'Attachment H-11A '!$I$248</f>
        <v>0</v>
      </c>
      <c r="AB20" s="783">
        <f>AA20*'Attachment H-11A '!$D$145</f>
        <v>0</v>
      </c>
      <c r="AC20" s="783">
        <f t="shared" si="11"/>
        <v>0</v>
      </c>
    </row>
    <row r="21" spans="1:29" ht="17.45" customHeight="1">
      <c r="A21" s="769"/>
      <c r="B21" s="769"/>
      <c r="C21" s="703"/>
      <c r="D21" s="783"/>
      <c r="E21" s="783"/>
      <c r="F21" s="783"/>
      <c r="G21" s="783"/>
      <c r="H21" s="783"/>
      <c r="I21" s="702"/>
      <c r="J21" s="702"/>
      <c r="K21" s="702"/>
      <c r="L21" s="702"/>
      <c r="M21" s="783"/>
      <c r="N21" s="783"/>
      <c r="O21" s="783"/>
      <c r="P21" s="783"/>
      <c r="Q21" s="783"/>
      <c r="R21" s="783"/>
      <c r="S21" s="783"/>
      <c r="T21" s="783"/>
      <c r="U21" s="783"/>
      <c r="V21" s="783"/>
      <c r="W21" s="783"/>
      <c r="X21" s="769"/>
      <c r="Y21" s="769"/>
      <c r="Z21" s="769"/>
      <c r="AA21" s="820"/>
      <c r="AB21" s="769"/>
      <c r="AC21" s="769"/>
    </row>
    <row r="22" spans="1:29" ht="17.45" customHeight="1">
      <c r="A22" s="769"/>
      <c r="B22" s="769"/>
      <c r="C22" s="703"/>
      <c r="D22" s="783"/>
      <c r="E22" s="783"/>
      <c r="F22" s="783"/>
      <c r="G22" s="783"/>
      <c r="H22" s="783"/>
      <c r="I22" s="783"/>
      <c r="J22" s="783"/>
      <c r="K22" s="783"/>
      <c r="L22" s="783"/>
      <c r="M22" s="783"/>
      <c r="N22" s="783"/>
      <c r="O22" s="783"/>
      <c r="P22" s="783"/>
      <c r="Q22" s="783"/>
      <c r="R22" s="783"/>
      <c r="S22" s="783"/>
      <c r="T22" s="783"/>
      <c r="U22" s="783"/>
      <c r="V22" s="783"/>
      <c r="W22" s="783"/>
      <c r="X22" s="769"/>
      <c r="Y22" s="769"/>
      <c r="Z22" s="769"/>
      <c r="AA22" s="820"/>
      <c r="AB22" s="769"/>
      <c r="AC22" s="769"/>
    </row>
    <row r="23" spans="1:29" ht="15.6" customHeight="1">
      <c r="A23" s="769"/>
      <c r="B23" s="769"/>
      <c r="C23" s="703"/>
      <c r="D23" s="783"/>
      <c r="E23" s="783"/>
      <c r="F23" s="783"/>
      <c r="G23" s="783"/>
      <c r="H23" s="783"/>
      <c r="I23" s="783"/>
      <c r="J23" s="783"/>
      <c r="K23" s="783"/>
      <c r="L23" s="783"/>
      <c r="M23" s="783"/>
      <c r="N23" s="783"/>
      <c r="O23" s="783"/>
      <c r="P23" s="783"/>
      <c r="Q23" s="783"/>
      <c r="R23" s="783"/>
      <c r="S23" s="783"/>
      <c r="T23" s="783"/>
      <c r="U23" s="783"/>
      <c r="V23" s="783"/>
      <c r="W23" s="783"/>
      <c r="X23" s="769"/>
      <c r="Y23" s="769"/>
      <c r="Z23" s="769"/>
      <c r="AA23" s="820"/>
      <c r="AB23" s="769"/>
      <c r="AC23" s="769"/>
    </row>
    <row r="24" spans="1:29" s="833" customFormat="1" ht="16.5" thickBot="1">
      <c r="A24" s="828">
        <v>2</v>
      </c>
      <c r="B24" s="828"/>
      <c r="C24" s="829" t="s">
        <v>9</v>
      </c>
      <c r="D24" s="830"/>
      <c r="E24" s="830"/>
      <c r="F24" s="830"/>
      <c r="G24" s="830"/>
      <c r="H24" s="830"/>
      <c r="I24" s="830"/>
      <c r="J24" s="830"/>
      <c r="K24" s="830"/>
      <c r="L24" s="830"/>
      <c r="M24" s="830"/>
      <c r="N24" s="830"/>
      <c r="O24" s="830"/>
      <c r="P24" s="830"/>
      <c r="Q24" s="830"/>
      <c r="R24" s="830"/>
      <c r="S24" s="830"/>
      <c r="T24" s="830"/>
      <c r="U24" s="830"/>
      <c r="V24" s="830"/>
      <c r="W24" s="830"/>
      <c r="X24" s="828"/>
      <c r="Y24" s="828"/>
      <c r="Z24" s="831"/>
      <c r="AA24" s="832"/>
      <c r="AB24" s="831"/>
      <c r="AC24" s="855">
        <f>SUM(AC10:AC20)</f>
        <v>0</v>
      </c>
    </row>
    <row r="25" spans="1:29" ht="16.5" thickTop="1">
      <c r="A25" s="769"/>
      <c r="B25" s="769"/>
      <c r="C25" s="703"/>
      <c r="D25" s="783"/>
      <c r="E25" s="783"/>
      <c r="F25" s="783"/>
      <c r="G25" s="783"/>
      <c r="H25" s="783"/>
      <c r="I25" s="783"/>
      <c r="J25" s="783"/>
      <c r="K25" s="783"/>
      <c r="L25" s="783"/>
      <c r="M25" s="783"/>
      <c r="N25" s="783"/>
      <c r="O25" s="783"/>
      <c r="P25" s="783"/>
      <c r="Q25" s="783"/>
      <c r="R25" s="783"/>
      <c r="S25" s="783"/>
      <c r="T25" s="783"/>
      <c r="U25" s="783"/>
      <c r="V25" s="783"/>
      <c r="W25" s="783"/>
      <c r="X25" s="769"/>
      <c r="Y25" s="769"/>
      <c r="Z25" s="769"/>
      <c r="AA25" s="820"/>
      <c r="AB25" s="769"/>
      <c r="AC25" s="769"/>
    </row>
    <row r="26" spans="1:29" ht="15.75">
      <c r="A26" s="769"/>
      <c r="B26" s="769"/>
      <c r="C26" s="703"/>
      <c r="D26" s="783"/>
      <c r="E26" s="783"/>
      <c r="F26" s="783"/>
      <c r="G26" s="783"/>
      <c r="H26" s="783"/>
      <c r="I26" s="783"/>
      <c r="J26" s="783"/>
      <c r="K26" s="783"/>
      <c r="L26" s="783"/>
      <c r="M26" s="783"/>
      <c r="N26" s="783"/>
      <c r="O26" s="783"/>
      <c r="P26" s="783"/>
      <c r="Q26" s="783"/>
      <c r="R26" s="783"/>
      <c r="S26" s="783"/>
      <c r="T26" s="783"/>
      <c r="U26" s="783"/>
      <c r="V26" s="783"/>
      <c r="W26" s="783"/>
      <c r="X26" s="769"/>
      <c r="Y26" s="769"/>
      <c r="Z26" s="769"/>
      <c r="AA26" s="820"/>
      <c r="AB26" s="769"/>
      <c r="AC26" s="769"/>
    </row>
    <row r="27" spans="1:29" ht="15.75">
      <c r="A27" s="769"/>
      <c r="B27" s="769"/>
      <c r="C27" s="703"/>
      <c r="D27" s="783"/>
      <c r="E27" s="783"/>
      <c r="F27" s="783"/>
      <c r="G27" s="783"/>
      <c r="H27" s="783"/>
      <c r="I27" s="783"/>
      <c r="J27" s="783"/>
      <c r="K27" s="783"/>
      <c r="L27" s="783"/>
      <c r="M27" s="783"/>
      <c r="N27" s="783"/>
      <c r="O27" s="783"/>
      <c r="P27" s="783"/>
      <c r="Q27" s="783"/>
      <c r="R27" s="783"/>
      <c r="S27" s="783"/>
      <c r="T27" s="783"/>
      <c r="U27" s="783"/>
      <c r="V27" s="783"/>
      <c r="W27" s="783"/>
      <c r="X27" s="769"/>
      <c r="Y27" s="769"/>
      <c r="Z27" s="769"/>
      <c r="AA27" s="820"/>
      <c r="AB27" s="769"/>
      <c r="AC27" s="769"/>
    </row>
    <row r="28" spans="1:29" ht="15.75">
      <c r="C28" s="786" t="s">
        <v>176</v>
      </c>
      <c r="D28" s="703"/>
      <c r="E28" s="703"/>
      <c r="G28" s="703"/>
    </row>
    <row r="29" spans="1:29" ht="15.75">
      <c r="C29" s="703" t="s">
        <v>1214</v>
      </c>
    </row>
    <row r="30" spans="1:29" ht="15.75">
      <c r="C30" s="703" t="s">
        <v>1221</v>
      </c>
    </row>
    <row r="31" spans="1:29" ht="15.75">
      <c r="C31" s="703" t="s">
        <v>1222</v>
      </c>
    </row>
    <row r="32" spans="1:29" ht="15.75">
      <c r="C32" s="703" t="s">
        <v>1223</v>
      </c>
      <c r="D32" s="703"/>
      <c r="E32" s="703"/>
      <c r="F32" s="703"/>
      <c r="G32" s="703"/>
      <c r="H32" s="703"/>
    </row>
    <row r="33" spans="3:3" ht="15.75">
      <c r="C33" s="703" t="s">
        <v>1224</v>
      </c>
    </row>
    <row r="34" spans="3:3" ht="15.75">
      <c r="C34" s="703" t="s">
        <v>1225</v>
      </c>
    </row>
    <row r="35" spans="3:3" ht="15.75">
      <c r="C35" s="703" t="s">
        <v>1226</v>
      </c>
    </row>
    <row r="36" spans="3:3" ht="15.75">
      <c r="C36" s="703" t="s">
        <v>1227</v>
      </c>
    </row>
    <row r="52" ht="14.1"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sheetPr codeName="Sheet27"/>
  <dimension ref="A1:AH21"/>
  <sheetViews>
    <sheetView view="pageBreakPreview" zoomScale="60" zoomScaleNormal="100" workbookViewId="0"/>
  </sheetViews>
  <sheetFormatPr defaultColWidth="5" defaultRowHeight="15.75"/>
  <cols>
    <col min="1" max="1" width="5.109375" style="769" bestFit="1" customWidth="1"/>
    <col min="2" max="2" width="2.109375" style="703" bestFit="1" customWidth="1"/>
    <col min="3" max="3" width="13.88671875" style="703" customWidth="1"/>
    <col min="4" max="4" width="2.109375" style="703" bestFit="1" customWidth="1"/>
    <col min="5" max="5" width="35" style="783" customWidth="1"/>
    <col min="6" max="6" width="2.109375" style="703" bestFit="1" customWidth="1"/>
    <col min="7" max="7" width="15.109375" style="783" bestFit="1" customWidth="1"/>
    <col min="8" max="8" width="2.109375" style="703" bestFit="1" customWidth="1"/>
    <col min="9" max="9" width="10.6640625" style="783" customWidth="1"/>
    <col min="10" max="10" width="2.109375" style="703" bestFit="1" customWidth="1"/>
    <col min="11" max="11" width="10.6640625" style="783" customWidth="1"/>
    <col min="12" max="12" width="2.109375" style="703" bestFit="1" customWidth="1"/>
    <col min="13" max="13" width="10.6640625" style="783" customWidth="1"/>
    <col min="14" max="14" width="2.109375" style="703" bestFit="1" customWidth="1"/>
    <col min="15" max="15" width="10.6640625" style="783" customWidth="1"/>
    <col min="16" max="16" width="2.109375" style="703" bestFit="1" customWidth="1"/>
    <col min="17" max="17" width="10.6640625" style="783" customWidth="1"/>
    <col min="18" max="18" width="2.109375" style="703" bestFit="1" customWidth="1"/>
    <col min="19" max="19" width="10.6640625" style="783" customWidth="1"/>
    <col min="20" max="20" width="2.109375" style="703" bestFit="1" customWidth="1"/>
    <col min="21" max="21" width="10.6640625" style="783" customWidth="1"/>
    <col min="22" max="22" width="2.109375" style="703" bestFit="1" customWidth="1"/>
    <col min="23" max="23" width="10.6640625" style="783" customWidth="1"/>
    <col min="24" max="24" width="2.109375" style="703" bestFit="1" customWidth="1"/>
    <col min="25" max="25" width="12.6640625" style="783" customWidth="1"/>
    <col min="26" max="26" width="2.109375" style="703" bestFit="1" customWidth="1"/>
    <col min="27" max="27" width="11.5546875" style="783" customWidth="1"/>
    <col min="28" max="28" width="2.109375" style="703" bestFit="1" customWidth="1"/>
    <col min="29" max="29" width="11.44140625" style="783" customWidth="1"/>
    <col min="30" max="30" width="2.109375" style="703" bestFit="1" customWidth="1"/>
    <col min="31" max="31" width="12.109375" style="769" customWidth="1"/>
    <col min="32" max="32" width="2.109375" style="703" bestFit="1" customWidth="1"/>
    <col min="33" max="33" width="10.6640625" style="769" customWidth="1"/>
    <col min="34" max="34" width="2.109375" style="703" customWidth="1"/>
    <col min="35" max="248" width="5" style="703"/>
    <col min="249" max="249" width="4.6640625" style="703" customWidth="1"/>
    <col min="250" max="250" width="2" style="703" customWidth="1"/>
    <col min="251" max="251" width="40.6640625" style="703" customWidth="1"/>
    <col min="252" max="252" width="3.5546875" style="703" customWidth="1"/>
    <col min="253" max="253" width="11.109375" style="703" customWidth="1"/>
    <col min="254" max="254" width="2.6640625" style="703" customWidth="1"/>
    <col min="255" max="255" width="11.109375" style="703" customWidth="1"/>
    <col min="256" max="256" width="2.6640625" style="703" customWidth="1"/>
    <col min="257" max="257" width="11.109375" style="703" customWidth="1"/>
    <col min="258" max="258" width="2.6640625" style="703" customWidth="1"/>
    <col min="259" max="259" width="19.109375" style="703" bestFit="1" customWidth="1"/>
    <col min="260" max="260" width="1.88671875" style="703" customWidth="1"/>
    <col min="261" max="261" width="6.6640625" style="703" customWidth="1"/>
    <col min="262" max="262" width="14.88671875" style="703" customWidth="1"/>
    <col min="263" max="263" width="9" style="703" bestFit="1" customWidth="1"/>
    <col min="264" max="504" width="5" style="703"/>
    <col min="505" max="505" width="4.6640625" style="703" customWidth="1"/>
    <col min="506" max="506" width="2" style="703" customWidth="1"/>
    <col min="507" max="507" width="40.6640625" style="703" customWidth="1"/>
    <col min="508" max="508" width="3.5546875" style="703" customWidth="1"/>
    <col min="509" max="509" width="11.109375" style="703" customWidth="1"/>
    <col min="510" max="510" width="2.6640625" style="703" customWidth="1"/>
    <col min="511" max="511" width="11.109375" style="703" customWidth="1"/>
    <col min="512" max="512" width="2.6640625" style="703" customWidth="1"/>
    <col min="513" max="513" width="11.109375" style="703" customWidth="1"/>
    <col min="514" max="514" width="2.6640625" style="703" customWidth="1"/>
    <col min="515" max="515" width="19.109375" style="703" bestFit="1" customWidth="1"/>
    <col min="516" max="516" width="1.88671875" style="703" customWidth="1"/>
    <col min="517" max="517" width="6.6640625" style="703" customWidth="1"/>
    <col min="518" max="518" width="14.88671875" style="703" customWidth="1"/>
    <col min="519" max="519" width="9" style="703" bestFit="1" customWidth="1"/>
    <col min="520" max="760" width="5" style="703"/>
    <col min="761" max="761" width="4.6640625" style="703" customWidth="1"/>
    <col min="762" max="762" width="2" style="703" customWidth="1"/>
    <col min="763" max="763" width="40.6640625" style="703" customWidth="1"/>
    <col min="764" max="764" width="3.5546875" style="703" customWidth="1"/>
    <col min="765" max="765" width="11.109375" style="703" customWidth="1"/>
    <col min="766" max="766" width="2.6640625" style="703" customWidth="1"/>
    <col min="767" max="767" width="11.109375" style="703" customWidth="1"/>
    <col min="768" max="768" width="2.6640625" style="703" customWidth="1"/>
    <col min="769" max="769" width="11.109375" style="703" customWidth="1"/>
    <col min="770" max="770" width="2.6640625" style="703" customWidth="1"/>
    <col min="771" max="771" width="19.109375" style="703" bestFit="1" customWidth="1"/>
    <col min="772" max="772" width="1.88671875" style="703" customWidth="1"/>
    <col min="773" max="773" width="6.6640625" style="703" customWidth="1"/>
    <col min="774" max="774" width="14.88671875" style="703" customWidth="1"/>
    <col min="775" max="775" width="9" style="703" bestFit="1" customWidth="1"/>
    <col min="776" max="1016" width="5" style="703"/>
    <col min="1017" max="1017" width="4.6640625" style="703" customWidth="1"/>
    <col min="1018" max="1018" width="2" style="703" customWidth="1"/>
    <col min="1019" max="1019" width="40.6640625" style="703" customWidth="1"/>
    <col min="1020" max="1020" width="3.5546875" style="703" customWidth="1"/>
    <col min="1021" max="1021" width="11.109375" style="703" customWidth="1"/>
    <col min="1022" max="1022" width="2.6640625" style="703" customWidth="1"/>
    <col min="1023" max="1023" width="11.109375" style="703" customWidth="1"/>
    <col min="1024" max="1024" width="2.6640625" style="703" customWidth="1"/>
    <col min="1025" max="1025" width="11.109375" style="703" customWidth="1"/>
    <col min="1026" max="1026" width="2.6640625" style="703" customWidth="1"/>
    <col min="1027" max="1027" width="19.109375" style="703" bestFit="1" customWidth="1"/>
    <col min="1028" max="1028" width="1.88671875" style="703" customWidth="1"/>
    <col min="1029" max="1029" width="6.6640625" style="703" customWidth="1"/>
    <col min="1030" max="1030" width="14.88671875" style="703" customWidth="1"/>
    <col min="1031" max="1031" width="9" style="703" bestFit="1" customWidth="1"/>
    <col min="1032" max="1272" width="5" style="703"/>
    <col min="1273" max="1273" width="4.6640625" style="703" customWidth="1"/>
    <col min="1274" max="1274" width="2" style="703" customWidth="1"/>
    <col min="1275" max="1275" width="40.6640625" style="703" customWidth="1"/>
    <col min="1276" max="1276" width="3.5546875" style="703" customWidth="1"/>
    <col min="1277" max="1277" width="11.109375" style="703" customWidth="1"/>
    <col min="1278" max="1278" width="2.6640625" style="703" customWidth="1"/>
    <col min="1279" max="1279" width="11.109375" style="703" customWidth="1"/>
    <col min="1280" max="1280" width="2.6640625" style="703" customWidth="1"/>
    <col min="1281" max="1281" width="11.109375" style="703" customWidth="1"/>
    <col min="1282" max="1282" width="2.6640625" style="703" customWidth="1"/>
    <col min="1283" max="1283" width="19.109375" style="703" bestFit="1" customWidth="1"/>
    <col min="1284" max="1284" width="1.88671875" style="703" customWidth="1"/>
    <col min="1285" max="1285" width="6.6640625" style="703" customWidth="1"/>
    <col min="1286" max="1286" width="14.88671875" style="703" customWidth="1"/>
    <col min="1287" max="1287" width="9" style="703" bestFit="1" customWidth="1"/>
    <col min="1288" max="1528" width="5" style="703"/>
    <col min="1529" max="1529" width="4.6640625" style="703" customWidth="1"/>
    <col min="1530" max="1530" width="2" style="703" customWidth="1"/>
    <col min="1531" max="1531" width="40.6640625" style="703" customWidth="1"/>
    <col min="1532" max="1532" width="3.5546875" style="703" customWidth="1"/>
    <col min="1533" max="1533" width="11.109375" style="703" customWidth="1"/>
    <col min="1534" max="1534" width="2.6640625" style="703" customWidth="1"/>
    <col min="1535" max="1535" width="11.109375" style="703" customWidth="1"/>
    <col min="1536" max="1536" width="2.6640625" style="703" customWidth="1"/>
    <col min="1537" max="1537" width="11.109375" style="703" customWidth="1"/>
    <col min="1538" max="1538" width="2.6640625" style="703" customWidth="1"/>
    <col min="1539" max="1539" width="19.109375" style="703" bestFit="1" customWidth="1"/>
    <col min="1540" max="1540" width="1.88671875" style="703" customWidth="1"/>
    <col min="1541" max="1541" width="6.6640625" style="703" customWidth="1"/>
    <col min="1542" max="1542" width="14.88671875" style="703" customWidth="1"/>
    <col min="1543" max="1543" width="9" style="703" bestFit="1" customWidth="1"/>
    <col min="1544" max="1784" width="5" style="703"/>
    <col min="1785" max="1785" width="4.6640625" style="703" customWidth="1"/>
    <col min="1786" max="1786" width="2" style="703" customWidth="1"/>
    <col min="1787" max="1787" width="40.6640625" style="703" customWidth="1"/>
    <col min="1788" max="1788" width="3.5546875" style="703" customWidth="1"/>
    <col min="1789" max="1789" width="11.109375" style="703" customWidth="1"/>
    <col min="1790" max="1790" width="2.6640625" style="703" customWidth="1"/>
    <col min="1791" max="1791" width="11.109375" style="703" customWidth="1"/>
    <col min="1792" max="1792" width="2.6640625" style="703" customWidth="1"/>
    <col min="1793" max="1793" width="11.109375" style="703" customWidth="1"/>
    <col min="1794" max="1794" width="2.6640625" style="703" customWidth="1"/>
    <col min="1795" max="1795" width="19.109375" style="703" bestFit="1" customWidth="1"/>
    <col min="1796" max="1796" width="1.88671875" style="703" customWidth="1"/>
    <col min="1797" max="1797" width="6.6640625" style="703" customWidth="1"/>
    <col min="1798" max="1798" width="14.88671875" style="703" customWidth="1"/>
    <col min="1799" max="1799" width="9" style="703" bestFit="1" customWidth="1"/>
    <col min="1800" max="2040" width="5" style="703"/>
    <col min="2041" max="2041" width="4.6640625" style="703" customWidth="1"/>
    <col min="2042" max="2042" width="2" style="703" customWidth="1"/>
    <col min="2043" max="2043" width="40.6640625" style="703" customWidth="1"/>
    <col min="2044" max="2044" width="3.5546875" style="703" customWidth="1"/>
    <col min="2045" max="2045" width="11.109375" style="703" customWidth="1"/>
    <col min="2046" max="2046" width="2.6640625" style="703" customWidth="1"/>
    <col min="2047" max="2047" width="11.109375" style="703" customWidth="1"/>
    <col min="2048" max="2048" width="2.6640625" style="703" customWidth="1"/>
    <col min="2049" max="2049" width="11.109375" style="703" customWidth="1"/>
    <col min="2050" max="2050" width="2.6640625" style="703" customWidth="1"/>
    <col min="2051" max="2051" width="19.109375" style="703" bestFit="1" customWidth="1"/>
    <col min="2052" max="2052" width="1.88671875" style="703" customWidth="1"/>
    <col min="2053" max="2053" width="6.6640625" style="703" customWidth="1"/>
    <col min="2054" max="2054" width="14.88671875" style="703" customWidth="1"/>
    <col min="2055" max="2055" width="9" style="703" bestFit="1" customWidth="1"/>
    <col min="2056" max="2296" width="5" style="703"/>
    <col min="2297" max="2297" width="4.6640625" style="703" customWidth="1"/>
    <col min="2298" max="2298" width="2" style="703" customWidth="1"/>
    <col min="2299" max="2299" width="40.6640625" style="703" customWidth="1"/>
    <col min="2300" max="2300" width="3.5546875" style="703" customWidth="1"/>
    <col min="2301" max="2301" width="11.109375" style="703" customWidth="1"/>
    <col min="2302" max="2302" width="2.6640625" style="703" customWidth="1"/>
    <col min="2303" max="2303" width="11.109375" style="703" customWidth="1"/>
    <col min="2304" max="2304" width="2.6640625" style="703" customWidth="1"/>
    <col min="2305" max="2305" width="11.109375" style="703" customWidth="1"/>
    <col min="2306" max="2306" width="2.6640625" style="703" customWidth="1"/>
    <col min="2307" max="2307" width="19.109375" style="703" bestFit="1" customWidth="1"/>
    <col min="2308" max="2308" width="1.88671875" style="703" customWidth="1"/>
    <col min="2309" max="2309" width="6.6640625" style="703" customWidth="1"/>
    <col min="2310" max="2310" width="14.88671875" style="703" customWidth="1"/>
    <col min="2311" max="2311" width="9" style="703" bestFit="1" customWidth="1"/>
    <col min="2312" max="2552" width="5" style="703"/>
    <col min="2553" max="2553" width="4.6640625" style="703" customWidth="1"/>
    <col min="2554" max="2554" width="2" style="703" customWidth="1"/>
    <col min="2555" max="2555" width="40.6640625" style="703" customWidth="1"/>
    <col min="2556" max="2556" width="3.5546875" style="703" customWidth="1"/>
    <col min="2557" max="2557" width="11.109375" style="703" customWidth="1"/>
    <col min="2558" max="2558" width="2.6640625" style="703" customWidth="1"/>
    <col min="2559" max="2559" width="11.109375" style="703" customWidth="1"/>
    <col min="2560" max="2560" width="2.6640625" style="703" customWidth="1"/>
    <col min="2561" max="2561" width="11.109375" style="703" customWidth="1"/>
    <col min="2562" max="2562" width="2.6640625" style="703" customWidth="1"/>
    <col min="2563" max="2563" width="19.109375" style="703" bestFit="1" customWidth="1"/>
    <col min="2564" max="2564" width="1.88671875" style="703" customWidth="1"/>
    <col min="2565" max="2565" width="6.6640625" style="703" customWidth="1"/>
    <col min="2566" max="2566" width="14.88671875" style="703" customWidth="1"/>
    <col min="2567" max="2567" width="9" style="703" bestFit="1" customWidth="1"/>
    <col min="2568" max="2808" width="5" style="703"/>
    <col min="2809" max="2809" width="4.6640625" style="703" customWidth="1"/>
    <col min="2810" max="2810" width="2" style="703" customWidth="1"/>
    <col min="2811" max="2811" width="40.6640625" style="703" customWidth="1"/>
    <col min="2812" max="2812" width="3.5546875" style="703" customWidth="1"/>
    <col min="2813" max="2813" width="11.109375" style="703" customWidth="1"/>
    <col min="2814" max="2814" width="2.6640625" style="703" customWidth="1"/>
    <col min="2815" max="2815" width="11.109375" style="703" customWidth="1"/>
    <col min="2816" max="2816" width="2.6640625" style="703" customWidth="1"/>
    <col min="2817" max="2817" width="11.109375" style="703" customWidth="1"/>
    <col min="2818" max="2818" width="2.6640625" style="703" customWidth="1"/>
    <col min="2819" max="2819" width="19.109375" style="703" bestFit="1" customWidth="1"/>
    <col min="2820" max="2820" width="1.88671875" style="703" customWidth="1"/>
    <col min="2821" max="2821" width="6.6640625" style="703" customWidth="1"/>
    <col min="2822" max="2822" width="14.88671875" style="703" customWidth="1"/>
    <col min="2823" max="2823" width="9" style="703" bestFit="1" customWidth="1"/>
    <col min="2824" max="3064" width="5" style="703"/>
    <col min="3065" max="3065" width="4.6640625" style="703" customWidth="1"/>
    <col min="3066" max="3066" width="2" style="703" customWidth="1"/>
    <col min="3067" max="3067" width="40.6640625" style="703" customWidth="1"/>
    <col min="3068" max="3068" width="3.5546875" style="703" customWidth="1"/>
    <col min="3069" max="3069" width="11.109375" style="703" customWidth="1"/>
    <col min="3070" max="3070" width="2.6640625" style="703" customWidth="1"/>
    <col min="3071" max="3071" width="11.109375" style="703" customWidth="1"/>
    <col min="3072" max="3072" width="2.6640625" style="703" customWidth="1"/>
    <col min="3073" max="3073" width="11.109375" style="703" customWidth="1"/>
    <col min="3074" max="3074" width="2.6640625" style="703" customWidth="1"/>
    <col min="3075" max="3075" width="19.109375" style="703" bestFit="1" customWidth="1"/>
    <col min="3076" max="3076" width="1.88671875" style="703" customWidth="1"/>
    <col min="3077" max="3077" width="6.6640625" style="703" customWidth="1"/>
    <col min="3078" max="3078" width="14.88671875" style="703" customWidth="1"/>
    <col min="3079" max="3079" width="9" style="703" bestFit="1" customWidth="1"/>
    <col min="3080" max="3320" width="5" style="703"/>
    <col min="3321" max="3321" width="4.6640625" style="703" customWidth="1"/>
    <col min="3322" max="3322" width="2" style="703" customWidth="1"/>
    <col min="3323" max="3323" width="40.6640625" style="703" customWidth="1"/>
    <col min="3324" max="3324" width="3.5546875" style="703" customWidth="1"/>
    <col min="3325" max="3325" width="11.109375" style="703" customWidth="1"/>
    <col min="3326" max="3326" width="2.6640625" style="703" customWidth="1"/>
    <col min="3327" max="3327" width="11.109375" style="703" customWidth="1"/>
    <col min="3328" max="3328" width="2.6640625" style="703" customWidth="1"/>
    <col min="3329" max="3329" width="11.109375" style="703" customWidth="1"/>
    <col min="3330" max="3330" width="2.6640625" style="703" customWidth="1"/>
    <col min="3331" max="3331" width="19.109375" style="703" bestFit="1" customWidth="1"/>
    <col min="3332" max="3332" width="1.88671875" style="703" customWidth="1"/>
    <col min="3333" max="3333" width="6.6640625" style="703" customWidth="1"/>
    <col min="3334" max="3334" width="14.88671875" style="703" customWidth="1"/>
    <col min="3335" max="3335" width="9" style="703" bestFit="1" customWidth="1"/>
    <col min="3336" max="3576" width="5" style="703"/>
    <col min="3577" max="3577" width="4.6640625" style="703" customWidth="1"/>
    <col min="3578" max="3578" width="2" style="703" customWidth="1"/>
    <col min="3579" max="3579" width="40.6640625" style="703" customWidth="1"/>
    <col min="3580" max="3580" width="3.5546875" style="703" customWidth="1"/>
    <col min="3581" max="3581" width="11.109375" style="703" customWidth="1"/>
    <col min="3582" max="3582" width="2.6640625" style="703" customWidth="1"/>
    <col min="3583" max="3583" width="11.109375" style="703" customWidth="1"/>
    <col min="3584" max="3584" width="2.6640625" style="703" customWidth="1"/>
    <col min="3585" max="3585" width="11.109375" style="703" customWidth="1"/>
    <col min="3586" max="3586" width="2.6640625" style="703" customWidth="1"/>
    <col min="3587" max="3587" width="19.109375" style="703" bestFit="1" customWidth="1"/>
    <col min="3588" max="3588" width="1.88671875" style="703" customWidth="1"/>
    <col min="3589" max="3589" width="6.6640625" style="703" customWidth="1"/>
    <col min="3590" max="3590" width="14.88671875" style="703" customWidth="1"/>
    <col min="3591" max="3591" width="9" style="703" bestFit="1" customWidth="1"/>
    <col min="3592" max="3832" width="5" style="703"/>
    <col min="3833" max="3833" width="4.6640625" style="703" customWidth="1"/>
    <col min="3834" max="3834" width="2" style="703" customWidth="1"/>
    <col min="3835" max="3835" width="40.6640625" style="703" customWidth="1"/>
    <col min="3836" max="3836" width="3.5546875" style="703" customWidth="1"/>
    <col min="3837" max="3837" width="11.109375" style="703" customWidth="1"/>
    <col min="3838" max="3838" width="2.6640625" style="703" customWidth="1"/>
    <col min="3839" max="3839" width="11.109375" style="703" customWidth="1"/>
    <col min="3840" max="3840" width="2.6640625" style="703" customWidth="1"/>
    <col min="3841" max="3841" width="11.109375" style="703" customWidth="1"/>
    <col min="3842" max="3842" width="2.6640625" style="703" customWidth="1"/>
    <col min="3843" max="3843" width="19.109375" style="703" bestFit="1" customWidth="1"/>
    <col min="3844" max="3844" width="1.88671875" style="703" customWidth="1"/>
    <col min="3845" max="3845" width="6.6640625" style="703" customWidth="1"/>
    <col min="3846" max="3846" width="14.88671875" style="703" customWidth="1"/>
    <col min="3847" max="3847" width="9" style="703" bestFit="1" customWidth="1"/>
    <col min="3848" max="4088" width="5" style="703"/>
    <col min="4089" max="4089" width="4.6640625" style="703" customWidth="1"/>
    <col min="4090" max="4090" width="2" style="703" customWidth="1"/>
    <col min="4091" max="4091" width="40.6640625" style="703" customWidth="1"/>
    <col min="4092" max="4092" width="3.5546875" style="703" customWidth="1"/>
    <col min="4093" max="4093" width="11.109375" style="703" customWidth="1"/>
    <col min="4094" max="4094" width="2.6640625" style="703" customWidth="1"/>
    <col min="4095" max="4095" width="11.109375" style="703" customWidth="1"/>
    <col min="4096" max="4096" width="2.6640625" style="703" customWidth="1"/>
    <col min="4097" max="4097" width="11.109375" style="703" customWidth="1"/>
    <col min="4098" max="4098" width="2.6640625" style="703" customWidth="1"/>
    <col min="4099" max="4099" width="19.109375" style="703" bestFit="1" customWidth="1"/>
    <col min="4100" max="4100" width="1.88671875" style="703" customWidth="1"/>
    <col min="4101" max="4101" width="6.6640625" style="703" customWidth="1"/>
    <col min="4102" max="4102" width="14.88671875" style="703" customWidth="1"/>
    <col min="4103" max="4103" width="9" style="703" bestFit="1" customWidth="1"/>
    <col min="4104" max="4344" width="5" style="703"/>
    <col min="4345" max="4345" width="4.6640625" style="703" customWidth="1"/>
    <col min="4346" max="4346" width="2" style="703" customWidth="1"/>
    <col min="4347" max="4347" width="40.6640625" style="703" customWidth="1"/>
    <col min="4348" max="4348" width="3.5546875" style="703" customWidth="1"/>
    <col min="4349" max="4349" width="11.109375" style="703" customWidth="1"/>
    <col min="4350" max="4350" width="2.6640625" style="703" customWidth="1"/>
    <col min="4351" max="4351" width="11.109375" style="703" customWidth="1"/>
    <col min="4352" max="4352" width="2.6640625" style="703" customWidth="1"/>
    <col min="4353" max="4353" width="11.109375" style="703" customWidth="1"/>
    <col min="4354" max="4354" width="2.6640625" style="703" customWidth="1"/>
    <col min="4355" max="4355" width="19.109375" style="703" bestFit="1" customWidth="1"/>
    <col min="4356" max="4356" width="1.88671875" style="703" customWidth="1"/>
    <col min="4357" max="4357" width="6.6640625" style="703" customWidth="1"/>
    <col min="4358" max="4358" width="14.88671875" style="703" customWidth="1"/>
    <col min="4359" max="4359" width="9" style="703" bestFit="1" customWidth="1"/>
    <col min="4360" max="4600" width="5" style="703"/>
    <col min="4601" max="4601" width="4.6640625" style="703" customWidth="1"/>
    <col min="4602" max="4602" width="2" style="703" customWidth="1"/>
    <col min="4603" max="4603" width="40.6640625" style="703" customWidth="1"/>
    <col min="4604" max="4604" width="3.5546875" style="703" customWidth="1"/>
    <col min="4605" max="4605" width="11.109375" style="703" customWidth="1"/>
    <col min="4606" max="4606" width="2.6640625" style="703" customWidth="1"/>
    <col min="4607" max="4607" width="11.109375" style="703" customWidth="1"/>
    <col min="4608" max="4608" width="2.6640625" style="703" customWidth="1"/>
    <col min="4609" max="4609" width="11.109375" style="703" customWidth="1"/>
    <col min="4610" max="4610" width="2.6640625" style="703" customWidth="1"/>
    <col min="4611" max="4611" width="19.109375" style="703" bestFit="1" customWidth="1"/>
    <col min="4612" max="4612" width="1.88671875" style="703" customWidth="1"/>
    <col min="4613" max="4613" width="6.6640625" style="703" customWidth="1"/>
    <col min="4614" max="4614" width="14.88671875" style="703" customWidth="1"/>
    <col min="4615" max="4615" width="9" style="703" bestFit="1" customWidth="1"/>
    <col min="4616" max="4856" width="5" style="703"/>
    <col min="4857" max="4857" width="4.6640625" style="703" customWidth="1"/>
    <col min="4858" max="4858" width="2" style="703" customWidth="1"/>
    <col min="4859" max="4859" width="40.6640625" style="703" customWidth="1"/>
    <col min="4860" max="4860" width="3.5546875" style="703" customWidth="1"/>
    <col min="4861" max="4861" width="11.109375" style="703" customWidth="1"/>
    <col min="4862" max="4862" width="2.6640625" style="703" customWidth="1"/>
    <col min="4863" max="4863" width="11.109375" style="703" customWidth="1"/>
    <col min="4864" max="4864" width="2.6640625" style="703" customWidth="1"/>
    <col min="4865" max="4865" width="11.109375" style="703" customWidth="1"/>
    <col min="4866" max="4866" width="2.6640625" style="703" customWidth="1"/>
    <col min="4867" max="4867" width="19.109375" style="703" bestFit="1" customWidth="1"/>
    <col min="4868" max="4868" width="1.88671875" style="703" customWidth="1"/>
    <col min="4869" max="4869" width="6.6640625" style="703" customWidth="1"/>
    <col min="4870" max="4870" width="14.88671875" style="703" customWidth="1"/>
    <col min="4871" max="4871" width="9" style="703" bestFit="1" customWidth="1"/>
    <col min="4872" max="5112" width="5" style="703"/>
    <col min="5113" max="5113" width="4.6640625" style="703" customWidth="1"/>
    <col min="5114" max="5114" width="2" style="703" customWidth="1"/>
    <col min="5115" max="5115" width="40.6640625" style="703" customWidth="1"/>
    <col min="5116" max="5116" width="3.5546875" style="703" customWidth="1"/>
    <col min="5117" max="5117" width="11.109375" style="703" customWidth="1"/>
    <col min="5118" max="5118" width="2.6640625" style="703" customWidth="1"/>
    <col min="5119" max="5119" width="11.109375" style="703" customWidth="1"/>
    <col min="5120" max="5120" width="2.6640625" style="703" customWidth="1"/>
    <col min="5121" max="5121" width="11.109375" style="703" customWidth="1"/>
    <col min="5122" max="5122" width="2.6640625" style="703" customWidth="1"/>
    <col min="5123" max="5123" width="19.109375" style="703" bestFit="1" customWidth="1"/>
    <col min="5124" max="5124" width="1.88671875" style="703" customWidth="1"/>
    <col min="5125" max="5125" width="6.6640625" style="703" customWidth="1"/>
    <col min="5126" max="5126" width="14.88671875" style="703" customWidth="1"/>
    <col min="5127" max="5127" width="9" style="703" bestFit="1" customWidth="1"/>
    <col min="5128" max="5368" width="5" style="703"/>
    <col min="5369" max="5369" width="4.6640625" style="703" customWidth="1"/>
    <col min="5370" max="5370" width="2" style="703" customWidth="1"/>
    <col min="5371" max="5371" width="40.6640625" style="703" customWidth="1"/>
    <col min="5372" max="5372" width="3.5546875" style="703" customWidth="1"/>
    <col min="5373" max="5373" width="11.109375" style="703" customWidth="1"/>
    <col min="5374" max="5374" width="2.6640625" style="703" customWidth="1"/>
    <col min="5375" max="5375" width="11.109375" style="703" customWidth="1"/>
    <col min="5376" max="5376" width="2.6640625" style="703" customWidth="1"/>
    <col min="5377" max="5377" width="11.109375" style="703" customWidth="1"/>
    <col min="5378" max="5378" width="2.6640625" style="703" customWidth="1"/>
    <col min="5379" max="5379" width="19.109375" style="703" bestFit="1" customWidth="1"/>
    <col min="5380" max="5380" width="1.88671875" style="703" customWidth="1"/>
    <col min="5381" max="5381" width="6.6640625" style="703" customWidth="1"/>
    <col min="5382" max="5382" width="14.88671875" style="703" customWidth="1"/>
    <col min="5383" max="5383" width="9" style="703" bestFit="1" customWidth="1"/>
    <col min="5384" max="5624" width="5" style="703"/>
    <col min="5625" max="5625" width="4.6640625" style="703" customWidth="1"/>
    <col min="5626" max="5626" width="2" style="703" customWidth="1"/>
    <col min="5627" max="5627" width="40.6640625" style="703" customWidth="1"/>
    <col min="5628" max="5628" width="3.5546875" style="703" customWidth="1"/>
    <col min="5629" max="5629" width="11.109375" style="703" customWidth="1"/>
    <col min="5630" max="5630" width="2.6640625" style="703" customWidth="1"/>
    <col min="5631" max="5631" width="11.109375" style="703" customWidth="1"/>
    <col min="5632" max="5632" width="2.6640625" style="703" customWidth="1"/>
    <col min="5633" max="5633" width="11.109375" style="703" customWidth="1"/>
    <col min="5634" max="5634" width="2.6640625" style="703" customWidth="1"/>
    <col min="5635" max="5635" width="19.109375" style="703" bestFit="1" customWidth="1"/>
    <col min="5636" max="5636" width="1.88671875" style="703" customWidth="1"/>
    <col min="5637" max="5637" width="6.6640625" style="703" customWidth="1"/>
    <col min="5638" max="5638" width="14.88671875" style="703" customWidth="1"/>
    <col min="5639" max="5639" width="9" style="703" bestFit="1" customWidth="1"/>
    <col min="5640" max="5880" width="5" style="703"/>
    <col min="5881" max="5881" width="4.6640625" style="703" customWidth="1"/>
    <col min="5882" max="5882" width="2" style="703" customWidth="1"/>
    <col min="5883" max="5883" width="40.6640625" style="703" customWidth="1"/>
    <col min="5884" max="5884" width="3.5546875" style="703" customWidth="1"/>
    <col min="5885" max="5885" width="11.109375" style="703" customWidth="1"/>
    <col min="5886" max="5886" width="2.6640625" style="703" customWidth="1"/>
    <col min="5887" max="5887" width="11.109375" style="703" customWidth="1"/>
    <col min="5888" max="5888" width="2.6640625" style="703" customWidth="1"/>
    <col min="5889" max="5889" width="11.109375" style="703" customWidth="1"/>
    <col min="5890" max="5890" width="2.6640625" style="703" customWidth="1"/>
    <col min="5891" max="5891" width="19.109375" style="703" bestFit="1" customWidth="1"/>
    <col min="5892" max="5892" width="1.88671875" style="703" customWidth="1"/>
    <col min="5893" max="5893" width="6.6640625" style="703" customWidth="1"/>
    <col min="5894" max="5894" width="14.88671875" style="703" customWidth="1"/>
    <col min="5895" max="5895" width="9" style="703" bestFit="1" customWidth="1"/>
    <col min="5896" max="6136" width="5" style="703"/>
    <col min="6137" max="6137" width="4.6640625" style="703" customWidth="1"/>
    <col min="6138" max="6138" width="2" style="703" customWidth="1"/>
    <col min="6139" max="6139" width="40.6640625" style="703" customWidth="1"/>
    <col min="6140" max="6140" width="3.5546875" style="703" customWidth="1"/>
    <col min="6141" max="6141" width="11.109375" style="703" customWidth="1"/>
    <col min="6142" max="6142" width="2.6640625" style="703" customWidth="1"/>
    <col min="6143" max="6143" width="11.109375" style="703" customWidth="1"/>
    <col min="6144" max="6144" width="2.6640625" style="703" customWidth="1"/>
    <col min="6145" max="6145" width="11.109375" style="703" customWidth="1"/>
    <col min="6146" max="6146" width="2.6640625" style="703" customWidth="1"/>
    <col min="6147" max="6147" width="19.109375" style="703" bestFit="1" customWidth="1"/>
    <col min="6148" max="6148" width="1.88671875" style="703" customWidth="1"/>
    <col min="6149" max="6149" width="6.6640625" style="703" customWidth="1"/>
    <col min="6150" max="6150" width="14.88671875" style="703" customWidth="1"/>
    <col min="6151" max="6151" width="9" style="703" bestFit="1" customWidth="1"/>
    <col min="6152" max="6392" width="5" style="703"/>
    <col min="6393" max="6393" width="4.6640625" style="703" customWidth="1"/>
    <col min="6394" max="6394" width="2" style="703" customWidth="1"/>
    <col min="6395" max="6395" width="40.6640625" style="703" customWidth="1"/>
    <col min="6396" max="6396" width="3.5546875" style="703" customWidth="1"/>
    <col min="6397" max="6397" width="11.109375" style="703" customWidth="1"/>
    <col min="6398" max="6398" width="2.6640625" style="703" customWidth="1"/>
    <col min="6399" max="6399" width="11.109375" style="703" customWidth="1"/>
    <col min="6400" max="6400" width="2.6640625" style="703" customWidth="1"/>
    <col min="6401" max="6401" width="11.109375" style="703" customWidth="1"/>
    <col min="6402" max="6402" width="2.6640625" style="703" customWidth="1"/>
    <col min="6403" max="6403" width="19.109375" style="703" bestFit="1" customWidth="1"/>
    <col min="6404" max="6404" width="1.88671875" style="703" customWidth="1"/>
    <col min="6405" max="6405" width="6.6640625" style="703" customWidth="1"/>
    <col min="6406" max="6406" width="14.88671875" style="703" customWidth="1"/>
    <col min="6407" max="6407" width="9" style="703" bestFit="1" customWidth="1"/>
    <col min="6408" max="6648" width="5" style="703"/>
    <col min="6649" max="6649" width="4.6640625" style="703" customWidth="1"/>
    <col min="6650" max="6650" width="2" style="703" customWidth="1"/>
    <col min="6651" max="6651" width="40.6640625" style="703" customWidth="1"/>
    <col min="6652" max="6652" width="3.5546875" style="703" customWidth="1"/>
    <col min="6653" max="6653" width="11.109375" style="703" customWidth="1"/>
    <col min="6654" max="6654" width="2.6640625" style="703" customWidth="1"/>
    <col min="6655" max="6655" width="11.109375" style="703" customWidth="1"/>
    <col min="6656" max="6656" width="2.6640625" style="703" customWidth="1"/>
    <col min="6657" max="6657" width="11.109375" style="703" customWidth="1"/>
    <col min="6658" max="6658" width="2.6640625" style="703" customWidth="1"/>
    <col min="6659" max="6659" width="19.109375" style="703" bestFit="1" customWidth="1"/>
    <col min="6660" max="6660" width="1.88671875" style="703" customWidth="1"/>
    <col min="6661" max="6661" width="6.6640625" style="703" customWidth="1"/>
    <col min="6662" max="6662" width="14.88671875" style="703" customWidth="1"/>
    <col min="6663" max="6663" width="9" style="703" bestFit="1" customWidth="1"/>
    <col min="6664" max="6904" width="5" style="703"/>
    <col min="6905" max="6905" width="4.6640625" style="703" customWidth="1"/>
    <col min="6906" max="6906" width="2" style="703" customWidth="1"/>
    <col min="6907" max="6907" width="40.6640625" style="703" customWidth="1"/>
    <col min="6908" max="6908" width="3.5546875" style="703" customWidth="1"/>
    <col min="6909" max="6909" width="11.109375" style="703" customWidth="1"/>
    <col min="6910" max="6910" width="2.6640625" style="703" customWidth="1"/>
    <col min="6911" max="6911" width="11.109375" style="703" customWidth="1"/>
    <col min="6912" max="6912" width="2.6640625" style="703" customWidth="1"/>
    <col min="6913" max="6913" width="11.109375" style="703" customWidth="1"/>
    <col min="6914" max="6914" width="2.6640625" style="703" customWidth="1"/>
    <col min="6915" max="6915" width="19.109375" style="703" bestFit="1" customWidth="1"/>
    <col min="6916" max="6916" width="1.88671875" style="703" customWidth="1"/>
    <col min="6917" max="6917" width="6.6640625" style="703" customWidth="1"/>
    <col min="6918" max="6918" width="14.88671875" style="703" customWidth="1"/>
    <col min="6919" max="6919" width="9" style="703" bestFit="1" customWidth="1"/>
    <col min="6920" max="7160" width="5" style="703"/>
    <col min="7161" max="7161" width="4.6640625" style="703" customWidth="1"/>
    <col min="7162" max="7162" width="2" style="703" customWidth="1"/>
    <col min="7163" max="7163" width="40.6640625" style="703" customWidth="1"/>
    <col min="7164" max="7164" width="3.5546875" style="703" customWidth="1"/>
    <col min="7165" max="7165" width="11.109375" style="703" customWidth="1"/>
    <col min="7166" max="7166" width="2.6640625" style="703" customWidth="1"/>
    <col min="7167" max="7167" width="11.109375" style="703" customWidth="1"/>
    <col min="7168" max="7168" width="2.6640625" style="703" customWidth="1"/>
    <col min="7169" max="7169" width="11.109375" style="703" customWidth="1"/>
    <col min="7170" max="7170" width="2.6640625" style="703" customWidth="1"/>
    <col min="7171" max="7171" width="19.109375" style="703" bestFit="1" customWidth="1"/>
    <col min="7172" max="7172" width="1.88671875" style="703" customWidth="1"/>
    <col min="7173" max="7173" width="6.6640625" style="703" customWidth="1"/>
    <col min="7174" max="7174" width="14.88671875" style="703" customWidth="1"/>
    <col min="7175" max="7175" width="9" style="703" bestFit="1" customWidth="1"/>
    <col min="7176" max="7416" width="5" style="703"/>
    <col min="7417" max="7417" width="4.6640625" style="703" customWidth="1"/>
    <col min="7418" max="7418" width="2" style="703" customWidth="1"/>
    <col min="7419" max="7419" width="40.6640625" style="703" customWidth="1"/>
    <col min="7420" max="7420" width="3.5546875" style="703" customWidth="1"/>
    <col min="7421" max="7421" width="11.109375" style="703" customWidth="1"/>
    <col min="7422" max="7422" width="2.6640625" style="703" customWidth="1"/>
    <col min="7423" max="7423" width="11.109375" style="703" customWidth="1"/>
    <col min="7424" max="7424" width="2.6640625" style="703" customWidth="1"/>
    <col min="7425" max="7425" width="11.109375" style="703" customWidth="1"/>
    <col min="7426" max="7426" width="2.6640625" style="703" customWidth="1"/>
    <col min="7427" max="7427" width="19.109375" style="703" bestFit="1" customWidth="1"/>
    <col min="7428" max="7428" width="1.88671875" style="703" customWidth="1"/>
    <col min="7429" max="7429" width="6.6640625" style="703" customWidth="1"/>
    <col min="7430" max="7430" width="14.88671875" style="703" customWidth="1"/>
    <col min="7431" max="7431" width="9" style="703" bestFit="1" customWidth="1"/>
    <col min="7432" max="7672" width="5" style="703"/>
    <col min="7673" max="7673" width="4.6640625" style="703" customWidth="1"/>
    <col min="7674" max="7674" width="2" style="703" customWidth="1"/>
    <col min="7675" max="7675" width="40.6640625" style="703" customWidth="1"/>
    <col min="7676" max="7676" width="3.5546875" style="703" customWidth="1"/>
    <col min="7677" max="7677" width="11.109375" style="703" customWidth="1"/>
    <col min="7678" max="7678" width="2.6640625" style="703" customWidth="1"/>
    <col min="7679" max="7679" width="11.109375" style="703" customWidth="1"/>
    <col min="7680" max="7680" width="2.6640625" style="703" customWidth="1"/>
    <col min="7681" max="7681" width="11.109375" style="703" customWidth="1"/>
    <col min="7682" max="7682" width="2.6640625" style="703" customWidth="1"/>
    <col min="7683" max="7683" width="19.109375" style="703" bestFit="1" customWidth="1"/>
    <col min="7684" max="7684" width="1.88671875" style="703" customWidth="1"/>
    <col min="7685" max="7685" width="6.6640625" style="703" customWidth="1"/>
    <col min="7686" max="7686" width="14.88671875" style="703" customWidth="1"/>
    <col min="7687" max="7687" width="9" style="703" bestFit="1" customWidth="1"/>
    <col min="7688" max="7928" width="5" style="703"/>
    <col min="7929" max="7929" width="4.6640625" style="703" customWidth="1"/>
    <col min="7930" max="7930" width="2" style="703" customWidth="1"/>
    <col min="7931" max="7931" width="40.6640625" style="703" customWidth="1"/>
    <col min="7932" max="7932" width="3.5546875" style="703" customWidth="1"/>
    <col min="7933" max="7933" width="11.109375" style="703" customWidth="1"/>
    <col min="7934" max="7934" width="2.6640625" style="703" customWidth="1"/>
    <col min="7935" max="7935" width="11.109375" style="703" customWidth="1"/>
    <col min="7936" max="7936" width="2.6640625" style="703" customWidth="1"/>
    <col min="7937" max="7937" width="11.109375" style="703" customWidth="1"/>
    <col min="7938" max="7938" width="2.6640625" style="703" customWidth="1"/>
    <col min="7939" max="7939" width="19.109375" style="703" bestFit="1" customWidth="1"/>
    <col min="7940" max="7940" width="1.88671875" style="703" customWidth="1"/>
    <col min="7941" max="7941" width="6.6640625" style="703" customWidth="1"/>
    <col min="7942" max="7942" width="14.88671875" style="703" customWidth="1"/>
    <col min="7943" max="7943" width="9" style="703" bestFit="1" customWidth="1"/>
    <col min="7944" max="8184" width="5" style="703"/>
    <col min="8185" max="8185" width="4.6640625" style="703" customWidth="1"/>
    <col min="8186" max="8186" width="2" style="703" customWidth="1"/>
    <col min="8187" max="8187" width="40.6640625" style="703" customWidth="1"/>
    <col min="8188" max="8188" width="3.5546875" style="703" customWidth="1"/>
    <col min="8189" max="8189" width="11.109375" style="703" customWidth="1"/>
    <col min="8190" max="8190" width="2.6640625" style="703" customWidth="1"/>
    <col min="8191" max="8191" width="11.109375" style="703" customWidth="1"/>
    <col min="8192" max="8192" width="2.6640625" style="703" customWidth="1"/>
    <col min="8193" max="8193" width="11.109375" style="703" customWidth="1"/>
    <col min="8194" max="8194" width="2.6640625" style="703" customWidth="1"/>
    <col min="8195" max="8195" width="19.109375" style="703" bestFit="1" customWidth="1"/>
    <col min="8196" max="8196" width="1.88671875" style="703" customWidth="1"/>
    <col min="8197" max="8197" width="6.6640625" style="703" customWidth="1"/>
    <col min="8198" max="8198" width="14.88671875" style="703" customWidth="1"/>
    <col min="8199" max="8199" width="9" style="703" bestFit="1" customWidth="1"/>
    <col min="8200" max="8440" width="5" style="703"/>
    <col min="8441" max="8441" width="4.6640625" style="703" customWidth="1"/>
    <col min="8442" max="8442" width="2" style="703" customWidth="1"/>
    <col min="8443" max="8443" width="40.6640625" style="703" customWidth="1"/>
    <col min="8444" max="8444" width="3.5546875" style="703" customWidth="1"/>
    <col min="8445" max="8445" width="11.109375" style="703" customWidth="1"/>
    <col min="8446" max="8446" width="2.6640625" style="703" customWidth="1"/>
    <col min="8447" max="8447" width="11.109375" style="703" customWidth="1"/>
    <col min="8448" max="8448" width="2.6640625" style="703" customWidth="1"/>
    <col min="8449" max="8449" width="11.109375" style="703" customWidth="1"/>
    <col min="8450" max="8450" width="2.6640625" style="703" customWidth="1"/>
    <col min="8451" max="8451" width="19.109375" style="703" bestFit="1" customWidth="1"/>
    <col min="8452" max="8452" width="1.88671875" style="703" customWidth="1"/>
    <col min="8453" max="8453" width="6.6640625" style="703" customWidth="1"/>
    <col min="8454" max="8454" width="14.88671875" style="703" customWidth="1"/>
    <col min="8455" max="8455" width="9" style="703" bestFit="1" customWidth="1"/>
    <col min="8456" max="8696" width="5" style="703"/>
    <col min="8697" max="8697" width="4.6640625" style="703" customWidth="1"/>
    <col min="8698" max="8698" width="2" style="703" customWidth="1"/>
    <col min="8699" max="8699" width="40.6640625" style="703" customWidth="1"/>
    <col min="8700" max="8700" width="3.5546875" style="703" customWidth="1"/>
    <col min="8701" max="8701" width="11.109375" style="703" customWidth="1"/>
    <col min="8702" max="8702" width="2.6640625" style="703" customWidth="1"/>
    <col min="8703" max="8703" width="11.109375" style="703" customWidth="1"/>
    <col min="8704" max="8704" width="2.6640625" style="703" customWidth="1"/>
    <col min="8705" max="8705" width="11.109375" style="703" customWidth="1"/>
    <col min="8706" max="8706" width="2.6640625" style="703" customWidth="1"/>
    <col min="8707" max="8707" width="19.109375" style="703" bestFit="1" customWidth="1"/>
    <col min="8708" max="8708" width="1.88671875" style="703" customWidth="1"/>
    <col min="8709" max="8709" width="6.6640625" style="703" customWidth="1"/>
    <col min="8710" max="8710" width="14.88671875" style="703" customWidth="1"/>
    <col min="8711" max="8711" width="9" style="703" bestFit="1" customWidth="1"/>
    <col min="8712" max="8952" width="5" style="703"/>
    <col min="8953" max="8953" width="4.6640625" style="703" customWidth="1"/>
    <col min="8954" max="8954" width="2" style="703" customWidth="1"/>
    <col min="8955" max="8955" width="40.6640625" style="703" customWidth="1"/>
    <col min="8956" max="8956" width="3.5546875" style="703" customWidth="1"/>
    <col min="8957" max="8957" width="11.109375" style="703" customWidth="1"/>
    <col min="8958" max="8958" width="2.6640625" style="703" customWidth="1"/>
    <col min="8959" max="8959" width="11.109375" style="703" customWidth="1"/>
    <col min="8960" max="8960" width="2.6640625" style="703" customWidth="1"/>
    <col min="8961" max="8961" width="11.109375" style="703" customWidth="1"/>
    <col min="8962" max="8962" width="2.6640625" style="703" customWidth="1"/>
    <col min="8963" max="8963" width="19.109375" style="703" bestFit="1" customWidth="1"/>
    <col min="8964" max="8964" width="1.88671875" style="703" customWidth="1"/>
    <col min="8965" max="8965" width="6.6640625" style="703" customWidth="1"/>
    <col min="8966" max="8966" width="14.88671875" style="703" customWidth="1"/>
    <col min="8967" max="8967" width="9" style="703" bestFit="1" customWidth="1"/>
    <col min="8968" max="9208" width="5" style="703"/>
    <col min="9209" max="9209" width="4.6640625" style="703" customWidth="1"/>
    <col min="9210" max="9210" width="2" style="703" customWidth="1"/>
    <col min="9211" max="9211" width="40.6640625" style="703" customWidth="1"/>
    <col min="9212" max="9212" width="3.5546875" style="703" customWidth="1"/>
    <col min="9213" max="9213" width="11.109375" style="703" customWidth="1"/>
    <col min="9214" max="9214" width="2.6640625" style="703" customWidth="1"/>
    <col min="9215" max="9215" width="11.109375" style="703" customWidth="1"/>
    <col min="9216" max="9216" width="2.6640625" style="703" customWidth="1"/>
    <col min="9217" max="9217" width="11.109375" style="703" customWidth="1"/>
    <col min="9218" max="9218" width="2.6640625" style="703" customWidth="1"/>
    <col min="9219" max="9219" width="19.109375" style="703" bestFit="1" customWidth="1"/>
    <col min="9220" max="9220" width="1.88671875" style="703" customWidth="1"/>
    <col min="9221" max="9221" width="6.6640625" style="703" customWidth="1"/>
    <col min="9222" max="9222" width="14.88671875" style="703" customWidth="1"/>
    <col min="9223" max="9223" width="9" style="703" bestFit="1" customWidth="1"/>
    <col min="9224" max="9464" width="5" style="703"/>
    <col min="9465" max="9465" width="4.6640625" style="703" customWidth="1"/>
    <col min="9466" max="9466" width="2" style="703" customWidth="1"/>
    <col min="9467" max="9467" width="40.6640625" style="703" customWidth="1"/>
    <col min="9468" max="9468" width="3.5546875" style="703" customWidth="1"/>
    <col min="9469" max="9469" width="11.109375" style="703" customWidth="1"/>
    <col min="9470" max="9470" width="2.6640625" style="703" customWidth="1"/>
    <col min="9471" max="9471" width="11.109375" style="703" customWidth="1"/>
    <col min="9472" max="9472" width="2.6640625" style="703" customWidth="1"/>
    <col min="9473" max="9473" width="11.109375" style="703" customWidth="1"/>
    <col min="9474" max="9474" width="2.6640625" style="703" customWidth="1"/>
    <col min="9475" max="9475" width="19.109375" style="703" bestFit="1" customWidth="1"/>
    <col min="9476" max="9476" width="1.88671875" style="703" customWidth="1"/>
    <col min="9477" max="9477" width="6.6640625" style="703" customWidth="1"/>
    <col min="9478" max="9478" width="14.88671875" style="703" customWidth="1"/>
    <col min="9479" max="9479" width="9" style="703" bestFit="1" customWidth="1"/>
    <col min="9480" max="9720" width="5" style="703"/>
    <col min="9721" max="9721" width="4.6640625" style="703" customWidth="1"/>
    <col min="9722" max="9722" width="2" style="703" customWidth="1"/>
    <col min="9723" max="9723" width="40.6640625" style="703" customWidth="1"/>
    <col min="9724" max="9724" width="3.5546875" style="703" customWidth="1"/>
    <col min="9725" max="9725" width="11.109375" style="703" customWidth="1"/>
    <col min="9726" max="9726" width="2.6640625" style="703" customWidth="1"/>
    <col min="9727" max="9727" width="11.109375" style="703" customWidth="1"/>
    <col min="9728" max="9728" width="2.6640625" style="703" customWidth="1"/>
    <col min="9729" max="9729" width="11.109375" style="703" customWidth="1"/>
    <col min="9730" max="9730" width="2.6640625" style="703" customWidth="1"/>
    <col min="9731" max="9731" width="19.109375" style="703" bestFit="1" customWidth="1"/>
    <col min="9732" max="9732" width="1.88671875" style="703" customWidth="1"/>
    <col min="9733" max="9733" width="6.6640625" style="703" customWidth="1"/>
    <col min="9734" max="9734" width="14.88671875" style="703" customWidth="1"/>
    <col min="9735" max="9735" width="9" style="703" bestFit="1" customWidth="1"/>
    <col min="9736" max="9976" width="5" style="703"/>
    <col min="9977" max="9977" width="4.6640625" style="703" customWidth="1"/>
    <col min="9978" max="9978" width="2" style="703" customWidth="1"/>
    <col min="9979" max="9979" width="40.6640625" style="703" customWidth="1"/>
    <col min="9980" max="9980" width="3.5546875" style="703" customWidth="1"/>
    <col min="9981" max="9981" width="11.109375" style="703" customWidth="1"/>
    <col min="9982" max="9982" width="2.6640625" style="703" customWidth="1"/>
    <col min="9983" max="9983" width="11.109375" style="703" customWidth="1"/>
    <col min="9984" max="9984" width="2.6640625" style="703" customWidth="1"/>
    <col min="9985" max="9985" width="11.109375" style="703" customWidth="1"/>
    <col min="9986" max="9986" width="2.6640625" style="703" customWidth="1"/>
    <col min="9987" max="9987" width="19.109375" style="703" bestFit="1" customWidth="1"/>
    <col min="9988" max="9988" width="1.88671875" style="703" customWidth="1"/>
    <col min="9989" max="9989" width="6.6640625" style="703" customWidth="1"/>
    <col min="9990" max="9990" width="14.88671875" style="703" customWidth="1"/>
    <col min="9991" max="9991" width="9" style="703" bestFit="1" customWidth="1"/>
    <col min="9992" max="10232" width="5" style="703"/>
    <col min="10233" max="10233" width="4.6640625" style="703" customWidth="1"/>
    <col min="10234" max="10234" width="2" style="703" customWidth="1"/>
    <col min="10235" max="10235" width="40.6640625" style="703" customWidth="1"/>
    <col min="10236" max="10236" width="3.5546875" style="703" customWidth="1"/>
    <col min="10237" max="10237" width="11.109375" style="703" customWidth="1"/>
    <col min="10238" max="10238" width="2.6640625" style="703" customWidth="1"/>
    <col min="10239" max="10239" width="11.109375" style="703" customWidth="1"/>
    <col min="10240" max="10240" width="2.6640625" style="703" customWidth="1"/>
    <col min="10241" max="10241" width="11.109375" style="703" customWidth="1"/>
    <col min="10242" max="10242" width="2.6640625" style="703" customWidth="1"/>
    <col min="10243" max="10243" width="19.109375" style="703" bestFit="1" customWidth="1"/>
    <col min="10244" max="10244" width="1.88671875" style="703" customWidth="1"/>
    <col min="10245" max="10245" width="6.6640625" style="703" customWidth="1"/>
    <col min="10246" max="10246" width="14.88671875" style="703" customWidth="1"/>
    <col min="10247" max="10247" width="9" style="703" bestFit="1" customWidth="1"/>
    <col min="10248" max="10488" width="5" style="703"/>
    <col min="10489" max="10489" width="4.6640625" style="703" customWidth="1"/>
    <col min="10490" max="10490" width="2" style="703" customWidth="1"/>
    <col min="10491" max="10491" width="40.6640625" style="703" customWidth="1"/>
    <col min="10492" max="10492" width="3.5546875" style="703" customWidth="1"/>
    <col min="10493" max="10493" width="11.109375" style="703" customWidth="1"/>
    <col min="10494" max="10494" width="2.6640625" style="703" customWidth="1"/>
    <col min="10495" max="10495" width="11.109375" style="703" customWidth="1"/>
    <col min="10496" max="10496" width="2.6640625" style="703" customWidth="1"/>
    <col min="10497" max="10497" width="11.109375" style="703" customWidth="1"/>
    <col min="10498" max="10498" width="2.6640625" style="703" customWidth="1"/>
    <col min="10499" max="10499" width="19.109375" style="703" bestFit="1" customWidth="1"/>
    <col min="10500" max="10500" width="1.88671875" style="703" customWidth="1"/>
    <col min="10501" max="10501" width="6.6640625" style="703" customWidth="1"/>
    <col min="10502" max="10502" width="14.88671875" style="703" customWidth="1"/>
    <col min="10503" max="10503" width="9" style="703" bestFit="1" customWidth="1"/>
    <col min="10504" max="10744" width="5" style="703"/>
    <col min="10745" max="10745" width="4.6640625" style="703" customWidth="1"/>
    <col min="10746" max="10746" width="2" style="703" customWidth="1"/>
    <col min="10747" max="10747" width="40.6640625" style="703" customWidth="1"/>
    <col min="10748" max="10748" width="3.5546875" style="703" customWidth="1"/>
    <col min="10749" max="10749" width="11.109375" style="703" customWidth="1"/>
    <col min="10750" max="10750" width="2.6640625" style="703" customWidth="1"/>
    <col min="10751" max="10751" width="11.109375" style="703" customWidth="1"/>
    <col min="10752" max="10752" width="2.6640625" style="703" customWidth="1"/>
    <col min="10753" max="10753" width="11.109375" style="703" customWidth="1"/>
    <col min="10754" max="10754" width="2.6640625" style="703" customWidth="1"/>
    <col min="10755" max="10755" width="19.109375" style="703" bestFit="1" customWidth="1"/>
    <col min="10756" max="10756" width="1.88671875" style="703" customWidth="1"/>
    <col min="10757" max="10757" width="6.6640625" style="703" customWidth="1"/>
    <col min="10758" max="10758" width="14.88671875" style="703" customWidth="1"/>
    <col min="10759" max="10759" width="9" style="703" bestFit="1" customWidth="1"/>
    <col min="10760" max="11000" width="5" style="703"/>
    <col min="11001" max="11001" width="4.6640625" style="703" customWidth="1"/>
    <col min="11002" max="11002" width="2" style="703" customWidth="1"/>
    <col min="11003" max="11003" width="40.6640625" style="703" customWidth="1"/>
    <col min="11004" max="11004" width="3.5546875" style="703" customWidth="1"/>
    <col min="11005" max="11005" width="11.109375" style="703" customWidth="1"/>
    <col min="11006" max="11006" width="2.6640625" style="703" customWidth="1"/>
    <col min="11007" max="11007" width="11.109375" style="703" customWidth="1"/>
    <col min="11008" max="11008" width="2.6640625" style="703" customWidth="1"/>
    <col min="11009" max="11009" width="11.109375" style="703" customWidth="1"/>
    <col min="11010" max="11010" width="2.6640625" style="703" customWidth="1"/>
    <col min="11011" max="11011" width="19.109375" style="703" bestFit="1" customWidth="1"/>
    <col min="11012" max="11012" width="1.88671875" style="703" customWidth="1"/>
    <col min="11013" max="11013" width="6.6640625" style="703" customWidth="1"/>
    <col min="11014" max="11014" width="14.88671875" style="703" customWidth="1"/>
    <col min="11015" max="11015" width="9" style="703" bestFit="1" customWidth="1"/>
    <col min="11016" max="11256" width="5" style="703"/>
    <col min="11257" max="11257" width="4.6640625" style="703" customWidth="1"/>
    <col min="11258" max="11258" width="2" style="703" customWidth="1"/>
    <col min="11259" max="11259" width="40.6640625" style="703" customWidth="1"/>
    <col min="11260" max="11260" width="3.5546875" style="703" customWidth="1"/>
    <col min="11261" max="11261" width="11.109375" style="703" customWidth="1"/>
    <col min="11262" max="11262" width="2.6640625" style="703" customWidth="1"/>
    <col min="11263" max="11263" width="11.109375" style="703" customWidth="1"/>
    <col min="11264" max="11264" width="2.6640625" style="703" customWidth="1"/>
    <col min="11265" max="11265" width="11.109375" style="703" customWidth="1"/>
    <col min="11266" max="11266" width="2.6640625" style="703" customWidth="1"/>
    <col min="11267" max="11267" width="19.109375" style="703" bestFit="1" customWidth="1"/>
    <col min="11268" max="11268" width="1.88671875" style="703" customWidth="1"/>
    <col min="11269" max="11269" width="6.6640625" style="703" customWidth="1"/>
    <col min="11270" max="11270" width="14.88671875" style="703" customWidth="1"/>
    <col min="11271" max="11271" width="9" style="703" bestFit="1" customWidth="1"/>
    <col min="11272" max="11512" width="5" style="703"/>
    <col min="11513" max="11513" width="4.6640625" style="703" customWidth="1"/>
    <col min="11514" max="11514" width="2" style="703" customWidth="1"/>
    <col min="11515" max="11515" width="40.6640625" style="703" customWidth="1"/>
    <col min="11516" max="11516" width="3.5546875" style="703" customWidth="1"/>
    <col min="11517" max="11517" width="11.109375" style="703" customWidth="1"/>
    <col min="11518" max="11518" width="2.6640625" style="703" customWidth="1"/>
    <col min="11519" max="11519" width="11.109375" style="703" customWidth="1"/>
    <col min="11520" max="11520" width="2.6640625" style="703" customWidth="1"/>
    <col min="11521" max="11521" width="11.109375" style="703" customWidth="1"/>
    <col min="11522" max="11522" width="2.6640625" style="703" customWidth="1"/>
    <col min="11523" max="11523" width="19.109375" style="703" bestFit="1" customWidth="1"/>
    <col min="11524" max="11524" width="1.88671875" style="703" customWidth="1"/>
    <col min="11525" max="11525" width="6.6640625" style="703" customWidth="1"/>
    <col min="11526" max="11526" width="14.88671875" style="703" customWidth="1"/>
    <col min="11527" max="11527" width="9" style="703" bestFit="1" customWidth="1"/>
    <col min="11528" max="11768" width="5" style="703"/>
    <col min="11769" max="11769" width="4.6640625" style="703" customWidth="1"/>
    <col min="11770" max="11770" width="2" style="703" customWidth="1"/>
    <col min="11771" max="11771" width="40.6640625" style="703" customWidth="1"/>
    <col min="11772" max="11772" width="3.5546875" style="703" customWidth="1"/>
    <col min="11773" max="11773" width="11.109375" style="703" customWidth="1"/>
    <col min="11774" max="11774" width="2.6640625" style="703" customWidth="1"/>
    <col min="11775" max="11775" width="11.109375" style="703" customWidth="1"/>
    <col min="11776" max="11776" width="2.6640625" style="703" customWidth="1"/>
    <col min="11777" max="11777" width="11.109375" style="703" customWidth="1"/>
    <col min="11778" max="11778" width="2.6640625" style="703" customWidth="1"/>
    <col min="11779" max="11779" width="19.109375" style="703" bestFit="1" customWidth="1"/>
    <col min="11780" max="11780" width="1.88671875" style="703" customWidth="1"/>
    <col min="11781" max="11781" width="6.6640625" style="703" customWidth="1"/>
    <col min="11782" max="11782" width="14.88671875" style="703" customWidth="1"/>
    <col min="11783" max="11783" width="9" style="703" bestFit="1" customWidth="1"/>
    <col min="11784" max="12024" width="5" style="703"/>
    <col min="12025" max="12025" width="4.6640625" style="703" customWidth="1"/>
    <col min="12026" max="12026" width="2" style="703" customWidth="1"/>
    <col min="12027" max="12027" width="40.6640625" style="703" customWidth="1"/>
    <col min="12028" max="12028" width="3.5546875" style="703" customWidth="1"/>
    <col min="12029" max="12029" width="11.109375" style="703" customWidth="1"/>
    <col min="12030" max="12030" width="2.6640625" style="703" customWidth="1"/>
    <col min="12031" max="12031" width="11.109375" style="703" customWidth="1"/>
    <col min="12032" max="12032" width="2.6640625" style="703" customWidth="1"/>
    <col min="12033" max="12033" width="11.109375" style="703" customWidth="1"/>
    <col min="12034" max="12034" width="2.6640625" style="703" customWidth="1"/>
    <col min="12035" max="12035" width="19.109375" style="703" bestFit="1" customWidth="1"/>
    <col min="12036" max="12036" width="1.88671875" style="703" customWidth="1"/>
    <col min="12037" max="12037" width="6.6640625" style="703" customWidth="1"/>
    <col min="12038" max="12038" width="14.88671875" style="703" customWidth="1"/>
    <col min="12039" max="12039" width="9" style="703" bestFit="1" customWidth="1"/>
    <col min="12040" max="12280" width="5" style="703"/>
    <col min="12281" max="12281" width="4.6640625" style="703" customWidth="1"/>
    <col min="12282" max="12282" width="2" style="703" customWidth="1"/>
    <col min="12283" max="12283" width="40.6640625" style="703" customWidth="1"/>
    <col min="12284" max="12284" width="3.5546875" style="703" customWidth="1"/>
    <col min="12285" max="12285" width="11.109375" style="703" customWidth="1"/>
    <col min="12286" max="12286" width="2.6640625" style="703" customWidth="1"/>
    <col min="12287" max="12287" width="11.109375" style="703" customWidth="1"/>
    <col min="12288" max="12288" width="2.6640625" style="703" customWidth="1"/>
    <col min="12289" max="12289" width="11.109375" style="703" customWidth="1"/>
    <col min="12290" max="12290" width="2.6640625" style="703" customWidth="1"/>
    <col min="12291" max="12291" width="19.109375" style="703" bestFit="1" customWidth="1"/>
    <col min="12292" max="12292" width="1.88671875" style="703" customWidth="1"/>
    <col min="12293" max="12293" width="6.6640625" style="703" customWidth="1"/>
    <col min="12294" max="12294" width="14.88671875" style="703" customWidth="1"/>
    <col min="12295" max="12295" width="9" style="703" bestFit="1" customWidth="1"/>
    <col min="12296" max="12536" width="5" style="703"/>
    <col min="12537" max="12537" width="4.6640625" style="703" customWidth="1"/>
    <col min="12538" max="12538" width="2" style="703" customWidth="1"/>
    <col min="12539" max="12539" width="40.6640625" style="703" customWidth="1"/>
    <col min="12540" max="12540" width="3.5546875" style="703" customWidth="1"/>
    <col min="12541" max="12541" width="11.109375" style="703" customWidth="1"/>
    <col min="12542" max="12542" width="2.6640625" style="703" customWidth="1"/>
    <col min="12543" max="12543" width="11.109375" style="703" customWidth="1"/>
    <col min="12544" max="12544" width="2.6640625" style="703" customWidth="1"/>
    <col min="12545" max="12545" width="11.109375" style="703" customWidth="1"/>
    <col min="12546" max="12546" width="2.6640625" style="703" customWidth="1"/>
    <col min="12547" max="12547" width="19.109375" style="703" bestFit="1" customWidth="1"/>
    <col min="12548" max="12548" width="1.88671875" style="703" customWidth="1"/>
    <col min="12549" max="12549" width="6.6640625" style="703" customWidth="1"/>
    <col min="12550" max="12550" width="14.88671875" style="703" customWidth="1"/>
    <col min="12551" max="12551" width="9" style="703" bestFit="1" customWidth="1"/>
    <col min="12552" max="12792" width="5" style="703"/>
    <col min="12793" max="12793" width="4.6640625" style="703" customWidth="1"/>
    <col min="12794" max="12794" width="2" style="703" customWidth="1"/>
    <col min="12795" max="12795" width="40.6640625" style="703" customWidth="1"/>
    <col min="12796" max="12796" width="3.5546875" style="703" customWidth="1"/>
    <col min="12797" max="12797" width="11.109375" style="703" customWidth="1"/>
    <col min="12798" max="12798" width="2.6640625" style="703" customWidth="1"/>
    <col min="12799" max="12799" width="11.109375" style="703" customWidth="1"/>
    <col min="12800" max="12800" width="2.6640625" style="703" customWidth="1"/>
    <col min="12801" max="12801" width="11.109375" style="703" customWidth="1"/>
    <col min="12802" max="12802" width="2.6640625" style="703" customWidth="1"/>
    <col min="12803" max="12803" width="19.109375" style="703" bestFit="1" customWidth="1"/>
    <col min="12804" max="12804" width="1.88671875" style="703" customWidth="1"/>
    <col min="12805" max="12805" width="6.6640625" style="703" customWidth="1"/>
    <col min="12806" max="12806" width="14.88671875" style="703" customWidth="1"/>
    <col min="12807" max="12807" width="9" style="703" bestFit="1" customWidth="1"/>
    <col min="12808" max="13048" width="5" style="703"/>
    <col min="13049" max="13049" width="4.6640625" style="703" customWidth="1"/>
    <col min="13050" max="13050" width="2" style="703" customWidth="1"/>
    <col min="13051" max="13051" width="40.6640625" style="703" customWidth="1"/>
    <col min="13052" max="13052" width="3.5546875" style="703" customWidth="1"/>
    <col min="13053" max="13053" width="11.109375" style="703" customWidth="1"/>
    <col min="13054" max="13054" width="2.6640625" style="703" customWidth="1"/>
    <col min="13055" max="13055" width="11.109375" style="703" customWidth="1"/>
    <col min="13056" max="13056" width="2.6640625" style="703" customWidth="1"/>
    <col min="13057" max="13057" width="11.109375" style="703" customWidth="1"/>
    <col min="13058" max="13058" width="2.6640625" style="703" customWidth="1"/>
    <col min="13059" max="13059" width="19.109375" style="703" bestFit="1" customWidth="1"/>
    <col min="13060" max="13060" width="1.88671875" style="703" customWidth="1"/>
    <col min="13061" max="13061" width="6.6640625" style="703" customWidth="1"/>
    <col min="13062" max="13062" width="14.88671875" style="703" customWidth="1"/>
    <col min="13063" max="13063" width="9" style="703" bestFit="1" customWidth="1"/>
    <col min="13064" max="13304" width="5" style="703"/>
    <col min="13305" max="13305" width="4.6640625" style="703" customWidth="1"/>
    <col min="13306" max="13306" width="2" style="703" customWidth="1"/>
    <col min="13307" max="13307" width="40.6640625" style="703" customWidth="1"/>
    <col min="13308" max="13308" width="3.5546875" style="703" customWidth="1"/>
    <col min="13309" max="13309" width="11.109375" style="703" customWidth="1"/>
    <col min="13310" max="13310" width="2.6640625" style="703" customWidth="1"/>
    <col min="13311" max="13311" width="11.109375" style="703" customWidth="1"/>
    <col min="13312" max="13312" width="2.6640625" style="703" customWidth="1"/>
    <col min="13313" max="13313" width="11.109375" style="703" customWidth="1"/>
    <col min="13314" max="13314" width="2.6640625" style="703" customWidth="1"/>
    <col min="13315" max="13315" width="19.109375" style="703" bestFit="1" customWidth="1"/>
    <col min="13316" max="13316" width="1.88671875" style="703" customWidth="1"/>
    <col min="13317" max="13317" width="6.6640625" style="703" customWidth="1"/>
    <col min="13318" max="13318" width="14.88671875" style="703" customWidth="1"/>
    <col min="13319" max="13319" width="9" style="703" bestFit="1" customWidth="1"/>
    <col min="13320" max="13560" width="5" style="703"/>
    <col min="13561" max="13561" width="4.6640625" style="703" customWidth="1"/>
    <col min="13562" max="13562" width="2" style="703" customWidth="1"/>
    <col min="13563" max="13563" width="40.6640625" style="703" customWidth="1"/>
    <col min="13564" max="13564" width="3.5546875" style="703" customWidth="1"/>
    <col min="13565" max="13565" width="11.109375" style="703" customWidth="1"/>
    <col min="13566" max="13566" width="2.6640625" style="703" customWidth="1"/>
    <col min="13567" max="13567" width="11.109375" style="703" customWidth="1"/>
    <col min="13568" max="13568" width="2.6640625" style="703" customWidth="1"/>
    <col min="13569" max="13569" width="11.109375" style="703" customWidth="1"/>
    <col min="13570" max="13570" width="2.6640625" style="703" customWidth="1"/>
    <col min="13571" max="13571" width="19.109375" style="703" bestFit="1" customWidth="1"/>
    <col min="13572" max="13572" width="1.88671875" style="703" customWidth="1"/>
    <col min="13573" max="13573" width="6.6640625" style="703" customWidth="1"/>
    <col min="13574" max="13574" width="14.88671875" style="703" customWidth="1"/>
    <col min="13575" max="13575" width="9" style="703" bestFit="1" customWidth="1"/>
    <col min="13576" max="13816" width="5" style="703"/>
    <col min="13817" max="13817" width="4.6640625" style="703" customWidth="1"/>
    <col min="13818" max="13818" width="2" style="703" customWidth="1"/>
    <col min="13819" max="13819" width="40.6640625" style="703" customWidth="1"/>
    <col min="13820" max="13820" width="3.5546875" style="703" customWidth="1"/>
    <col min="13821" max="13821" width="11.109375" style="703" customWidth="1"/>
    <col min="13822" max="13822" width="2.6640625" style="703" customWidth="1"/>
    <col min="13823" max="13823" width="11.109375" style="703" customWidth="1"/>
    <col min="13824" max="13824" width="2.6640625" style="703" customWidth="1"/>
    <col min="13825" max="13825" width="11.109375" style="703" customWidth="1"/>
    <col min="13826" max="13826" width="2.6640625" style="703" customWidth="1"/>
    <col min="13827" max="13827" width="19.109375" style="703" bestFit="1" customWidth="1"/>
    <col min="13828" max="13828" width="1.88671875" style="703" customWidth="1"/>
    <col min="13829" max="13829" width="6.6640625" style="703" customWidth="1"/>
    <col min="13830" max="13830" width="14.88671875" style="703" customWidth="1"/>
    <col min="13831" max="13831" width="9" style="703" bestFit="1" customWidth="1"/>
    <col min="13832" max="14072" width="5" style="703"/>
    <col min="14073" max="14073" width="4.6640625" style="703" customWidth="1"/>
    <col min="14074" max="14074" width="2" style="703" customWidth="1"/>
    <col min="14075" max="14075" width="40.6640625" style="703" customWidth="1"/>
    <col min="14076" max="14076" width="3.5546875" style="703" customWidth="1"/>
    <col min="14077" max="14077" width="11.109375" style="703" customWidth="1"/>
    <col min="14078" max="14078" width="2.6640625" style="703" customWidth="1"/>
    <col min="14079" max="14079" width="11.109375" style="703" customWidth="1"/>
    <col min="14080" max="14080" width="2.6640625" style="703" customWidth="1"/>
    <col min="14081" max="14081" width="11.109375" style="703" customWidth="1"/>
    <col min="14082" max="14082" width="2.6640625" style="703" customWidth="1"/>
    <col min="14083" max="14083" width="19.109375" style="703" bestFit="1" customWidth="1"/>
    <col min="14084" max="14084" width="1.88671875" style="703" customWidth="1"/>
    <col min="14085" max="14085" width="6.6640625" style="703" customWidth="1"/>
    <col min="14086" max="14086" width="14.88671875" style="703" customWidth="1"/>
    <col min="14087" max="14087" width="9" style="703" bestFit="1" customWidth="1"/>
    <col min="14088" max="14328" width="5" style="703"/>
    <col min="14329" max="14329" width="4.6640625" style="703" customWidth="1"/>
    <col min="14330" max="14330" width="2" style="703" customWidth="1"/>
    <col min="14331" max="14331" width="40.6640625" style="703" customWidth="1"/>
    <col min="14332" max="14332" width="3.5546875" style="703" customWidth="1"/>
    <col min="14333" max="14333" width="11.109375" style="703" customWidth="1"/>
    <col min="14334" max="14334" width="2.6640625" style="703" customWidth="1"/>
    <col min="14335" max="14335" width="11.109375" style="703" customWidth="1"/>
    <col min="14336" max="14336" width="2.6640625" style="703" customWidth="1"/>
    <col min="14337" max="14337" width="11.109375" style="703" customWidth="1"/>
    <col min="14338" max="14338" width="2.6640625" style="703" customWidth="1"/>
    <col min="14339" max="14339" width="19.109375" style="703" bestFit="1" customWidth="1"/>
    <col min="14340" max="14340" width="1.88671875" style="703" customWidth="1"/>
    <col min="14341" max="14341" width="6.6640625" style="703" customWidth="1"/>
    <col min="14342" max="14342" width="14.88671875" style="703" customWidth="1"/>
    <col min="14343" max="14343" width="9" style="703" bestFit="1" customWidth="1"/>
    <col min="14344" max="14584" width="5" style="703"/>
    <col min="14585" max="14585" width="4.6640625" style="703" customWidth="1"/>
    <col min="14586" max="14586" width="2" style="703" customWidth="1"/>
    <col min="14587" max="14587" width="40.6640625" style="703" customWidth="1"/>
    <col min="14588" max="14588" width="3.5546875" style="703" customWidth="1"/>
    <col min="14589" max="14589" width="11.109375" style="703" customWidth="1"/>
    <col min="14590" max="14590" width="2.6640625" style="703" customWidth="1"/>
    <col min="14591" max="14591" width="11.109375" style="703" customWidth="1"/>
    <col min="14592" max="14592" width="2.6640625" style="703" customWidth="1"/>
    <col min="14593" max="14593" width="11.109375" style="703" customWidth="1"/>
    <col min="14594" max="14594" width="2.6640625" style="703" customWidth="1"/>
    <col min="14595" max="14595" width="19.109375" style="703" bestFit="1" customWidth="1"/>
    <col min="14596" max="14596" width="1.88671875" style="703" customWidth="1"/>
    <col min="14597" max="14597" width="6.6640625" style="703" customWidth="1"/>
    <col min="14598" max="14598" width="14.88671875" style="703" customWidth="1"/>
    <col min="14599" max="14599" width="9" style="703" bestFit="1" customWidth="1"/>
    <col min="14600" max="14840" width="5" style="703"/>
    <col min="14841" max="14841" width="4.6640625" style="703" customWidth="1"/>
    <col min="14842" max="14842" width="2" style="703" customWidth="1"/>
    <col min="14843" max="14843" width="40.6640625" style="703" customWidth="1"/>
    <col min="14844" max="14844" width="3.5546875" style="703" customWidth="1"/>
    <col min="14845" max="14845" width="11.109375" style="703" customWidth="1"/>
    <col min="14846" max="14846" width="2.6640625" style="703" customWidth="1"/>
    <col min="14847" max="14847" width="11.109375" style="703" customWidth="1"/>
    <col min="14848" max="14848" width="2.6640625" style="703" customWidth="1"/>
    <col min="14849" max="14849" width="11.109375" style="703" customWidth="1"/>
    <col min="14850" max="14850" width="2.6640625" style="703" customWidth="1"/>
    <col min="14851" max="14851" width="19.109375" style="703" bestFit="1" customWidth="1"/>
    <col min="14852" max="14852" width="1.88671875" style="703" customWidth="1"/>
    <col min="14853" max="14853" width="6.6640625" style="703" customWidth="1"/>
    <col min="14854" max="14854" width="14.88671875" style="703" customWidth="1"/>
    <col min="14855" max="14855" width="9" style="703" bestFit="1" customWidth="1"/>
    <col min="14856" max="15096" width="5" style="703"/>
    <col min="15097" max="15097" width="4.6640625" style="703" customWidth="1"/>
    <col min="15098" max="15098" width="2" style="703" customWidth="1"/>
    <col min="15099" max="15099" width="40.6640625" style="703" customWidth="1"/>
    <col min="15100" max="15100" width="3.5546875" style="703" customWidth="1"/>
    <col min="15101" max="15101" width="11.109375" style="703" customWidth="1"/>
    <col min="15102" max="15102" width="2.6640625" style="703" customWidth="1"/>
    <col min="15103" max="15103" width="11.109375" style="703" customWidth="1"/>
    <col min="15104" max="15104" width="2.6640625" style="703" customWidth="1"/>
    <col min="15105" max="15105" width="11.109375" style="703" customWidth="1"/>
    <col min="15106" max="15106" width="2.6640625" style="703" customWidth="1"/>
    <col min="15107" max="15107" width="19.109375" style="703" bestFit="1" customWidth="1"/>
    <col min="15108" max="15108" width="1.88671875" style="703" customWidth="1"/>
    <col min="15109" max="15109" width="6.6640625" style="703" customWidth="1"/>
    <col min="15110" max="15110" width="14.88671875" style="703" customWidth="1"/>
    <col min="15111" max="15111" width="9" style="703" bestFit="1" customWidth="1"/>
    <col min="15112" max="15352" width="5" style="703"/>
    <col min="15353" max="15353" width="4.6640625" style="703" customWidth="1"/>
    <col min="15354" max="15354" width="2" style="703" customWidth="1"/>
    <col min="15355" max="15355" width="40.6640625" style="703" customWidth="1"/>
    <col min="15356" max="15356" width="3.5546875" style="703" customWidth="1"/>
    <col min="15357" max="15357" width="11.109375" style="703" customWidth="1"/>
    <col min="15358" max="15358" width="2.6640625" style="703" customWidth="1"/>
    <col min="15359" max="15359" width="11.109375" style="703" customWidth="1"/>
    <col min="15360" max="15360" width="2.6640625" style="703" customWidth="1"/>
    <col min="15361" max="15361" width="11.109375" style="703" customWidth="1"/>
    <col min="15362" max="15362" width="2.6640625" style="703" customWidth="1"/>
    <col min="15363" max="15363" width="19.109375" style="703" bestFit="1" customWidth="1"/>
    <col min="15364" max="15364" width="1.88671875" style="703" customWidth="1"/>
    <col min="15365" max="15365" width="6.6640625" style="703" customWidth="1"/>
    <col min="15366" max="15366" width="14.88671875" style="703" customWidth="1"/>
    <col min="15367" max="15367" width="9" style="703" bestFit="1" customWidth="1"/>
    <col min="15368" max="15608" width="5" style="703"/>
    <col min="15609" max="15609" width="4.6640625" style="703" customWidth="1"/>
    <col min="15610" max="15610" width="2" style="703" customWidth="1"/>
    <col min="15611" max="15611" width="40.6640625" style="703" customWidth="1"/>
    <col min="15612" max="15612" width="3.5546875" style="703" customWidth="1"/>
    <col min="15613" max="15613" width="11.109375" style="703" customWidth="1"/>
    <col min="15614" max="15614" width="2.6640625" style="703" customWidth="1"/>
    <col min="15615" max="15615" width="11.109375" style="703" customWidth="1"/>
    <col min="15616" max="15616" width="2.6640625" style="703" customWidth="1"/>
    <col min="15617" max="15617" width="11.109375" style="703" customWidth="1"/>
    <col min="15618" max="15618" width="2.6640625" style="703" customWidth="1"/>
    <col min="15619" max="15619" width="19.109375" style="703" bestFit="1" customWidth="1"/>
    <col min="15620" max="15620" width="1.88671875" style="703" customWidth="1"/>
    <col min="15621" max="15621" width="6.6640625" style="703" customWidth="1"/>
    <col min="15622" max="15622" width="14.88671875" style="703" customWidth="1"/>
    <col min="15623" max="15623" width="9" style="703" bestFit="1" customWidth="1"/>
    <col min="15624" max="15864" width="5" style="703"/>
    <col min="15865" max="15865" width="4.6640625" style="703" customWidth="1"/>
    <col min="15866" max="15866" width="2" style="703" customWidth="1"/>
    <col min="15867" max="15867" width="40.6640625" style="703" customWidth="1"/>
    <col min="15868" max="15868" width="3.5546875" style="703" customWidth="1"/>
    <col min="15869" max="15869" width="11.109375" style="703" customWidth="1"/>
    <col min="15870" max="15870" width="2.6640625" style="703" customWidth="1"/>
    <col min="15871" max="15871" width="11.109375" style="703" customWidth="1"/>
    <col min="15872" max="15872" width="2.6640625" style="703" customWidth="1"/>
    <col min="15873" max="15873" width="11.109375" style="703" customWidth="1"/>
    <col min="15874" max="15874" width="2.6640625" style="703" customWidth="1"/>
    <col min="15875" max="15875" width="19.109375" style="703" bestFit="1" customWidth="1"/>
    <col min="15876" max="15876" width="1.88671875" style="703" customWidth="1"/>
    <col min="15877" max="15877" width="6.6640625" style="703" customWidth="1"/>
    <col min="15878" max="15878" width="14.88671875" style="703" customWidth="1"/>
    <col min="15879" max="15879" width="9" style="703" bestFit="1" customWidth="1"/>
    <col min="15880" max="16120" width="5" style="703"/>
    <col min="16121" max="16121" width="4.6640625" style="703" customWidth="1"/>
    <col min="16122" max="16122" width="2" style="703" customWidth="1"/>
    <col min="16123" max="16123" width="40.6640625" style="703" customWidth="1"/>
    <col min="16124" max="16124" width="3.5546875" style="703" customWidth="1"/>
    <col min="16125" max="16125" width="11.109375" style="703" customWidth="1"/>
    <col min="16126" max="16126" width="2.6640625" style="703" customWidth="1"/>
    <col min="16127" max="16127" width="11.109375" style="703" customWidth="1"/>
    <col min="16128" max="16128" width="2.6640625" style="703" customWidth="1"/>
    <col min="16129" max="16129" width="11.109375" style="703" customWidth="1"/>
    <col min="16130" max="16130" width="2.6640625" style="703" customWidth="1"/>
    <col min="16131" max="16131" width="19.109375" style="703" bestFit="1" customWidth="1"/>
    <col min="16132" max="16132" width="1.88671875" style="703" customWidth="1"/>
    <col min="16133" max="16133" width="6.6640625" style="703" customWidth="1"/>
    <col min="16134" max="16134" width="14.88671875" style="703" customWidth="1"/>
    <col min="16135" max="16135" width="9" style="703" bestFit="1" customWidth="1"/>
    <col min="16136" max="16384" width="5" style="703"/>
  </cols>
  <sheetData>
    <row r="1" spans="1:34">
      <c r="AG1"/>
      <c r="AH1" s="65" t="str">
        <f>'Attachment H-11A '!K1&amp;""&amp;", Attachment 17"</f>
        <v>Attachment H -11A, Attachment 17</v>
      </c>
    </row>
    <row r="2" spans="1:34">
      <c r="AG2"/>
      <c r="AH2" s="65" t="s">
        <v>168</v>
      </c>
    </row>
    <row r="3" spans="1:34" ht="18.75">
      <c r="M3" s="894" t="s">
        <v>915</v>
      </c>
      <c r="N3" s="895"/>
      <c r="O3" s="894"/>
      <c r="P3" s="895"/>
      <c r="AG3"/>
      <c r="AH3" s="3" t="str">
        <f>'Attachment H-11A '!K4</f>
        <v>For the 12 months ended 12/31/2023</v>
      </c>
    </row>
    <row r="5" spans="1:34">
      <c r="C5" s="702" t="s">
        <v>688</v>
      </c>
      <c r="E5" s="702" t="str">
        <f>"("&amp;CHAR(CODE(MID(C5,2,1))+1)&amp;")"</f>
        <v>(B)</v>
      </c>
      <c r="F5" s="702"/>
      <c r="G5" s="702" t="str">
        <f t="shared" ref="G5:K5" si="0">"("&amp;CHAR(CODE(MID(E5,2,1))+1)&amp;")"</f>
        <v>(C)</v>
      </c>
      <c r="H5" s="702"/>
      <c r="I5" s="702" t="str">
        <f t="shared" si="0"/>
        <v>(D)</v>
      </c>
      <c r="J5" s="702"/>
      <c r="K5" s="702" t="str">
        <f t="shared" si="0"/>
        <v>(E)</v>
      </c>
      <c r="M5" s="702" t="str">
        <f>"("&amp;CHAR(CODE(MID(K5,2,1))+1)&amp;")"</f>
        <v>(F)</v>
      </c>
      <c r="O5" s="702" t="str">
        <f>"("&amp;CHAR(CODE(MID(M5,2,1))+1)&amp;")"</f>
        <v>(G)</v>
      </c>
      <c r="Q5" s="702" t="str">
        <f>"("&amp;CHAR(CODE(MID(O5,2,1))+1)&amp;")"</f>
        <v>(H)</v>
      </c>
      <c r="S5" s="702" t="str">
        <f>"("&amp;CHAR(CODE(MID(Q5,2,1))+1)&amp;")"</f>
        <v>(I)</v>
      </c>
      <c r="U5" s="702" t="str">
        <f>"("&amp;CHAR(CODE(MID(S5,2,1))+1)&amp;")"</f>
        <v>(J)</v>
      </c>
      <c r="W5" s="702" t="str">
        <f>"("&amp;CHAR(CODE(MID(U5,2,1))+1)&amp;")"</f>
        <v>(K)</v>
      </c>
      <c r="Y5" s="702" t="str">
        <f>"("&amp;CHAR(CODE(MID(W5,2,1))+1)&amp;")"</f>
        <v>(L)</v>
      </c>
      <c r="AA5" s="702" t="str">
        <f>"("&amp;CHAR(CODE(MID(Y5,2,1))+1)&amp;")"</f>
        <v>(M)</v>
      </c>
      <c r="AB5" s="702"/>
      <c r="AC5" s="702" t="str">
        <f t="shared" ref="AC5:AG5" si="1">"("&amp;CHAR(CODE(MID(AA5,2,1))+1)&amp;")"</f>
        <v>(N)</v>
      </c>
      <c r="AD5" s="702"/>
      <c r="AE5" s="702" t="str">
        <f t="shared" si="1"/>
        <v>(O)</v>
      </c>
      <c r="AF5" s="702"/>
      <c r="AG5" s="702" t="str">
        <f t="shared" si="1"/>
        <v>(P)</v>
      </c>
    </row>
    <row r="6" spans="1:34">
      <c r="E6" s="702"/>
      <c r="G6" s="702"/>
      <c r="I6" s="702"/>
      <c r="K6" s="702"/>
      <c r="M6" s="702"/>
      <c r="O6" s="702"/>
      <c r="Q6" s="702"/>
      <c r="S6" s="702"/>
      <c r="U6" s="702"/>
      <c r="W6" s="702"/>
      <c r="Y6" s="702"/>
      <c r="AA6" s="702"/>
      <c r="AC6" s="702"/>
      <c r="AH6" s="769"/>
    </row>
    <row r="7" spans="1:34">
      <c r="E7" s="702"/>
      <c r="G7" s="819">
        <v>2022</v>
      </c>
      <c r="I7" s="770">
        <f>$G$7+1</f>
        <v>2023</v>
      </c>
      <c r="K7" s="770">
        <f>$G$7+1</f>
        <v>2023</v>
      </c>
      <c r="M7" s="770">
        <f>$G$7+1</f>
        <v>2023</v>
      </c>
      <c r="O7" s="770">
        <f>$G$7+1</f>
        <v>2023</v>
      </c>
      <c r="Q7" s="770">
        <f>$G$7+1</f>
        <v>2023</v>
      </c>
      <c r="S7" s="770">
        <f>$G$7+1</f>
        <v>2023</v>
      </c>
      <c r="U7" s="770">
        <f>$G$7+1</f>
        <v>2023</v>
      </c>
      <c r="W7" s="770">
        <f>$G$7+1</f>
        <v>2023</v>
      </c>
      <c r="Y7" s="770">
        <f>$G$7+1</f>
        <v>2023</v>
      </c>
      <c r="AA7" s="770">
        <f>$G$7+1</f>
        <v>2023</v>
      </c>
      <c r="AC7" s="770">
        <f>$G$7+1</f>
        <v>2023</v>
      </c>
      <c r="AE7" s="770">
        <f>$G$7+1</f>
        <v>2023</v>
      </c>
      <c r="AH7" s="769"/>
    </row>
    <row r="8" spans="1:34" ht="38.1" customHeight="1">
      <c r="A8" s="771" t="s">
        <v>729</v>
      </c>
      <c r="B8" s="772"/>
      <c r="C8" s="773" t="s">
        <v>730</v>
      </c>
      <c r="D8" s="772"/>
      <c r="E8" s="774" t="s">
        <v>731</v>
      </c>
      <c r="F8" s="772"/>
      <c r="G8" s="776" t="s">
        <v>216</v>
      </c>
      <c r="H8" s="772"/>
      <c r="I8" s="776" t="s">
        <v>732</v>
      </c>
      <c r="J8" s="772"/>
      <c r="K8" s="776" t="s">
        <v>733</v>
      </c>
      <c r="L8" s="772"/>
      <c r="M8" s="776" t="s">
        <v>734</v>
      </c>
      <c r="N8" s="772"/>
      <c r="O8" s="776" t="s">
        <v>735</v>
      </c>
      <c r="P8" s="772"/>
      <c r="Q8" s="776" t="s">
        <v>736</v>
      </c>
      <c r="R8" s="772"/>
      <c r="S8" s="776" t="s">
        <v>737</v>
      </c>
      <c r="T8" s="772"/>
      <c r="U8" s="776" t="s">
        <v>738</v>
      </c>
      <c r="V8" s="772"/>
      <c r="W8" s="776" t="s">
        <v>739</v>
      </c>
      <c r="X8" s="772"/>
      <c r="Y8" s="776" t="s">
        <v>740</v>
      </c>
      <c r="Z8" s="772"/>
      <c r="AA8" s="776" t="s">
        <v>741</v>
      </c>
      <c r="AB8" s="772"/>
      <c r="AC8" s="776" t="s">
        <v>742</v>
      </c>
      <c r="AD8" s="772"/>
      <c r="AE8" s="776" t="s">
        <v>216</v>
      </c>
      <c r="AF8" s="772"/>
      <c r="AG8" s="776" t="s">
        <v>743</v>
      </c>
      <c r="AH8" s="777"/>
    </row>
    <row r="9" spans="1:34">
      <c r="A9" s="778"/>
      <c r="B9" s="779"/>
      <c r="C9" s="780"/>
      <c r="D9" s="779"/>
      <c r="E9" s="781"/>
      <c r="F9" s="779"/>
      <c r="G9" s="781"/>
      <c r="H9" s="779"/>
      <c r="I9" s="781"/>
      <c r="J9" s="779"/>
      <c r="K9" s="781"/>
      <c r="L9" s="779"/>
      <c r="M9" s="781"/>
      <c r="N9" s="779"/>
      <c r="O9" s="781"/>
      <c r="P9" s="779"/>
      <c r="Q9" s="781"/>
      <c r="R9" s="779"/>
      <c r="S9" s="781"/>
      <c r="T9" s="779"/>
      <c r="U9" s="781"/>
      <c r="V9" s="779"/>
      <c r="W9" s="781"/>
      <c r="X9" s="779"/>
      <c r="Y9" s="781"/>
      <c r="Z9" s="779"/>
      <c r="AA9" s="781"/>
      <c r="AB9" s="779"/>
      <c r="AC9" s="781"/>
      <c r="AD9" s="779"/>
      <c r="AE9" s="781"/>
      <c r="AF9" s="779"/>
      <c r="AG9" s="781"/>
      <c r="AH9" s="777"/>
    </row>
    <row r="10" spans="1:34">
      <c r="A10" s="778">
        <v>1</v>
      </c>
      <c r="B10" s="779"/>
      <c r="C10" s="780" t="s">
        <v>797</v>
      </c>
      <c r="D10" s="779"/>
      <c r="E10" s="781"/>
      <c r="F10" s="779"/>
      <c r="G10" s="781"/>
      <c r="H10" s="779"/>
      <c r="I10" s="781"/>
      <c r="J10" s="779"/>
      <c r="K10" s="781"/>
      <c r="L10" s="779"/>
      <c r="M10" s="781"/>
      <c r="N10" s="779"/>
      <c r="O10" s="781"/>
      <c r="P10" s="779"/>
      <c r="Q10" s="781"/>
      <c r="R10" s="779"/>
      <c r="S10" s="781"/>
      <c r="T10" s="779"/>
      <c r="U10" s="781"/>
      <c r="V10" s="779"/>
      <c r="W10" s="781"/>
      <c r="X10" s="779"/>
      <c r="Y10" s="781"/>
      <c r="Z10" s="779"/>
      <c r="AA10" s="781"/>
      <c r="AB10" s="779"/>
      <c r="AC10" s="781"/>
      <c r="AD10" s="779"/>
      <c r="AE10" s="781"/>
      <c r="AF10" s="779"/>
      <c r="AG10" s="781"/>
      <c r="AH10" s="777"/>
    </row>
    <row r="11" spans="1:34">
      <c r="C11" s="769"/>
      <c r="E11" s="769"/>
      <c r="G11" s="769"/>
      <c r="I11" s="769"/>
      <c r="K11" s="769"/>
      <c r="M11" s="769"/>
      <c r="O11" s="769"/>
      <c r="Q11" s="769"/>
      <c r="S11" s="769"/>
      <c r="U11" s="769"/>
      <c r="W11" s="769"/>
      <c r="Y11" s="769"/>
      <c r="AA11" s="769"/>
      <c r="AC11" s="769"/>
      <c r="AH11" s="769"/>
    </row>
    <row r="12" spans="1:34">
      <c r="A12" s="769" t="s">
        <v>433</v>
      </c>
      <c r="C12" s="782" t="s">
        <v>744</v>
      </c>
      <c r="E12" s="782"/>
      <c r="G12" s="782"/>
      <c r="I12" s="782"/>
      <c r="K12" s="782"/>
      <c r="M12" s="782"/>
      <c r="O12" s="782"/>
      <c r="Q12" s="782"/>
      <c r="S12" s="782"/>
      <c r="U12" s="782"/>
      <c r="W12" s="782"/>
      <c r="Y12" s="782"/>
      <c r="AA12" s="782"/>
      <c r="AC12" s="782"/>
      <c r="AE12" s="782"/>
      <c r="AG12" s="783">
        <f>SUM(G12:AE12)/13</f>
        <v>0</v>
      </c>
    </row>
    <row r="13" spans="1:34">
      <c r="A13" s="769" t="s">
        <v>434</v>
      </c>
      <c r="C13" s="782" t="s">
        <v>745</v>
      </c>
      <c r="E13" s="782"/>
      <c r="G13" s="782"/>
      <c r="I13" s="782"/>
      <c r="K13" s="782"/>
      <c r="M13" s="782"/>
      <c r="O13" s="782"/>
      <c r="Q13" s="782"/>
      <c r="S13" s="782"/>
      <c r="U13" s="782"/>
      <c r="W13" s="782"/>
      <c r="Y13" s="782"/>
      <c r="AA13" s="782"/>
      <c r="AC13" s="782"/>
      <c r="AE13" s="782"/>
      <c r="AG13" s="783">
        <f t="shared" ref="AG13" si="2">SUM(G13:AE13)/13</f>
        <v>0</v>
      </c>
    </row>
    <row r="14" spans="1:34">
      <c r="A14" s="769">
        <v>3</v>
      </c>
      <c r="C14" s="703" t="s">
        <v>746</v>
      </c>
      <c r="E14" s="784"/>
      <c r="G14" s="785">
        <f>SUM(G12:G13)</f>
        <v>0</v>
      </c>
      <c r="I14" s="785">
        <f>SUM(I12:I13)</f>
        <v>0</v>
      </c>
      <c r="K14" s="785">
        <f>SUM(K12:K13)</f>
        <v>0</v>
      </c>
      <c r="M14" s="785">
        <f>SUM(M12:M13)</f>
        <v>0</v>
      </c>
      <c r="O14" s="785">
        <f>SUM(O12:O13)</f>
        <v>0</v>
      </c>
      <c r="Q14" s="785">
        <f>SUM(Q12:Q13)</f>
        <v>0</v>
      </c>
      <c r="S14" s="785">
        <f>SUM(S12:S13)</f>
        <v>0</v>
      </c>
      <c r="U14" s="785">
        <f>SUM(U12:U13)</f>
        <v>0</v>
      </c>
      <c r="W14" s="785">
        <f>SUM(W12:W13)</f>
        <v>0</v>
      </c>
      <c r="Y14" s="785">
        <f>SUM(Y12:Y13)</f>
        <v>0</v>
      </c>
      <c r="AA14" s="785">
        <f>SUM(AA12:AA13)</f>
        <v>0</v>
      </c>
      <c r="AC14" s="785">
        <f>SUM(AC12:AC13)</f>
        <v>0</v>
      </c>
      <c r="AE14" s="785">
        <f>SUM(AE12:AE13)</f>
        <v>0</v>
      </c>
      <c r="AG14" s="785">
        <f>SUM(AG12:AG13)</f>
        <v>0</v>
      </c>
    </row>
    <row r="16" spans="1:34">
      <c r="A16" s="703"/>
      <c r="C16" s="786" t="s">
        <v>176</v>
      </c>
      <c r="E16" s="703"/>
      <c r="AE16" s="783"/>
    </row>
    <row r="17" spans="1:15" ht="15.6" customHeight="1">
      <c r="A17" s="703"/>
      <c r="C17" s="703" t="s">
        <v>912</v>
      </c>
      <c r="E17" s="703"/>
      <c r="G17" s="703"/>
      <c r="I17" s="703"/>
      <c r="K17" s="787"/>
      <c r="L17" s="787"/>
      <c r="M17" s="787"/>
      <c r="N17" s="787"/>
      <c r="O17" s="787"/>
    </row>
    <row r="18" spans="1:15">
      <c r="C18" s="703" t="s">
        <v>798</v>
      </c>
      <c r="I18" s="788"/>
      <c r="K18" s="787"/>
      <c r="L18" s="787"/>
      <c r="M18" s="787"/>
      <c r="N18" s="787"/>
      <c r="O18" s="787"/>
    </row>
    <row r="21" spans="1:15">
      <c r="C21" s="789"/>
      <c r="E21" s="788"/>
      <c r="G21" s="788"/>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K17"/>
  <sheetViews>
    <sheetView view="pageBreakPreview" zoomScale="60" zoomScaleNormal="100" workbookViewId="0"/>
  </sheetViews>
  <sheetFormatPr defaultColWidth="8.88671875" defaultRowHeight="12.75"/>
  <cols>
    <col min="1" max="1" width="8.88671875" style="95"/>
    <col min="2" max="2" width="2.88671875" style="95" customWidth="1"/>
    <col min="3" max="3" width="24" style="95" customWidth="1"/>
    <col min="4" max="6" width="17.5546875" style="95" customWidth="1"/>
    <col min="7" max="7" width="21.5546875" style="95" customWidth="1"/>
    <col min="8" max="9" width="15.88671875" style="95" customWidth="1"/>
    <col min="10" max="16384" width="8.88671875" style="95"/>
  </cols>
  <sheetData>
    <row r="1" spans="1:11" ht="15.75">
      <c r="A1" s="42"/>
      <c r="B1" s="42"/>
      <c r="K1" s="65" t="str">
        <f>'Attachment H-11A '!K1&amp;""&amp;", Attachment 18"</f>
        <v>Attachment H -11A, Attachment 18</v>
      </c>
    </row>
    <row r="2" spans="1:11" ht="15.75">
      <c r="A2" s="96"/>
      <c r="B2" s="96"/>
      <c r="K2" s="65" t="s">
        <v>168</v>
      </c>
    </row>
    <row r="3" spans="1:11" ht="15.75">
      <c r="K3" s="3" t="str">
        <f>'Attachment H-11A '!K4</f>
        <v>For the 12 months ended 12/31/2023</v>
      </c>
    </row>
    <row r="4" spans="1:11" ht="13.5" thickBot="1">
      <c r="B4" s="108" t="s">
        <v>276</v>
      </c>
      <c r="C4" s="108"/>
      <c r="D4" s="108"/>
      <c r="E4" s="108"/>
      <c r="F4" s="108"/>
      <c r="G4" s="108"/>
      <c r="H4" s="108"/>
      <c r="I4" s="108"/>
    </row>
    <row r="6" spans="1:11">
      <c r="C6" s="95" t="s">
        <v>271</v>
      </c>
      <c r="D6" s="109">
        <v>0.21</v>
      </c>
      <c r="E6" s="864"/>
      <c r="F6" s="864"/>
    </row>
    <row r="7" spans="1:11" ht="34.5" customHeight="1">
      <c r="C7" s="496" t="s">
        <v>1163</v>
      </c>
    </row>
    <row r="8" spans="1:11">
      <c r="C8" s="110"/>
    </row>
    <row r="9" spans="1:11">
      <c r="C9" s="110"/>
    </row>
    <row r="10" spans="1:11" ht="13.5" thickBot="1">
      <c r="B10" s="108" t="s">
        <v>275</v>
      </c>
      <c r="C10" s="108"/>
      <c r="D10" s="108"/>
      <c r="E10" s="108"/>
      <c r="F10" s="108"/>
      <c r="G10" s="108"/>
      <c r="H10" s="108"/>
      <c r="I10" s="108"/>
    </row>
    <row r="11" spans="1:11">
      <c r="B11" s="96"/>
      <c r="C11" s="96"/>
      <c r="D11" s="96"/>
      <c r="E11" s="96"/>
      <c r="F11" s="96"/>
      <c r="G11" s="96"/>
      <c r="H11" s="96"/>
      <c r="I11" s="96"/>
    </row>
    <row r="12" spans="1:11">
      <c r="D12" s="837" t="s">
        <v>1320</v>
      </c>
      <c r="E12" s="837"/>
      <c r="F12" s="837"/>
      <c r="G12" s="106" t="s">
        <v>277</v>
      </c>
    </row>
    <row r="13" spans="1:11" ht="58.5" customHeight="1">
      <c r="D13" s="106"/>
      <c r="E13" s="106"/>
      <c r="F13" s="106"/>
      <c r="G13" s="107" t="s">
        <v>1163</v>
      </c>
    </row>
    <row r="14" spans="1:11">
      <c r="C14" s="95" t="s">
        <v>272</v>
      </c>
      <c r="D14" s="109">
        <v>6.5000000000000002E-2</v>
      </c>
      <c r="E14" s="109"/>
      <c r="F14" s="109"/>
    </row>
    <row r="15" spans="1:11">
      <c r="C15" s="95" t="s">
        <v>273</v>
      </c>
      <c r="D15" s="109">
        <v>0.93479100000000004</v>
      </c>
      <c r="E15" s="109"/>
      <c r="F15" s="109"/>
    </row>
    <row r="16" spans="1:11" ht="13.5" thickBot="1">
      <c r="C16" s="95" t="s">
        <v>274</v>
      </c>
      <c r="D16" s="111">
        <f>D14*D15</f>
        <v>6.0761415000000006E-2</v>
      </c>
      <c r="E16" s="111">
        <f t="shared" ref="E16:F16" si="0">E14*E15</f>
        <v>0</v>
      </c>
      <c r="F16" s="111">
        <f t="shared" si="0"/>
        <v>0</v>
      </c>
      <c r="G16" s="111">
        <f>SUM(D16:F16)</f>
        <v>6.0761415000000006E-2</v>
      </c>
    </row>
    <row r="17" ht="13.5" thickTop="1"/>
  </sheetData>
  <pageMargins left="0.7" right="0.7" top="0.75" bottom="0.75" header="0.3" footer="0.3"/>
  <pageSetup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sheetPr codeName="Sheet28"/>
  <dimension ref="A3:AD36"/>
  <sheetViews>
    <sheetView view="pageBreakPreview" zoomScale="60" zoomScaleNormal="100" workbookViewId="0"/>
  </sheetViews>
  <sheetFormatPr defaultRowHeight="15"/>
  <cols>
    <col min="1" max="1" width="6.33203125" customWidth="1"/>
    <col min="2" max="2" width="2" customWidth="1"/>
    <col min="3" max="3" width="21.44140625" customWidth="1"/>
    <col min="4" max="4" width="14.44140625" customWidth="1"/>
    <col min="5" max="5" width="13.109375" customWidth="1"/>
    <col min="6" max="6" width="15.109375" customWidth="1"/>
    <col min="7" max="7" width="14.33203125" customWidth="1"/>
    <col min="8" max="8" width="7.109375" customWidth="1"/>
    <col min="9" max="9" width="15" customWidth="1"/>
    <col min="10" max="10" width="14.88671875" customWidth="1"/>
    <col min="11" max="13" width="12.109375" customWidth="1"/>
    <col min="14" max="27" width="12.44140625" customWidth="1"/>
    <col min="28" max="28" width="33.88671875" customWidth="1"/>
    <col min="29" max="29" width="11.88671875" customWidth="1"/>
    <col min="30" max="30" width="29.109375" bestFit="1" customWidth="1"/>
  </cols>
  <sheetData>
    <row r="3" spans="1:30" ht="15.75">
      <c r="AB3" s="835" t="str">
        <f>'Attachment H-11A '!K1&amp;""&amp;", Attachment 19"</f>
        <v>Attachment H -11A, Attachment 19</v>
      </c>
      <c r="AC3" s="834"/>
      <c r="AD3" s="835"/>
    </row>
    <row r="4" spans="1:30" ht="15.75">
      <c r="N4" s="713"/>
      <c r="AB4" s="835" t="s">
        <v>168</v>
      </c>
      <c r="AC4" s="834"/>
      <c r="AD4" s="835"/>
    </row>
    <row r="5" spans="1:30" ht="18.75">
      <c r="M5" s="893" t="s">
        <v>920</v>
      </c>
      <c r="N5" s="893"/>
      <c r="AB5" s="836" t="str">
        <f>'Attachment H-11A '!K4</f>
        <v>For the 12 months ended 12/31/2023</v>
      </c>
      <c r="AC5" s="834"/>
      <c r="AD5" s="836"/>
    </row>
    <row r="9" spans="1:30" ht="15.75">
      <c r="A9" s="769"/>
      <c r="B9" s="703"/>
      <c r="C9" s="702" t="s">
        <v>688</v>
      </c>
      <c r="D9" s="702" t="str">
        <f>"("&amp;CHAR(CODE(MID(C9,2,1))+1)&amp;")"</f>
        <v>(B)</v>
      </c>
      <c r="E9" s="702" t="str">
        <f>"("&amp;CHAR(CODE(MID(D9,2,1))+1)&amp;")"</f>
        <v>(C)</v>
      </c>
      <c r="F9" s="702" t="str">
        <f t="shared" ref="F9:H9" si="0">"("&amp;CHAR(CODE(MID(E9,2,1))+1)&amp;")"</f>
        <v>(D)</v>
      </c>
      <c r="G9" s="702" t="str">
        <f t="shared" si="0"/>
        <v>(E)</v>
      </c>
      <c r="H9" s="702" t="str">
        <f t="shared" si="0"/>
        <v>(F)</v>
      </c>
      <c r="I9" s="702" t="str">
        <f t="shared" ref="I9:AA9" si="1">"("&amp;CHAR(CODE(MID(H9,2,1))+1)&amp;")"</f>
        <v>(G)</v>
      </c>
      <c r="J9" s="702" t="str">
        <f t="shared" si="1"/>
        <v>(H)</v>
      </c>
      <c r="K9" s="702" t="str">
        <f t="shared" si="1"/>
        <v>(I)</v>
      </c>
      <c r="L9" s="702" t="str">
        <f t="shared" si="1"/>
        <v>(J)</v>
      </c>
      <c r="M9" s="702" t="str">
        <f t="shared" si="1"/>
        <v>(K)</v>
      </c>
      <c r="N9" s="702" t="str">
        <f t="shared" si="1"/>
        <v>(L)</v>
      </c>
      <c r="O9" s="702" t="str">
        <f t="shared" si="1"/>
        <v>(M)</v>
      </c>
      <c r="P9" s="702" t="str">
        <f t="shared" si="1"/>
        <v>(N)</v>
      </c>
      <c r="Q9" s="702" t="str">
        <f t="shared" si="1"/>
        <v>(O)</v>
      </c>
      <c r="R9" s="702" t="str">
        <f t="shared" si="1"/>
        <v>(P)</v>
      </c>
      <c r="S9" s="702" t="str">
        <f t="shared" si="1"/>
        <v>(Q)</v>
      </c>
      <c r="T9" s="702" t="str">
        <f t="shared" si="1"/>
        <v>(R)</v>
      </c>
      <c r="U9" s="702" t="str">
        <f t="shared" si="1"/>
        <v>(S)</v>
      </c>
      <c r="V9" s="702" t="str">
        <f t="shared" si="1"/>
        <v>(T)</v>
      </c>
      <c r="W9" s="702" t="str">
        <f t="shared" si="1"/>
        <v>(U)</v>
      </c>
      <c r="X9" s="702" t="str">
        <f t="shared" si="1"/>
        <v>(V)</v>
      </c>
      <c r="Y9" s="702" t="str">
        <f t="shared" si="1"/>
        <v>(W)</v>
      </c>
      <c r="Z9" s="702" t="str">
        <f t="shared" si="1"/>
        <v>(X)</v>
      </c>
      <c r="AA9" s="702" t="str">
        <f t="shared" si="1"/>
        <v>(Y)</v>
      </c>
      <c r="AB9" s="845"/>
      <c r="AC9" s="845"/>
      <c r="AD9" s="845"/>
    </row>
    <row r="10" spans="1:30" ht="15.75">
      <c r="A10" s="769"/>
      <c r="B10" s="703"/>
      <c r="C10" s="703"/>
      <c r="D10" s="702"/>
      <c r="E10" s="702"/>
      <c r="F10" s="702"/>
      <c r="G10" s="702"/>
      <c r="H10" s="702"/>
      <c r="I10" s="702"/>
      <c r="J10" s="702"/>
      <c r="K10" s="702"/>
      <c r="L10" s="702"/>
      <c r="M10" s="702"/>
      <c r="N10" s="702"/>
      <c r="O10" s="702"/>
      <c r="P10" s="702"/>
      <c r="Q10" s="702"/>
      <c r="R10" s="702"/>
      <c r="S10" s="702"/>
      <c r="T10" s="702"/>
      <c r="U10" s="702"/>
      <c r="V10" s="702"/>
      <c r="W10" s="702"/>
      <c r="X10" s="702"/>
      <c r="Y10" s="769"/>
      <c r="Z10" s="769"/>
      <c r="AA10" s="769"/>
      <c r="AB10" s="846"/>
      <c r="AC10" s="769"/>
      <c r="AD10" s="769"/>
    </row>
    <row r="11" spans="1:30" ht="29.45" customHeight="1">
      <c r="A11" s="769"/>
      <c r="B11" s="703"/>
      <c r="C11" s="703"/>
      <c r="D11" s="703"/>
      <c r="E11" s="703"/>
      <c r="F11" s="703"/>
      <c r="G11" s="703"/>
      <c r="H11" s="703"/>
      <c r="I11" s="703"/>
      <c r="J11" s="703"/>
      <c r="K11" s="703"/>
      <c r="L11" s="703"/>
      <c r="M11" s="703"/>
      <c r="N11" s="861">
        <f>(MID(AB5:AB5,31,10)-1)</f>
        <v>2022</v>
      </c>
      <c r="O11" s="770">
        <f t="shared" ref="O11:Z11" si="2">$N$11+1</f>
        <v>2023</v>
      </c>
      <c r="P11" s="770">
        <f t="shared" si="2"/>
        <v>2023</v>
      </c>
      <c r="Q11" s="770">
        <f t="shared" si="2"/>
        <v>2023</v>
      </c>
      <c r="R11" s="770">
        <f t="shared" si="2"/>
        <v>2023</v>
      </c>
      <c r="S11" s="770">
        <f t="shared" si="2"/>
        <v>2023</v>
      </c>
      <c r="T11" s="770">
        <f t="shared" si="2"/>
        <v>2023</v>
      </c>
      <c r="U11" s="770">
        <f t="shared" si="2"/>
        <v>2023</v>
      </c>
      <c r="V11" s="770">
        <f t="shared" si="2"/>
        <v>2023</v>
      </c>
      <c r="W11" s="770">
        <f t="shared" si="2"/>
        <v>2023</v>
      </c>
      <c r="X11" s="770">
        <f t="shared" si="2"/>
        <v>2023</v>
      </c>
      <c r="Y11" s="770">
        <f t="shared" si="2"/>
        <v>2023</v>
      </c>
      <c r="Z11" s="770">
        <f t="shared" si="2"/>
        <v>2023</v>
      </c>
      <c r="AA11" s="769"/>
      <c r="AB11" s="846"/>
      <c r="AC11" s="769"/>
      <c r="AD11" s="769"/>
    </row>
    <row r="12" spans="1:30" ht="68.099999999999994" customHeight="1">
      <c r="A12" s="771" t="s">
        <v>159</v>
      </c>
      <c r="B12" s="821"/>
      <c r="C12" s="775" t="s">
        <v>810</v>
      </c>
      <c r="D12" s="775" t="s">
        <v>875</v>
      </c>
      <c r="E12" s="775" t="s">
        <v>803</v>
      </c>
      <c r="F12" s="775" t="s">
        <v>804</v>
      </c>
      <c r="G12" s="775" t="s">
        <v>780</v>
      </c>
      <c r="H12" s="775" t="s">
        <v>805</v>
      </c>
      <c r="I12" s="775" t="s">
        <v>779</v>
      </c>
      <c r="J12" s="775" t="s">
        <v>809</v>
      </c>
      <c r="K12" s="775" t="s">
        <v>788</v>
      </c>
      <c r="L12" s="775" t="s">
        <v>777</v>
      </c>
      <c r="M12" s="775" t="s">
        <v>806</v>
      </c>
      <c r="N12" s="776" t="s">
        <v>216</v>
      </c>
      <c r="O12" s="776" t="s">
        <v>732</v>
      </c>
      <c r="P12" s="776" t="s">
        <v>733</v>
      </c>
      <c r="Q12" s="776" t="s">
        <v>734</v>
      </c>
      <c r="R12" s="776" t="s">
        <v>735</v>
      </c>
      <c r="S12" s="776" t="s">
        <v>736</v>
      </c>
      <c r="T12" s="776" t="s">
        <v>737</v>
      </c>
      <c r="U12" s="776" t="s">
        <v>738</v>
      </c>
      <c r="V12" s="776" t="s">
        <v>739</v>
      </c>
      <c r="W12" s="776" t="s">
        <v>740</v>
      </c>
      <c r="X12" s="776" t="s">
        <v>741</v>
      </c>
      <c r="Y12" s="776" t="s">
        <v>742</v>
      </c>
      <c r="Z12" s="776" t="s">
        <v>216</v>
      </c>
      <c r="AA12" s="776" t="s">
        <v>807</v>
      </c>
      <c r="AB12" s="847"/>
      <c r="AC12" s="848"/>
      <c r="AD12" s="848"/>
    </row>
    <row r="13" spans="1:30" ht="15.75">
      <c r="A13" s="827">
        <v>1</v>
      </c>
      <c r="B13" s="769"/>
      <c r="C13" s="824"/>
      <c r="D13" s="400"/>
      <c r="E13" s="400"/>
      <c r="F13" s="850"/>
      <c r="G13" s="850"/>
      <c r="H13" s="850"/>
      <c r="I13" s="851"/>
      <c r="J13" s="823">
        <f>IF(H13=0,0,(H13*12))</f>
        <v>0</v>
      </c>
      <c r="K13" s="823">
        <f>IF(J13=0,G13,(G13-J13+12))</f>
        <v>0</v>
      </c>
      <c r="L13" s="823">
        <f>IF(J13=0,0,IFERROR(F13/K13,0))</f>
        <v>0</v>
      </c>
      <c r="M13" s="823">
        <f>L13*12</f>
        <v>0</v>
      </c>
      <c r="N13" s="783">
        <f>F13</f>
        <v>0</v>
      </c>
      <c r="O13" s="783">
        <f>N13-L13</f>
        <v>0</v>
      </c>
      <c r="P13" s="783">
        <f>IF(O13-$L13&gt;=0,O13-$L13,0)</f>
        <v>0</v>
      </c>
      <c r="Q13" s="783">
        <f t="shared" ref="Q13" si="3">IF(P13-$L13&gt;=0,P13-$L13,0)</f>
        <v>0</v>
      </c>
      <c r="R13" s="783">
        <f t="shared" ref="R13" si="4">IF(Q13-$L13&gt;=0,Q13-$L13,0)</f>
        <v>0</v>
      </c>
      <c r="S13" s="783">
        <f t="shared" ref="S13" si="5">IF(R13-$L13&gt;=0,R13-$L13,0)</f>
        <v>0</v>
      </c>
      <c r="T13" s="783">
        <f t="shared" ref="T13" si="6">IF(S13-$L13&gt;=0,S13-$L13,0)</f>
        <v>0</v>
      </c>
      <c r="U13" s="783">
        <f t="shared" ref="U13" si="7">IF(T13-$L13&gt;=0,T13-$L13,0)</f>
        <v>0</v>
      </c>
      <c r="V13" s="783">
        <f t="shared" ref="V13" si="8">IF(U13-$L13&gt;=0,U13-$L13,0)</f>
        <v>0</v>
      </c>
      <c r="W13" s="783">
        <f t="shared" ref="W13" si="9">IF(V13-$L13&gt;=0,V13-$L13,0)</f>
        <v>0</v>
      </c>
      <c r="X13" s="783">
        <f>IF(W13-$L13&gt;=0,W13-$L13,0)</f>
        <v>0</v>
      </c>
      <c r="Y13" s="783">
        <f t="shared" ref="Y13" si="10">IF(X13-$L13&gt;=0,X13-$L13,0)</f>
        <v>0</v>
      </c>
      <c r="Z13" s="783">
        <f>IF(Y13-$L13&gt;=0,Y13-$L13,0)</f>
        <v>0</v>
      </c>
      <c r="AA13" s="966"/>
      <c r="AB13" s="849"/>
      <c r="AC13" s="784"/>
      <c r="AD13" s="784"/>
    </row>
    <row r="14" spans="1:30" ht="15.75">
      <c r="A14" s="827">
        <v>1.01</v>
      </c>
      <c r="B14" s="703"/>
      <c r="C14" s="824"/>
      <c r="D14" s="400"/>
      <c r="E14" s="400"/>
      <c r="F14" s="850"/>
      <c r="G14" s="850"/>
      <c r="H14" s="850"/>
      <c r="I14" s="851"/>
      <c r="J14" s="823">
        <f>IF(H14=0,0,(H14*12))</f>
        <v>0</v>
      </c>
      <c r="K14" s="823">
        <f t="shared" ref="K14:K23" si="11">IF(J14=0,G14,(G14-J14+12))</f>
        <v>0</v>
      </c>
      <c r="L14" s="823">
        <f>IF(J14=0,0,IFERROR(F14/K14,0))</f>
        <v>0</v>
      </c>
      <c r="M14" s="823">
        <f>L14*12</f>
        <v>0</v>
      </c>
      <c r="N14" s="783">
        <f t="shared" ref="N14:N23" si="12">F14</f>
        <v>0</v>
      </c>
      <c r="O14" s="783">
        <f>N14-L14</f>
        <v>0</v>
      </c>
      <c r="P14" s="783">
        <f>IF(O14-$L14&gt;=0,O14-$L14,0)</f>
        <v>0</v>
      </c>
      <c r="Q14" s="783">
        <f t="shared" ref="Q14:Z14" si="13">IF(P14-$L14&gt;=0,P14-$L14,0)</f>
        <v>0</v>
      </c>
      <c r="R14" s="783">
        <f t="shared" si="13"/>
        <v>0</v>
      </c>
      <c r="S14" s="783">
        <f t="shared" si="13"/>
        <v>0</v>
      </c>
      <c r="T14" s="783">
        <f t="shared" si="13"/>
        <v>0</v>
      </c>
      <c r="U14" s="783">
        <f t="shared" si="13"/>
        <v>0</v>
      </c>
      <c r="V14" s="783">
        <f t="shared" si="13"/>
        <v>0</v>
      </c>
      <c r="W14" s="783">
        <f t="shared" si="13"/>
        <v>0</v>
      </c>
      <c r="X14" s="783">
        <f t="shared" si="13"/>
        <v>0</v>
      </c>
      <c r="Y14" s="783">
        <f t="shared" si="13"/>
        <v>0</v>
      </c>
      <c r="Z14" s="783">
        <f t="shared" si="13"/>
        <v>0</v>
      </c>
      <c r="AA14" s="966"/>
      <c r="AB14" s="849"/>
      <c r="AC14" s="784"/>
      <c r="AD14" s="784"/>
    </row>
    <row r="15" spans="1:30" ht="15.75">
      <c r="A15" s="827">
        <f>A14+0.01</f>
        <v>1.02</v>
      </c>
      <c r="B15" s="703"/>
      <c r="C15" s="824"/>
      <c r="D15" s="825"/>
      <c r="E15" s="825"/>
      <c r="F15" s="850"/>
      <c r="G15" s="850"/>
      <c r="H15" s="850"/>
      <c r="I15" s="851"/>
      <c r="J15" s="823">
        <f>IF(H15=0,0,(H15*12))</f>
        <v>0</v>
      </c>
      <c r="K15" s="823">
        <f t="shared" si="11"/>
        <v>0</v>
      </c>
      <c r="L15" s="823">
        <f t="shared" ref="L15:L23" si="14">IF(J15=0,0,IFERROR(F15/K15,0))</f>
        <v>0</v>
      </c>
      <c r="M15" s="823">
        <f t="shared" ref="M15:M23" si="15">L15*12</f>
        <v>0</v>
      </c>
      <c r="N15" s="783">
        <f t="shared" si="12"/>
        <v>0</v>
      </c>
      <c r="O15" s="783">
        <f t="shared" ref="O15:O23" si="16">N15-L15</f>
        <v>0</v>
      </c>
      <c r="P15" s="783">
        <f t="shared" ref="P15:Z23" si="17">IF(O15-$L15&gt;=0,O15-$L15,0)</f>
        <v>0</v>
      </c>
      <c r="Q15" s="783">
        <f t="shared" si="17"/>
        <v>0</v>
      </c>
      <c r="R15" s="783">
        <f t="shared" si="17"/>
        <v>0</v>
      </c>
      <c r="S15" s="783">
        <f t="shared" si="17"/>
        <v>0</v>
      </c>
      <c r="T15" s="783">
        <f t="shared" si="17"/>
        <v>0</v>
      </c>
      <c r="U15" s="783">
        <f t="shared" si="17"/>
        <v>0</v>
      </c>
      <c r="V15" s="783">
        <f t="shared" si="17"/>
        <v>0</v>
      </c>
      <c r="W15" s="783">
        <f t="shared" si="17"/>
        <v>0</v>
      </c>
      <c r="X15" s="783">
        <f t="shared" si="17"/>
        <v>0</v>
      </c>
      <c r="Y15" s="783">
        <f t="shared" si="17"/>
        <v>0</v>
      </c>
      <c r="Z15" s="783">
        <f t="shared" si="17"/>
        <v>0</v>
      </c>
      <c r="AA15" s="966"/>
      <c r="AB15" s="849"/>
      <c r="AC15" s="784"/>
      <c r="AD15" s="784"/>
    </row>
    <row r="16" spans="1:30" ht="15.75">
      <c r="A16" s="827">
        <f t="shared" ref="A16:A23" si="18">A15+0.01</f>
        <v>1.03</v>
      </c>
      <c r="B16" s="703"/>
      <c r="C16" s="824"/>
      <c r="D16" s="825"/>
      <c r="E16" s="825"/>
      <c r="F16" s="850"/>
      <c r="G16" s="850"/>
      <c r="H16" s="850"/>
      <c r="I16" s="851"/>
      <c r="J16" s="823">
        <f t="shared" ref="J16:J22" si="19">IF(H16=0,0,(H16*12))</f>
        <v>0</v>
      </c>
      <c r="K16" s="823">
        <f t="shared" si="11"/>
        <v>0</v>
      </c>
      <c r="L16" s="823">
        <f t="shared" si="14"/>
        <v>0</v>
      </c>
      <c r="M16" s="823">
        <f t="shared" si="15"/>
        <v>0</v>
      </c>
      <c r="N16" s="783">
        <f t="shared" si="12"/>
        <v>0</v>
      </c>
      <c r="O16" s="783">
        <f t="shared" si="16"/>
        <v>0</v>
      </c>
      <c r="P16" s="783">
        <f t="shared" si="17"/>
        <v>0</v>
      </c>
      <c r="Q16" s="783">
        <f t="shared" si="17"/>
        <v>0</v>
      </c>
      <c r="R16" s="783">
        <f t="shared" si="17"/>
        <v>0</v>
      </c>
      <c r="S16" s="783">
        <f t="shared" si="17"/>
        <v>0</v>
      </c>
      <c r="T16" s="783">
        <f t="shared" si="17"/>
        <v>0</v>
      </c>
      <c r="U16" s="783">
        <f t="shared" si="17"/>
        <v>0</v>
      </c>
      <c r="V16" s="783">
        <f t="shared" si="17"/>
        <v>0</v>
      </c>
      <c r="W16" s="783">
        <f t="shared" si="17"/>
        <v>0</v>
      </c>
      <c r="X16" s="783">
        <f t="shared" si="17"/>
        <v>0</v>
      </c>
      <c r="Y16" s="783">
        <f t="shared" si="17"/>
        <v>0</v>
      </c>
      <c r="Z16" s="783">
        <f t="shared" si="17"/>
        <v>0</v>
      </c>
      <c r="AA16" s="966"/>
      <c r="AB16" s="849"/>
      <c r="AC16" s="784"/>
      <c r="AD16" s="784"/>
    </row>
    <row r="17" spans="1:30" ht="15.75">
      <c r="A17" s="827">
        <f t="shared" si="18"/>
        <v>1.04</v>
      </c>
      <c r="B17" s="703"/>
      <c r="C17" s="824"/>
      <c r="D17" s="825"/>
      <c r="E17" s="825"/>
      <c r="F17" s="850"/>
      <c r="G17" s="850"/>
      <c r="H17" s="850"/>
      <c r="I17" s="851"/>
      <c r="J17" s="823">
        <f t="shared" si="19"/>
        <v>0</v>
      </c>
      <c r="K17" s="823">
        <f t="shared" si="11"/>
        <v>0</v>
      </c>
      <c r="L17" s="823">
        <f t="shared" si="14"/>
        <v>0</v>
      </c>
      <c r="M17" s="823">
        <f t="shared" si="15"/>
        <v>0</v>
      </c>
      <c r="N17" s="783">
        <f t="shared" si="12"/>
        <v>0</v>
      </c>
      <c r="O17" s="783">
        <f t="shared" si="16"/>
        <v>0</v>
      </c>
      <c r="P17" s="783">
        <f t="shared" si="17"/>
        <v>0</v>
      </c>
      <c r="Q17" s="783">
        <f t="shared" si="17"/>
        <v>0</v>
      </c>
      <c r="R17" s="783">
        <f t="shared" si="17"/>
        <v>0</v>
      </c>
      <c r="S17" s="783">
        <f t="shared" si="17"/>
        <v>0</v>
      </c>
      <c r="T17" s="783">
        <f t="shared" si="17"/>
        <v>0</v>
      </c>
      <c r="U17" s="783">
        <f t="shared" si="17"/>
        <v>0</v>
      </c>
      <c r="V17" s="783">
        <f t="shared" si="17"/>
        <v>0</v>
      </c>
      <c r="W17" s="783">
        <f t="shared" si="17"/>
        <v>0</v>
      </c>
      <c r="X17" s="783">
        <f t="shared" si="17"/>
        <v>0</v>
      </c>
      <c r="Y17" s="783">
        <f t="shared" si="17"/>
        <v>0</v>
      </c>
      <c r="Z17" s="783">
        <f t="shared" si="17"/>
        <v>0</v>
      </c>
      <c r="AA17" s="966"/>
      <c r="AB17" s="849"/>
      <c r="AC17" s="784"/>
      <c r="AD17" s="784"/>
    </row>
    <row r="18" spans="1:30" ht="15.75">
      <c r="A18" s="827">
        <f t="shared" si="18"/>
        <v>1.05</v>
      </c>
      <c r="B18" s="703"/>
      <c r="C18" s="824"/>
      <c r="D18" s="825"/>
      <c r="E18" s="825"/>
      <c r="F18" s="850"/>
      <c r="G18" s="850"/>
      <c r="H18" s="850"/>
      <c r="I18" s="851"/>
      <c r="J18" s="823">
        <f t="shared" si="19"/>
        <v>0</v>
      </c>
      <c r="K18" s="823">
        <f t="shared" si="11"/>
        <v>0</v>
      </c>
      <c r="L18" s="823">
        <f t="shared" si="14"/>
        <v>0</v>
      </c>
      <c r="M18" s="823">
        <f t="shared" si="15"/>
        <v>0</v>
      </c>
      <c r="N18" s="783">
        <f t="shared" si="12"/>
        <v>0</v>
      </c>
      <c r="O18" s="783">
        <f t="shared" si="16"/>
        <v>0</v>
      </c>
      <c r="P18" s="783">
        <f t="shared" si="17"/>
        <v>0</v>
      </c>
      <c r="Q18" s="783">
        <f t="shared" si="17"/>
        <v>0</v>
      </c>
      <c r="R18" s="783">
        <f t="shared" si="17"/>
        <v>0</v>
      </c>
      <c r="S18" s="783">
        <f t="shared" si="17"/>
        <v>0</v>
      </c>
      <c r="T18" s="783">
        <f t="shared" si="17"/>
        <v>0</v>
      </c>
      <c r="U18" s="783">
        <f t="shared" si="17"/>
        <v>0</v>
      </c>
      <c r="V18" s="783">
        <f t="shared" si="17"/>
        <v>0</v>
      </c>
      <c r="W18" s="783">
        <f t="shared" si="17"/>
        <v>0</v>
      </c>
      <c r="X18" s="783">
        <f t="shared" si="17"/>
        <v>0</v>
      </c>
      <c r="Y18" s="783">
        <f t="shared" si="17"/>
        <v>0</v>
      </c>
      <c r="Z18" s="783">
        <f t="shared" si="17"/>
        <v>0</v>
      </c>
      <c r="AA18" s="966"/>
      <c r="AB18" s="849"/>
      <c r="AC18" s="784"/>
      <c r="AD18" s="784"/>
    </row>
    <row r="19" spans="1:30" ht="15.75">
      <c r="A19" s="827">
        <f t="shared" si="18"/>
        <v>1.06</v>
      </c>
      <c r="B19" s="703"/>
      <c r="C19" s="824"/>
      <c r="D19" s="825"/>
      <c r="E19" s="825"/>
      <c r="F19" s="850"/>
      <c r="G19" s="850"/>
      <c r="H19" s="850"/>
      <c r="I19" s="851"/>
      <c r="J19" s="823">
        <f t="shared" si="19"/>
        <v>0</v>
      </c>
      <c r="K19" s="823">
        <f t="shared" si="11"/>
        <v>0</v>
      </c>
      <c r="L19" s="823">
        <f t="shared" si="14"/>
        <v>0</v>
      </c>
      <c r="M19" s="823">
        <f t="shared" si="15"/>
        <v>0</v>
      </c>
      <c r="N19" s="783">
        <f t="shared" si="12"/>
        <v>0</v>
      </c>
      <c r="O19" s="783">
        <f t="shared" si="16"/>
        <v>0</v>
      </c>
      <c r="P19" s="783">
        <f t="shared" si="17"/>
        <v>0</v>
      </c>
      <c r="Q19" s="783">
        <f t="shared" si="17"/>
        <v>0</v>
      </c>
      <c r="R19" s="783">
        <f t="shared" si="17"/>
        <v>0</v>
      </c>
      <c r="S19" s="783">
        <f t="shared" si="17"/>
        <v>0</v>
      </c>
      <c r="T19" s="783">
        <f t="shared" si="17"/>
        <v>0</v>
      </c>
      <c r="U19" s="783">
        <f t="shared" si="17"/>
        <v>0</v>
      </c>
      <c r="V19" s="783">
        <f t="shared" si="17"/>
        <v>0</v>
      </c>
      <c r="W19" s="783">
        <f t="shared" si="17"/>
        <v>0</v>
      </c>
      <c r="X19" s="783">
        <f t="shared" si="17"/>
        <v>0</v>
      </c>
      <c r="Y19" s="783">
        <f t="shared" si="17"/>
        <v>0</v>
      </c>
      <c r="Z19" s="783">
        <f t="shared" si="17"/>
        <v>0</v>
      </c>
      <c r="AA19" s="966"/>
      <c r="AB19" s="849"/>
      <c r="AC19" s="784"/>
      <c r="AD19" s="784"/>
    </row>
    <row r="20" spans="1:30" ht="15.75">
      <c r="A20" s="827">
        <f t="shared" si="18"/>
        <v>1.07</v>
      </c>
      <c r="B20" s="703"/>
      <c r="C20" s="824"/>
      <c r="D20" s="825"/>
      <c r="E20" s="825"/>
      <c r="F20" s="850"/>
      <c r="G20" s="850"/>
      <c r="H20" s="850"/>
      <c r="I20" s="851"/>
      <c r="J20" s="823">
        <f>IF(H20=0,0,(H20*12))</f>
        <v>0</v>
      </c>
      <c r="K20" s="823">
        <f t="shared" si="11"/>
        <v>0</v>
      </c>
      <c r="L20" s="823">
        <f t="shared" si="14"/>
        <v>0</v>
      </c>
      <c r="M20" s="823">
        <f t="shared" si="15"/>
        <v>0</v>
      </c>
      <c r="N20" s="783">
        <f t="shared" si="12"/>
        <v>0</v>
      </c>
      <c r="O20" s="783">
        <f t="shared" si="16"/>
        <v>0</v>
      </c>
      <c r="P20" s="783">
        <f t="shared" si="17"/>
        <v>0</v>
      </c>
      <c r="Q20" s="783">
        <f t="shared" si="17"/>
        <v>0</v>
      </c>
      <c r="R20" s="783">
        <f t="shared" si="17"/>
        <v>0</v>
      </c>
      <c r="S20" s="783">
        <f t="shared" si="17"/>
        <v>0</v>
      </c>
      <c r="T20" s="783">
        <f t="shared" si="17"/>
        <v>0</v>
      </c>
      <c r="U20" s="783">
        <f t="shared" si="17"/>
        <v>0</v>
      </c>
      <c r="V20" s="783">
        <f t="shared" si="17"/>
        <v>0</v>
      </c>
      <c r="W20" s="783">
        <f t="shared" si="17"/>
        <v>0</v>
      </c>
      <c r="X20" s="783">
        <f t="shared" si="17"/>
        <v>0</v>
      </c>
      <c r="Y20" s="783">
        <f t="shared" si="17"/>
        <v>0</v>
      </c>
      <c r="Z20" s="783">
        <f t="shared" si="17"/>
        <v>0</v>
      </c>
      <c r="AA20" s="966"/>
      <c r="AB20" s="849"/>
      <c r="AC20" s="784"/>
      <c r="AD20" s="784"/>
    </row>
    <row r="21" spans="1:30" ht="15.75">
      <c r="A21" s="827">
        <f t="shared" si="18"/>
        <v>1.08</v>
      </c>
      <c r="B21" s="703"/>
      <c r="C21" s="824"/>
      <c r="D21" s="825"/>
      <c r="E21" s="825"/>
      <c r="F21" s="850"/>
      <c r="G21" s="850"/>
      <c r="H21" s="850"/>
      <c r="I21" s="851"/>
      <c r="J21" s="823">
        <f>IF(H21=0,0,(H21*12))</f>
        <v>0</v>
      </c>
      <c r="K21" s="823">
        <f t="shared" si="11"/>
        <v>0</v>
      </c>
      <c r="L21" s="823">
        <f t="shared" si="14"/>
        <v>0</v>
      </c>
      <c r="M21" s="823">
        <f t="shared" si="15"/>
        <v>0</v>
      </c>
      <c r="N21" s="783">
        <f t="shared" si="12"/>
        <v>0</v>
      </c>
      <c r="O21" s="783">
        <f t="shared" si="16"/>
        <v>0</v>
      </c>
      <c r="P21" s="783">
        <f t="shared" si="17"/>
        <v>0</v>
      </c>
      <c r="Q21" s="783">
        <f t="shared" si="17"/>
        <v>0</v>
      </c>
      <c r="R21" s="783">
        <f t="shared" si="17"/>
        <v>0</v>
      </c>
      <c r="S21" s="783">
        <f t="shared" si="17"/>
        <v>0</v>
      </c>
      <c r="T21" s="783">
        <f t="shared" si="17"/>
        <v>0</v>
      </c>
      <c r="U21" s="783">
        <f t="shared" si="17"/>
        <v>0</v>
      </c>
      <c r="V21" s="783">
        <f t="shared" si="17"/>
        <v>0</v>
      </c>
      <c r="W21" s="783">
        <f t="shared" si="17"/>
        <v>0</v>
      </c>
      <c r="X21" s="783">
        <f t="shared" si="17"/>
        <v>0</v>
      </c>
      <c r="Y21" s="783">
        <f t="shared" si="17"/>
        <v>0</v>
      </c>
      <c r="Z21" s="783">
        <f t="shared" si="17"/>
        <v>0</v>
      </c>
      <c r="AA21" s="966"/>
      <c r="AB21" s="849"/>
      <c r="AC21" s="784"/>
      <c r="AD21" s="784"/>
    </row>
    <row r="22" spans="1:30" ht="15.75">
      <c r="A22" s="827">
        <f t="shared" si="18"/>
        <v>1.0900000000000001</v>
      </c>
      <c r="B22" s="703"/>
      <c r="C22" s="824"/>
      <c r="D22" s="825"/>
      <c r="E22" s="825"/>
      <c r="F22" s="850"/>
      <c r="G22" s="850"/>
      <c r="H22" s="850"/>
      <c r="I22" s="851"/>
      <c r="J22" s="823">
        <f t="shared" si="19"/>
        <v>0</v>
      </c>
      <c r="K22" s="823">
        <f t="shared" si="11"/>
        <v>0</v>
      </c>
      <c r="L22" s="823">
        <f t="shared" si="14"/>
        <v>0</v>
      </c>
      <c r="M22" s="823">
        <f t="shared" si="15"/>
        <v>0</v>
      </c>
      <c r="N22" s="783">
        <f t="shared" si="12"/>
        <v>0</v>
      </c>
      <c r="O22" s="783">
        <f t="shared" si="16"/>
        <v>0</v>
      </c>
      <c r="P22" s="783">
        <f t="shared" si="17"/>
        <v>0</v>
      </c>
      <c r="Q22" s="783">
        <f t="shared" si="17"/>
        <v>0</v>
      </c>
      <c r="R22" s="783">
        <f t="shared" si="17"/>
        <v>0</v>
      </c>
      <c r="S22" s="783">
        <f t="shared" si="17"/>
        <v>0</v>
      </c>
      <c r="T22" s="783">
        <f t="shared" si="17"/>
        <v>0</v>
      </c>
      <c r="U22" s="783">
        <f t="shared" si="17"/>
        <v>0</v>
      </c>
      <c r="V22" s="783">
        <f t="shared" si="17"/>
        <v>0</v>
      </c>
      <c r="W22" s="783">
        <f t="shared" si="17"/>
        <v>0</v>
      </c>
      <c r="X22" s="783">
        <f t="shared" si="17"/>
        <v>0</v>
      </c>
      <c r="Y22" s="783">
        <f t="shared" si="17"/>
        <v>0</v>
      </c>
      <c r="Z22" s="783">
        <f t="shared" si="17"/>
        <v>0</v>
      </c>
      <c r="AA22" s="966"/>
      <c r="AB22" s="849"/>
      <c r="AC22" s="784"/>
      <c r="AD22" s="784"/>
    </row>
    <row r="23" spans="1:30" ht="15.75">
      <c r="A23" s="827">
        <f t="shared" si="18"/>
        <v>1.1000000000000001</v>
      </c>
      <c r="B23" s="703"/>
      <c r="C23" s="824"/>
      <c r="D23" s="825"/>
      <c r="E23" s="825"/>
      <c r="F23" s="850"/>
      <c r="G23" s="850"/>
      <c r="H23" s="850"/>
      <c r="I23" s="851"/>
      <c r="J23" s="823">
        <f>IF(H23=0,0,(H23*12))</f>
        <v>0</v>
      </c>
      <c r="K23" s="823">
        <f t="shared" si="11"/>
        <v>0</v>
      </c>
      <c r="L23" s="823">
        <f t="shared" si="14"/>
        <v>0</v>
      </c>
      <c r="M23" s="823">
        <f t="shared" si="15"/>
        <v>0</v>
      </c>
      <c r="N23" s="783">
        <f t="shared" si="12"/>
        <v>0</v>
      </c>
      <c r="O23" s="783">
        <f t="shared" si="16"/>
        <v>0</v>
      </c>
      <c r="P23" s="783">
        <f t="shared" si="17"/>
        <v>0</v>
      </c>
      <c r="Q23" s="783">
        <f t="shared" si="17"/>
        <v>0</v>
      </c>
      <c r="R23" s="783">
        <f t="shared" si="17"/>
        <v>0</v>
      </c>
      <c r="S23" s="783">
        <f t="shared" si="17"/>
        <v>0</v>
      </c>
      <c r="T23" s="783">
        <f t="shared" si="17"/>
        <v>0</v>
      </c>
      <c r="U23" s="783">
        <f t="shared" si="17"/>
        <v>0</v>
      </c>
      <c r="V23" s="783">
        <f t="shared" si="17"/>
        <v>0</v>
      </c>
      <c r="W23" s="783">
        <f t="shared" si="17"/>
        <v>0</v>
      </c>
      <c r="X23" s="783">
        <f t="shared" si="17"/>
        <v>0</v>
      </c>
      <c r="Y23" s="783">
        <f t="shared" si="17"/>
        <v>0</v>
      </c>
      <c r="Z23" s="783">
        <f t="shared" si="17"/>
        <v>0</v>
      </c>
      <c r="AA23" s="966"/>
      <c r="AB23" s="849"/>
      <c r="AC23" s="784"/>
      <c r="AD23" s="784"/>
    </row>
    <row r="24" spans="1:30" ht="17.45" customHeight="1">
      <c r="A24" s="769"/>
      <c r="B24" s="769"/>
      <c r="C24" s="703"/>
      <c r="D24" s="783"/>
      <c r="E24" s="783"/>
      <c r="F24" s="783"/>
      <c r="G24" s="783"/>
      <c r="H24" s="783"/>
      <c r="I24" s="783"/>
      <c r="J24" s="783"/>
      <c r="K24" s="783"/>
      <c r="L24" s="783"/>
      <c r="M24" s="783"/>
      <c r="N24" s="783"/>
      <c r="O24" s="783"/>
      <c r="P24" s="783"/>
      <c r="Q24" s="783"/>
      <c r="R24" s="783"/>
      <c r="S24" s="783"/>
      <c r="T24" s="783"/>
      <c r="U24" s="783"/>
      <c r="V24" s="783"/>
      <c r="W24" s="783"/>
      <c r="X24" s="783"/>
      <c r="Y24" s="769"/>
      <c r="Z24" s="769"/>
      <c r="AA24" s="769"/>
      <c r="AB24" s="846"/>
      <c r="AC24" s="769"/>
      <c r="AD24" s="769"/>
    </row>
    <row r="25" spans="1:30" ht="15.6" customHeight="1">
      <c r="A25" s="769"/>
      <c r="B25" s="769"/>
      <c r="C25" s="703"/>
      <c r="D25" s="783"/>
      <c r="E25" s="783"/>
      <c r="F25" s="783"/>
      <c r="G25" s="783"/>
      <c r="H25" s="783"/>
      <c r="I25" s="783"/>
      <c r="J25" s="783"/>
      <c r="K25" s="783"/>
      <c r="L25" s="783"/>
      <c r="M25" s="783"/>
      <c r="N25" s="783"/>
      <c r="O25" s="783"/>
      <c r="P25" s="783"/>
      <c r="Q25" s="783"/>
      <c r="R25" s="783"/>
      <c r="S25" s="783"/>
      <c r="T25" s="783"/>
      <c r="U25" s="783"/>
      <c r="V25" s="783"/>
      <c r="W25" s="783"/>
      <c r="X25" s="783"/>
      <c r="Y25" s="769"/>
      <c r="Z25" s="769"/>
      <c r="AA25" s="769"/>
      <c r="AB25" s="820"/>
      <c r="AC25" s="769"/>
      <c r="AD25" s="769"/>
    </row>
    <row r="26" spans="1:30" s="833" customFormat="1" ht="16.5" thickBot="1">
      <c r="A26" s="828">
        <v>2</v>
      </c>
      <c r="B26" s="828"/>
      <c r="C26" s="829" t="s">
        <v>9</v>
      </c>
      <c r="D26" s="852"/>
      <c r="E26" s="852"/>
      <c r="F26" s="852"/>
      <c r="G26" s="852"/>
      <c r="H26" s="852"/>
      <c r="I26" s="852"/>
      <c r="J26" s="852"/>
      <c r="K26" s="852"/>
      <c r="L26" s="852"/>
      <c r="M26" s="854">
        <f>SUM(M13:M25)</f>
        <v>0</v>
      </c>
      <c r="N26" s="852"/>
      <c r="O26" s="852"/>
      <c r="P26" s="852"/>
      <c r="Q26" s="852"/>
      <c r="R26" s="852"/>
      <c r="S26" s="852"/>
      <c r="T26" s="852"/>
      <c r="U26" s="852"/>
      <c r="V26" s="852"/>
      <c r="W26" s="852"/>
      <c r="X26" s="852"/>
      <c r="Y26" s="828"/>
      <c r="Z26" s="828"/>
      <c r="AA26" s="855">
        <f>SUM(AA13:AA25)</f>
        <v>0</v>
      </c>
      <c r="AB26" s="853"/>
      <c r="AC26" s="831"/>
      <c r="AD26" s="831"/>
    </row>
    <row r="27" spans="1:30" ht="16.5" thickTop="1">
      <c r="A27" s="769"/>
      <c r="B27" s="769"/>
      <c r="C27" s="703"/>
      <c r="D27" s="783"/>
      <c r="E27" s="783"/>
      <c r="F27" s="783"/>
      <c r="G27" s="783"/>
      <c r="H27" s="783"/>
      <c r="I27" s="783"/>
      <c r="J27" s="783"/>
      <c r="K27" s="783"/>
      <c r="L27" s="783"/>
      <c r="M27" s="783"/>
      <c r="N27" s="783"/>
      <c r="O27" s="783"/>
      <c r="P27" s="783"/>
      <c r="Q27" s="783"/>
      <c r="R27" s="783"/>
      <c r="S27" s="783"/>
      <c r="T27" s="783"/>
      <c r="U27" s="783"/>
      <c r="V27" s="783"/>
      <c r="W27" s="783"/>
      <c r="X27" s="783"/>
      <c r="Y27" s="769"/>
      <c r="Z27" s="769"/>
      <c r="AA27" s="769"/>
      <c r="AB27" s="820"/>
      <c r="AC27" s="769"/>
      <c r="AD27" s="769"/>
    </row>
    <row r="28" spans="1:30" ht="15.75">
      <c r="A28" s="769"/>
      <c r="B28" s="769"/>
      <c r="C28" s="703"/>
      <c r="D28" s="783"/>
      <c r="E28" s="783"/>
      <c r="F28" s="783"/>
      <c r="G28" s="783"/>
      <c r="H28" s="783"/>
      <c r="I28" s="783"/>
      <c r="J28" s="783"/>
      <c r="K28" s="783"/>
      <c r="L28" s="783"/>
      <c r="M28" s="783"/>
      <c r="N28" s="783"/>
      <c r="O28" s="783"/>
      <c r="P28" s="783"/>
      <c r="Q28" s="783"/>
      <c r="R28" s="783"/>
      <c r="S28" s="783"/>
      <c r="T28" s="783"/>
      <c r="U28" s="783"/>
      <c r="V28" s="783"/>
      <c r="W28" s="783"/>
      <c r="X28" s="783"/>
      <c r="Y28" s="769"/>
      <c r="Z28" s="769"/>
      <c r="AA28" s="769"/>
      <c r="AB28" s="820"/>
      <c r="AC28" s="769"/>
      <c r="AD28" s="769"/>
    </row>
    <row r="29" spans="1:30" ht="15.75">
      <c r="A29" s="769"/>
      <c r="B29" s="769"/>
      <c r="C29" s="703"/>
      <c r="D29" s="783"/>
      <c r="E29" s="783"/>
      <c r="F29" s="783"/>
      <c r="G29" s="783"/>
      <c r="H29" s="783"/>
      <c r="I29" s="783"/>
      <c r="J29" s="783"/>
      <c r="K29" s="783"/>
      <c r="L29" s="783"/>
      <c r="M29" s="783"/>
      <c r="N29" s="783"/>
      <c r="O29" s="783"/>
      <c r="P29" s="783"/>
      <c r="Q29" s="783"/>
      <c r="R29" s="783"/>
      <c r="S29" s="783"/>
      <c r="T29" s="783"/>
      <c r="U29" s="783"/>
      <c r="V29" s="783"/>
      <c r="W29" s="783"/>
      <c r="X29" s="783"/>
      <c r="Y29" s="769"/>
      <c r="Z29" s="769"/>
      <c r="AA29" s="769"/>
      <c r="AB29" s="820"/>
      <c r="AC29" s="769"/>
      <c r="AD29" s="769"/>
    </row>
    <row r="30" spans="1:30" ht="15.75">
      <c r="C30" s="786" t="s">
        <v>176</v>
      </c>
      <c r="D30" s="703"/>
      <c r="E30" s="703"/>
      <c r="F30" s="703"/>
      <c r="H30" s="703"/>
    </row>
    <row r="31" spans="1:30" ht="15.75">
      <c r="C31" s="703" t="s">
        <v>1215</v>
      </c>
    </row>
    <row r="32" spans="1:30" ht="15.75">
      <c r="C32" s="703" t="s">
        <v>1216</v>
      </c>
    </row>
    <row r="33" spans="3:9" ht="15.75">
      <c r="C33" s="703" t="s">
        <v>1217</v>
      </c>
    </row>
    <row r="34" spans="3:9" ht="15.75">
      <c r="C34" s="703" t="s">
        <v>1218</v>
      </c>
    </row>
    <row r="35" spans="3:9" ht="15.75">
      <c r="C35" s="703" t="s">
        <v>1219</v>
      </c>
    </row>
    <row r="36" spans="3:9" ht="15.75">
      <c r="C36" s="703" t="s">
        <v>1220</v>
      </c>
      <c r="D36" s="703"/>
      <c r="E36" s="703"/>
      <c r="F36" s="703"/>
      <c r="G36" s="703"/>
      <c r="H36" s="703"/>
      <c r="I36" s="703"/>
    </row>
  </sheetData>
  <pageMargins left="0.7" right="0.7" top="0.75" bottom="0.75" header="0.3" footer="0.3"/>
  <pageSetup scale="20"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6280-52B0-46B0-9A18-49FFCBCBAC05}">
  <sheetPr codeName="Sheet29"/>
  <dimension ref="A1:BE75"/>
  <sheetViews>
    <sheetView view="pageBreakPreview" zoomScale="60" zoomScaleNormal="100" workbookViewId="0"/>
  </sheetViews>
  <sheetFormatPr defaultColWidth="8.88671875" defaultRowHeight="15.75"/>
  <cols>
    <col min="1" max="1" width="4.44140625" style="1" customWidth="1"/>
    <col min="2" max="2" width="3" style="2" customWidth="1"/>
    <col min="3" max="3" width="9.77734375" style="1" customWidth="1"/>
    <col min="4" max="4" width="2.109375" style="1" customWidth="1"/>
    <col min="5" max="5" width="41.44140625" style="1" bestFit="1" customWidth="1"/>
    <col min="6" max="6" width="2.109375" style="1" customWidth="1"/>
    <col min="7" max="7" width="13.44140625" style="1" bestFit="1" customWidth="1"/>
    <col min="8" max="8" width="2.109375" style="1" customWidth="1"/>
    <col min="9" max="9" width="14.44140625" style="1" customWidth="1"/>
    <col min="10" max="10" width="2.109375" style="1" customWidth="1"/>
    <col min="11" max="11" width="12" style="1" customWidth="1"/>
    <col min="12" max="12" width="2.33203125" style="1" customWidth="1"/>
    <col min="13" max="13" width="12" style="1" customWidth="1"/>
    <col min="14" max="14" width="2.21875" style="1" customWidth="1"/>
    <col min="15" max="15" width="28.44140625" style="1" bestFit="1" customWidth="1"/>
    <col min="16" max="16" width="2.44140625" style="1" customWidth="1"/>
    <col min="17" max="17" width="19.5546875" style="1" bestFit="1" customWidth="1"/>
    <col min="18" max="18" width="1.77734375" style="1" bestFit="1" customWidth="1"/>
    <col min="19" max="19" width="11.88671875" style="1" customWidth="1"/>
    <col min="20" max="20" width="2" style="1" customWidth="1"/>
    <col min="21" max="21" width="14.6640625" style="1" bestFit="1" customWidth="1"/>
    <col min="22" max="22" width="2.109375" style="1" customWidth="1"/>
    <col min="23" max="23" width="12.77734375" style="1" customWidth="1"/>
    <col min="24" max="24" width="2.109375" style="1" customWidth="1"/>
    <col min="25" max="25" width="12.21875" style="1" bestFit="1" customWidth="1"/>
    <col min="26" max="26" width="11.6640625" style="1" bestFit="1" customWidth="1"/>
    <col min="27" max="27" width="9.33203125" style="1" bestFit="1" customWidth="1"/>
    <col min="28" max="16384" width="8.88671875" style="1"/>
  </cols>
  <sheetData>
    <row r="1" spans="1:55">
      <c r="U1" s="1158" t="str">
        <f>'Attachment H-11A '!K1&amp;""&amp;", Attachment 20"</f>
        <v>Attachment H -11A, Attachment 20</v>
      </c>
      <c r="V1" s="1158"/>
      <c r="W1" s="1158"/>
      <c r="X1" s="1158"/>
      <c r="Y1" s="1158"/>
    </row>
    <row r="2" spans="1:55">
      <c r="U2" s="1159" t="s">
        <v>168</v>
      </c>
      <c r="V2" s="1159"/>
      <c r="W2" s="1159"/>
      <c r="X2" s="1159"/>
      <c r="Y2" s="1159"/>
    </row>
    <row r="3" spans="1:55">
      <c r="U3" s="1158" t="str">
        <f>'Attachment H-11A '!K4</f>
        <v>For the 12 months ended 12/31/2023</v>
      </c>
      <c r="V3" s="1158"/>
      <c r="W3" s="1158"/>
      <c r="X3" s="1158"/>
      <c r="Y3" s="1158"/>
    </row>
    <row r="5" spans="1:55">
      <c r="E5" s="702" t="s">
        <v>688</v>
      </c>
      <c r="F5" s="702"/>
      <c r="G5" s="702" t="str">
        <f>"("&amp;CHAR(CODE(MID(E5,2,1))+1)&amp;")"</f>
        <v>(B)</v>
      </c>
      <c r="I5" s="702" t="str">
        <f t="shared" ref="I5" si="0">"("&amp;CHAR(CODE(MID(G5,2,1))+1)&amp;")"</f>
        <v>(C)</v>
      </c>
      <c r="J5" s="702"/>
      <c r="K5" s="702" t="str">
        <f t="shared" ref="K5" si="1">"("&amp;CHAR(CODE(MID(I5,2,1))+1)&amp;")"</f>
        <v>(D)</v>
      </c>
      <c r="L5" s="702"/>
      <c r="M5" s="702" t="str">
        <f t="shared" ref="M5" si="2">"("&amp;CHAR(CODE(MID(K5,2,1))+1)&amp;")"</f>
        <v>(E)</v>
      </c>
      <c r="N5" s="702"/>
      <c r="O5" s="702" t="str">
        <f t="shared" ref="O5" si="3">"("&amp;CHAR(CODE(MID(M5,2,1))+1)&amp;")"</f>
        <v>(F)</v>
      </c>
      <c r="P5" s="702"/>
      <c r="Q5" s="702" t="str">
        <f t="shared" ref="Q5" si="4">"("&amp;CHAR(CODE(MID(O5,2,1))+1)&amp;")"</f>
        <v>(G)</v>
      </c>
      <c r="R5" s="702"/>
      <c r="S5" s="702" t="str">
        <f t="shared" ref="S5" si="5">"("&amp;CHAR(CODE(MID(Q5,2,1))+1)&amp;")"</f>
        <v>(H)</v>
      </c>
      <c r="T5" s="702"/>
      <c r="U5" s="702" t="str">
        <f t="shared" ref="U5" si="6">"("&amp;CHAR(CODE(MID(S5,2,1))+1)&amp;")"</f>
        <v>(I)</v>
      </c>
      <c r="V5" s="702"/>
      <c r="W5" s="702" t="str">
        <f t="shared" ref="W5" si="7">"("&amp;CHAR(CODE(MID(U5,2,1))+1)&amp;")"</f>
        <v>(J)</v>
      </c>
      <c r="X5" s="990"/>
      <c r="Y5" s="990" t="s">
        <v>1039</v>
      </c>
    </row>
    <row r="6" spans="1:55" s="788" customFormat="1" ht="31.5">
      <c r="A6" s="771" t="s">
        <v>5</v>
      </c>
      <c r="B6" s="778"/>
      <c r="C6" s="771" t="s">
        <v>984</v>
      </c>
      <c r="D6" s="778"/>
      <c r="E6" s="956" t="s">
        <v>985</v>
      </c>
      <c r="F6" s="957"/>
      <c r="G6" s="958" t="s">
        <v>986</v>
      </c>
      <c r="H6" s="778"/>
      <c r="I6" s="958" t="s">
        <v>987</v>
      </c>
      <c r="J6" s="959" t="s">
        <v>988</v>
      </c>
      <c r="K6" s="960" t="s">
        <v>989</v>
      </c>
      <c r="L6" s="961" t="s">
        <v>78</v>
      </c>
      <c r="M6" s="960" t="s">
        <v>990</v>
      </c>
      <c r="N6" s="960" t="s">
        <v>691</v>
      </c>
      <c r="O6" s="960" t="s">
        <v>1040</v>
      </c>
      <c r="P6" s="959" t="s">
        <v>78</v>
      </c>
      <c r="Q6" s="960" t="s">
        <v>991</v>
      </c>
      <c r="R6" s="962"/>
      <c r="S6" s="962"/>
      <c r="T6" s="959"/>
      <c r="U6" s="962"/>
      <c r="W6" s="963"/>
      <c r="Y6" s="991"/>
      <c r="AA6" s="963"/>
      <c r="AC6" s="963"/>
      <c r="AE6" s="963"/>
      <c r="AG6" s="963"/>
      <c r="AI6" s="963"/>
      <c r="AK6" s="963"/>
      <c r="AM6" s="963"/>
      <c r="AO6" s="778"/>
      <c r="AQ6" s="778"/>
      <c r="AS6" s="778"/>
      <c r="AT6" s="778"/>
      <c r="AU6" s="964"/>
      <c r="AW6" s="778"/>
      <c r="AY6" s="963"/>
      <c r="BA6" s="778"/>
      <c r="BC6" s="778"/>
    </row>
    <row r="7" spans="1:55" s="703" customFormat="1">
      <c r="A7" s="769">
        <v>1</v>
      </c>
      <c r="B7" s="769"/>
      <c r="C7" s="965">
        <v>560</v>
      </c>
      <c r="D7" s="769"/>
      <c r="E7" s="1" t="s">
        <v>641</v>
      </c>
      <c r="F7" s="1"/>
      <c r="G7" s="1" t="s">
        <v>992</v>
      </c>
      <c r="H7" s="769"/>
      <c r="I7" s="966">
        <v>126189</v>
      </c>
      <c r="J7" s="769"/>
      <c r="K7" s="967">
        <f>'Attachment H-11A '!$I$205</f>
        <v>0.9580160425044939</v>
      </c>
      <c r="L7" s="769"/>
      <c r="M7" s="892">
        <f>I7*K7</f>
        <v>120891.08638759959</v>
      </c>
      <c r="N7" s="783"/>
      <c r="O7" s="966"/>
      <c r="P7" s="769"/>
      <c r="Q7" s="783">
        <f>M7-O7</f>
        <v>120891.08638759959</v>
      </c>
      <c r="R7" s="968"/>
      <c r="S7" s="968"/>
      <c r="T7" s="769"/>
      <c r="U7" s="968"/>
      <c r="W7" s="783"/>
      <c r="Y7" s="968"/>
      <c r="AA7" s="783"/>
      <c r="AC7" s="783"/>
      <c r="AE7" s="783"/>
      <c r="AG7" s="783"/>
      <c r="AI7" s="783"/>
      <c r="AK7" s="783"/>
      <c r="AM7" s="783"/>
      <c r="AO7" s="769"/>
      <c r="AQ7" s="769"/>
      <c r="AS7" s="769"/>
      <c r="AT7" s="769"/>
      <c r="AU7" s="820"/>
      <c r="AW7" s="769"/>
      <c r="AY7" s="783"/>
      <c r="BA7" s="769"/>
      <c r="BC7" s="769"/>
    </row>
    <row r="8" spans="1:55" s="703" customFormat="1" ht="15.6" customHeight="1">
      <c r="A8" s="769">
        <f>MAX($A$7:A7)+1</f>
        <v>2</v>
      </c>
      <c r="B8" s="769"/>
      <c r="C8" s="965">
        <v>561.1</v>
      </c>
      <c r="D8" s="769"/>
      <c r="E8" s="1" t="s">
        <v>642</v>
      </c>
      <c r="F8" s="1"/>
      <c r="G8" s="1" t="s">
        <v>993</v>
      </c>
      <c r="H8" s="769"/>
      <c r="I8" s="966"/>
      <c r="J8" s="769"/>
      <c r="K8" s="967">
        <f>'Attachment H-11A '!$I$205</f>
        <v>0.9580160425044939</v>
      </c>
      <c r="L8" s="769"/>
      <c r="M8" s="892">
        <f>I8*K8</f>
        <v>0</v>
      </c>
      <c r="N8" s="783"/>
      <c r="O8" s="966"/>
      <c r="P8" s="769"/>
      <c r="Q8" s="783">
        <f t="shared" ref="Q8:Q31" si="8">M8-O8</f>
        <v>0</v>
      </c>
      <c r="R8" s="968"/>
      <c r="W8" s="969"/>
      <c r="Y8" s="969"/>
      <c r="Z8" s="969"/>
      <c r="AA8" s="969"/>
      <c r="AB8" s="969"/>
      <c r="AC8" s="783"/>
      <c r="AE8" s="783"/>
      <c r="AG8" s="783"/>
      <c r="AI8" s="783"/>
      <c r="AK8" s="783"/>
      <c r="AM8" s="783"/>
      <c r="AO8" s="769"/>
      <c r="AQ8" s="769"/>
      <c r="AS8" s="769"/>
      <c r="AT8" s="769"/>
      <c r="AU8" s="820"/>
      <c r="AW8" s="769"/>
      <c r="AY8" s="769"/>
      <c r="BA8" s="769"/>
      <c r="BC8" s="769"/>
    </row>
    <row r="9" spans="1:55" s="703" customFormat="1">
      <c r="A9" s="769">
        <f>MAX($A$7:A8)+1</f>
        <v>3</v>
      </c>
      <c r="B9" s="769"/>
      <c r="C9" s="965">
        <v>561.20000000000005</v>
      </c>
      <c r="D9" s="769"/>
      <c r="E9" s="1" t="s">
        <v>643</v>
      </c>
      <c r="F9" s="1"/>
      <c r="G9" s="1" t="s">
        <v>994</v>
      </c>
      <c r="H9" s="769"/>
      <c r="I9" s="966">
        <v>670019</v>
      </c>
      <c r="J9" s="769"/>
      <c r="K9" s="967">
        <f>'Attachment H-11A '!$I$205</f>
        <v>0.9580160425044939</v>
      </c>
      <c r="L9" s="769"/>
      <c r="M9" s="892">
        <f t="shared" ref="M9:M31" si="9">I9*K9</f>
        <v>641888.95078281849</v>
      </c>
      <c r="N9" s="783"/>
      <c r="O9" s="966"/>
      <c r="P9" s="769"/>
      <c r="Q9" s="783">
        <f t="shared" si="8"/>
        <v>641888.95078281849</v>
      </c>
      <c r="R9" s="968"/>
      <c r="W9" s="969"/>
      <c r="Y9" s="969"/>
      <c r="Z9" s="969"/>
      <c r="AA9" s="969"/>
      <c r="AB9" s="969"/>
      <c r="AC9" s="783"/>
      <c r="AE9" s="783"/>
      <c r="AG9" s="783"/>
      <c r="AI9" s="783"/>
      <c r="AK9" s="783"/>
      <c r="AM9" s="783"/>
      <c r="AO9" s="769"/>
      <c r="AQ9" s="769"/>
      <c r="AS9" s="769"/>
      <c r="AT9" s="769"/>
      <c r="AU9" s="820"/>
      <c r="AW9" s="769"/>
      <c r="AY9" s="769"/>
      <c r="BA9" s="769"/>
      <c r="BC9" s="769"/>
    </row>
    <row r="10" spans="1:55" s="703" customFormat="1">
      <c r="A10" s="769">
        <f>MAX($A$7:A9)+1</f>
        <v>4</v>
      </c>
      <c r="B10" s="769"/>
      <c r="C10" s="965">
        <v>561.29999999999995</v>
      </c>
      <c r="D10" s="769"/>
      <c r="E10" s="1" t="s">
        <v>644</v>
      </c>
      <c r="F10" s="1"/>
      <c r="G10" s="1" t="s">
        <v>995</v>
      </c>
      <c r="H10" s="769"/>
      <c r="I10" s="966"/>
      <c r="J10" s="769"/>
      <c r="K10" s="967">
        <f>'Attachment H-11A '!$I$205</f>
        <v>0.9580160425044939</v>
      </c>
      <c r="L10" s="769"/>
      <c r="M10" s="892">
        <f>I10*K10</f>
        <v>0</v>
      </c>
      <c r="N10" s="783"/>
      <c r="O10" s="966"/>
      <c r="P10" s="769"/>
      <c r="Q10" s="783">
        <f t="shared" si="8"/>
        <v>0</v>
      </c>
      <c r="R10" s="968"/>
      <c r="W10" s="969"/>
      <c r="Y10" s="969"/>
      <c r="Z10" s="969"/>
      <c r="AA10" s="969"/>
      <c r="AB10" s="969"/>
      <c r="AC10" s="783"/>
      <c r="AE10" s="783"/>
      <c r="AG10" s="783"/>
      <c r="AI10" s="783"/>
      <c r="AK10" s="783"/>
      <c r="AM10" s="783"/>
      <c r="AO10" s="769"/>
      <c r="AQ10" s="769"/>
      <c r="AS10" s="769"/>
      <c r="AT10" s="769"/>
      <c r="AU10" s="820"/>
      <c r="AW10" s="769"/>
      <c r="AY10" s="769"/>
      <c r="BA10" s="769"/>
      <c r="BC10" s="769"/>
    </row>
    <row r="11" spans="1:55" s="703" customFormat="1" ht="15.6" customHeight="1">
      <c r="A11" s="769">
        <f>MAX($A$7:A10)+1</f>
        <v>5</v>
      </c>
      <c r="B11" s="769"/>
      <c r="C11" s="965">
        <v>561.4</v>
      </c>
      <c r="D11" s="769"/>
      <c r="E11" s="1" t="s">
        <v>645</v>
      </c>
      <c r="F11" s="1"/>
      <c r="G11" s="1" t="s">
        <v>996</v>
      </c>
      <c r="H11" s="769"/>
      <c r="I11" s="966">
        <v>7524544</v>
      </c>
      <c r="J11" s="769"/>
      <c r="K11" s="967">
        <f>'Attachment H-11A '!$I$205</f>
        <v>0.9580160425044939</v>
      </c>
      <c r="L11" s="769"/>
      <c r="M11" s="892">
        <f>I11*K11</f>
        <v>7208633.864530935</v>
      </c>
      <c r="N11" s="783"/>
      <c r="O11" s="966">
        <f>M11</f>
        <v>7208633.864530935</v>
      </c>
      <c r="P11" s="769"/>
      <c r="Q11" s="783">
        <f t="shared" si="8"/>
        <v>0</v>
      </c>
      <c r="R11" s="968"/>
      <c r="W11" s="969"/>
      <c r="Y11" s="969"/>
      <c r="Z11" s="969"/>
      <c r="AA11" s="969"/>
      <c r="AB11" s="969"/>
      <c r="AC11" s="783"/>
      <c r="AE11" s="783"/>
      <c r="AG11" s="783"/>
      <c r="AI11" s="783"/>
      <c r="AK11" s="783"/>
      <c r="AM11" s="783"/>
      <c r="AO11" s="769"/>
      <c r="AQ11" s="769"/>
      <c r="AS11" s="769"/>
      <c r="AT11" s="769"/>
      <c r="AU11" s="820"/>
      <c r="AW11" s="769"/>
      <c r="AY11" s="769"/>
      <c r="BA11" s="769"/>
      <c r="BC11" s="769"/>
    </row>
    <row r="12" spans="1:55" s="703" customFormat="1">
      <c r="A12" s="769">
        <f>MAX($A$7:A11)+1</f>
        <v>6</v>
      </c>
      <c r="B12" s="769"/>
      <c r="C12" s="965">
        <v>561.5</v>
      </c>
      <c r="D12" s="769"/>
      <c r="E12" s="1" t="s">
        <v>646</v>
      </c>
      <c r="F12" s="1"/>
      <c r="G12" s="1" t="s">
        <v>997</v>
      </c>
      <c r="H12" s="769"/>
      <c r="I12" s="966">
        <v>26410</v>
      </c>
      <c r="J12" s="769"/>
      <c r="K12" s="967">
        <f>'Attachment H-11A '!$I$205</f>
        <v>0.9580160425044939</v>
      </c>
      <c r="L12" s="769"/>
      <c r="M12" s="892">
        <f t="shared" si="9"/>
        <v>25301.203682543684</v>
      </c>
      <c r="N12" s="783"/>
      <c r="O12" s="966"/>
      <c r="P12" s="769"/>
      <c r="Q12" s="783">
        <f>M12-O12</f>
        <v>25301.203682543684</v>
      </c>
      <c r="R12" s="968"/>
      <c r="W12" s="969"/>
      <c r="Y12" s="969"/>
      <c r="Z12" s="969"/>
      <c r="AA12" s="969"/>
      <c r="AB12" s="969"/>
      <c r="AC12" s="783"/>
      <c r="AE12" s="783"/>
      <c r="AG12" s="783"/>
      <c r="AI12" s="783"/>
      <c r="AK12" s="783"/>
      <c r="AM12" s="783"/>
      <c r="AO12" s="769"/>
      <c r="AQ12" s="769"/>
      <c r="AS12" s="769"/>
      <c r="AT12" s="769"/>
      <c r="AU12" s="820"/>
      <c r="AW12" s="769"/>
      <c r="AY12" s="769"/>
      <c r="BA12" s="769"/>
      <c r="BC12" s="769"/>
    </row>
    <row r="13" spans="1:55" s="703" customFormat="1">
      <c r="A13" s="769">
        <f>MAX($A$7:A12)+1</f>
        <v>7</v>
      </c>
      <c r="B13" s="769"/>
      <c r="C13" s="965">
        <v>561.6</v>
      </c>
      <c r="D13" s="769"/>
      <c r="E13" s="1" t="s">
        <v>647</v>
      </c>
      <c r="F13" s="1"/>
      <c r="G13" s="1" t="s">
        <v>998</v>
      </c>
      <c r="H13" s="769"/>
      <c r="I13" s="966">
        <v>2289</v>
      </c>
      <c r="J13" s="769"/>
      <c r="K13" s="967">
        <f>'Attachment H-11A '!$I$205</f>
        <v>0.9580160425044939</v>
      </c>
      <c r="L13" s="769"/>
      <c r="M13" s="892">
        <f t="shared" si="9"/>
        <v>2192.8987212927864</v>
      </c>
      <c r="N13" s="783"/>
      <c r="O13" s="966"/>
      <c r="P13" s="769"/>
      <c r="Q13" s="783">
        <f t="shared" si="8"/>
        <v>2192.8987212927864</v>
      </c>
      <c r="R13" s="968"/>
      <c r="W13" s="969"/>
      <c r="Y13" s="969"/>
      <c r="Z13" s="969"/>
      <c r="AA13" s="969"/>
      <c r="AB13" s="969"/>
      <c r="AC13" s="783"/>
      <c r="AE13" s="783"/>
      <c r="AG13" s="783"/>
      <c r="AI13" s="783"/>
      <c r="AK13" s="783"/>
      <c r="AM13" s="783"/>
      <c r="AO13" s="769"/>
      <c r="AQ13" s="769"/>
      <c r="AS13" s="769"/>
      <c r="AT13" s="769"/>
      <c r="AU13" s="820"/>
      <c r="AW13" s="769"/>
      <c r="AY13" s="769"/>
      <c r="BA13" s="769"/>
      <c r="BC13" s="769"/>
    </row>
    <row r="14" spans="1:55" s="703" customFormat="1">
      <c r="A14" s="769">
        <f>MAX($A$7:A13)+1</f>
        <v>8</v>
      </c>
      <c r="B14" s="769"/>
      <c r="C14" s="965">
        <v>561.70000000000005</v>
      </c>
      <c r="D14" s="769"/>
      <c r="E14" s="1" t="s">
        <v>648</v>
      </c>
      <c r="F14" s="1"/>
      <c r="G14" s="1" t="s">
        <v>999</v>
      </c>
      <c r="H14" s="769"/>
      <c r="I14" s="966">
        <v>-12864</v>
      </c>
      <c r="J14" s="769"/>
      <c r="K14" s="967">
        <f>'Attachment H-11A '!$I$205</f>
        <v>0.9580160425044939</v>
      </c>
      <c r="L14" s="769"/>
      <c r="M14" s="892">
        <f t="shared" si="9"/>
        <v>-12323.91837077781</v>
      </c>
      <c r="N14" s="783"/>
      <c r="O14" s="966"/>
      <c r="P14" s="769"/>
      <c r="Q14" s="783">
        <f t="shared" si="8"/>
        <v>-12323.91837077781</v>
      </c>
      <c r="R14" s="968"/>
      <c r="W14" s="969"/>
      <c r="Y14" s="969"/>
      <c r="Z14" s="969"/>
      <c r="AA14" s="969"/>
      <c r="AB14" s="969"/>
      <c r="AC14" s="783"/>
      <c r="AE14" s="783"/>
      <c r="AG14" s="783"/>
      <c r="AI14" s="783"/>
      <c r="AK14" s="783"/>
      <c r="AM14" s="783"/>
      <c r="AO14" s="769"/>
      <c r="AQ14" s="769"/>
      <c r="AS14" s="769"/>
      <c r="AT14" s="769"/>
      <c r="AU14" s="820"/>
      <c r="AW14" s="769"/>
      <c r="AY14" s="769"/>
      <c r="BA14" s="769"/>
      <c r="BC14" s="769"/>
    </row>
    <row r="15" spans="1:55" s="703" customFormat="1">
      <c r="A15" s="769">
        <f>MAX($A$7:A14)+1</f>
        <v>9</v>
      </c>
      <c r="B15" s="769"/>
      <c r="C15" s="965">
        <v>561.79999999999995</v>
      </c>
      <c r="D15" s="769"/>
      <c r="E15" s="1" t="s">
        <v>649</v>
      </c>
      <c r="F15" s="1"/>
      <c r="G15" s="1" t="s">
        <v>1000</v>
      </c>
      <c r="H15" s="769"/>
      <c r="I15" s="966">
        <v>28397</v>
      </c>
      <c r="J15" s="769"/>
      <c r="K15" s="967">
        <f>'Attachment H-11A '!$I$205</f>
        <v>0.9580160425044939</v>
      </c>
      <c r="L15" s="769"/>
      <c r="M15" s="892">
        <f>I15*K15</f>
        <v>27204.781559000112</v>
      </c>
      <c r="N15" s="783"/>
      <c r="O15" s="966">
        <f>M15</f>
        <v>27204.781559000112</v>
      </c>
      <c r="P15" s="769"/>
      <c r="Q15" s="783">
        <f t="shared" si="8"/>
        <v>0</v>
      </c>
      <c r="R15" s="968"/>
      <c r="W15" s="969"/>
      <c r="Y15" s="969"/>
      <c r="Z15" s="969"/>
      <c r="AA15" s="969"/>
      <c r="AB15" s="969"/>
      <c r="AC15" s="783"/>
      <c r="AE15" s="783"/>
      <c r="AG15" s="783"/>
      <c r="AI15" s="783"/>
      <c r="AK15" s="783"/>
      <c r="AM15" s="783"/>
      <c r="AO15" s="769"/>
      <c r="AQ15" s="769"/>
      <c r="AS15" s="769"/>
      <c r="AT15" s="769"/>
      <c r="AU15" s="820"/>
      <c r="AW15" s="769"/>
      <c r="AY15" s="769"/>
      <c r="BA15" s="769"/>
      <c r="BC15" s="769"/>
    </row>
    <row r="16" spans="1:55" s="703" customFormat="1">
      <c r="A16" s="769">
        <f>MAX($A$7:A15)+1</f>
        <v>10</v>
      </c>
      <c r="B16" s="769"/>
      <c r="C16" s="965">
        <v>562</v>
      </c>
      <c r="D16" s="769"/>
      <c r="E16" s="1" t="s">
        <v>650</v>
      </c>
      <c r="F16" s="1"/>
      <c r="G16" s="1" t="s">
        <v>1001</v>
      </c>
      <c r="H16" s="769"/>
      <c r="I16" s="966">
        <v>34576</v>
      </c>
      <c r="J16" s="769"/>
      <c r="K16" s="967">
        <f>'Attachment H-11A '!$I$205</f>
        <v>0.9580160425044939</v>
      </c>
      <c r="L16" s="769"/>
      <c r="M16" s="892">
        <f t="shared" si="9"/>
        <v>33124.36268563538</v>
      </c>
      <c r="N16" s="783"/>
      <c r="O16" s="966"/>
      <c r="P16" s="769"/>
      <c r="Q16" s="783">
        <f t="shared" si="8"/>
        <v>33124.36268563538</v>
      </c>
      <c r="R16" s="968"/>
      <c r="W16" s="969"/>
      <c r="Y16" s="969"/>
      <c r="Z16" s="969"/>
      <c r="AA16" s="969"/>
      <c r="AB16" s="969"/>
      <c r="AC16" s="783"/>
      <c r="AE16" s="783"/>
      <c r="AG16" s="783"/>
      <c r="AI16" s="783"/>
      <c r="AK16" s="783"/>
      <c r="AM16" s="783"/>
      <c r="AO16" s="769"/>
      <c r="AQ16" s="769"/>
      <c r="AS16" s="769"/>
      <c r="AT16" s="769"/>
      <c r="AU16" s="820"/>
      <c r="AW16" s="769"/>
      <c r="AY16" s="769"/>
      <c r="BA16" s="769"/>
      <c r="BC16" s="769"/>
    </row>
    <row r="17" spans="1:55" s="703" customFormat="1">
      <c r="A17" s="769">
        <f>MAX($A$7:A16)+1</f>
        <v>11</v>
      </c>
      <c r="B17" s="769"/>
      <c r="C17" s="965">
        <v>563</v>
      </c>
      <c r="D17" s="769"/>
      <c r="E17" s="1" t="s">
        <v>651</v>
      </c>
      <c r="F17" s="1"/>
      <c r="G17" s="1" t="s">
        <v>1002</v>
      </c>
      <c r="H17" s="769"/>
      <c r="I17" s="966">
        <v>743924</v>
      </c>
      <c r="J17" s="769"/>
      <c r="K17" s="967">
        <f>'Attachment H-11A '!$I$205</f>
        <v>0.9580160425044939</v>
      </c>
      <c r="L17" s="769"/>
      <c r="M17" s="892">
        <f>I17*K17</f>
        <v>712691.12640411314</v>
      </c>
      <c r="N17" s="783"/>
      <c r="O17" s="966">
        <v>359</v>
      </c>
      <c r="P17" s="769"/>
      <c r="Q17" s="783">
        <f>M17-O17</f>
        <v>712332.12640411314</v>
      </c>
      <c r="R17" s="968"/>
      <c r="W17" s="969"/>
      <c r="Y17" s="969"/>
      <c r="Z17" s="969"/>
      <c r="AA17" s="969"/>
      <c r="AB17" s="969"/>
      <c r="AC17" s="783"/>
      <c r="AE17" s="783"/>
      <c r="AG17" s="783"/>
      <c r="AI17" s="783"/>
      <c r="AK17" s="783"/>
      <c r="AM17" s="783"/>
      <c r="AO17" s="769"/>
      <c r="AQ17" s="769"/>
      <c r="AS17" s="769"/>
      <c r="AT17" s="769"/>
      <c r="AU17" s="820"/>
      <c r="AW17" s="769"/>
      <c r="AY17" s="769"/>
      <c r="BA17" s="769"/>
      <c r="BC17" s="769"/>
    </row>
    <row r="18" spans="1:55" s="703" customFormat="1">
      <c r="A18" s="769">
        <f>MAX($A$7:A17)+1</f>
        <v>12</v>
      </c>
      <c r="B18" s="769"/>
      <c r="C18" s="965">
        <v>564</v>
      </c>
      <c r="D18" s="769"/>
      <c r="E18" s="1" t="s">
        <v>652</v>
      </c>
      <c r="F18" s="1"/>
      <c r="G18" s="1" t="s">
        <v>1003</v>
      </c>
      <c r="H18" s="769"/>
      <c r="I18" s="966"/>
      <c r="J18" s="769"/>
      <c r="K18" s="967">
        <f>'Attachment H-11A '!$I$205</f>
        <v>0.9580160425044939</v>
      </c>
      <c r="L18" s="769"/>
      <c r="M18" s="892">
        <f t="shared" si="9"/>
        <v>0</v>
      </c>
      <c r="N18" s="783"/>
      <c r="O18" s="966"/>
      <c r="P18" s="769"/>
      <c r="Q18" s="783">
        <f t="shared" si="8"/>
        <v>0</v>
      </c>
      <c r="R18" s="968"/>
      <c r="W18" s="969"/>
      <c r="Y18" s="969"/>
      <c r="Z18" s="969"/>
      <c r="AA18" s="969"/>
      <c r="AB18" s="969"/>
      <c r="AC18" s="783"/>
      <c r="AE18" s="783"/>
      <c r="AG18" s="783"/>
      <c r="AI18" s="783"/>
      <c r="AK18" s="783"/>
      <c r="AM18" s="783"/>
      <c r="AO18" s="769"/>
      <c r="AQ18" s="769"/>
      <c r="AS18" s="769"/>
      <c r="AT18" s="769"/>
      <c r="AU18" s="820"/>
      <c r="AW18" s="769"/>
      <c r="AY18" s="769"/>
      <c r="BA18" s="769"/>
      <c r="BC18" s="769"/>
    </row>
    <row r="19" spans="1:55" s="703" customFormat="1">
      <c r="A19" s="769">
        <f>MAX($A$7:A18)+1</f>
        <v>13</v>
      </c>
      <c r="B19" s="769"/>
      <c r="C19" s="965">
        <v>565</v>
      </c>
      <c r="D19" s="769"/>
      <c r="E19" s="1" t="s">
        <v>653</v>
      </c>
      <c r="F19" s="1"/>
      <c r="G19" s="1" t="s">
        <v>1004</v>
      </c>
      <c r="H19" s="769"/>
      <c r="I19" s="966">
        <v>108214639</v>
      </c>
      <c r="J19" s="769"/>
      <c r="K19" s="967">
        <f>'Attachment H-11A '!$I$205</f>
        <v>0.9580160425044939</v>
      </c>
      <c r="L19" s="769"/>
      <c r="M19" s="892">
        <f>I19*K19</f>
        <v>103671360.19583246</v>
      </c>
      <c r="N19" s="783"/>
      <c r="O19" s="966">
        <f>M19</f>
        <v>103671360.19583246</v>
      </c>
      <c r="P19" s="769"/>
      <c r="Q19" s="783">
        <f t="shared" si="8"/>
        <v>0</v>
      </c>
      <c r="R19" s="968"/>
      <c r="W19" s="969"/>
      <c r="Y19" s="969"/>
      <c r="Z19" s="969"/>
      <c r="AA19" s="969"/>
      <c r="AB19" s="969"/>
      <c r="AC19" s="783"/>
      <c r="AE19" s="783"/>
      <c r="AG19" s="783"/>
      <c r="AI19" s="783"/>
      <c r="AK19" s="783"/>
      <c r="AM19" s="783"/>
      <c r="AO19" s="769"/>
      <c r="AQ19" s="769"/>
      <c r="AS19" s="769"/>
      <c r="AT19" s="769"/>
      <c r="AU19" s="820"/>
      <c r="AW19" s="769"/>
      <c r="AY19" s="769"/>
      <c r="BA19" s="769"/>
      <c r="BC19" s="769"/>
    </row>
    <row r="20" spans="1:55" s="703" customFormat="1">
      <c r="A20" s="769">
        <f>MAX($A$7:A19)+1</f>
        <v>14</v>
      </c>
      <c r="B20" s="769"/>
      <c r="C20" s="965">
        <v>566</v>
      </c>
      <c r="D20" s="769"/>
      <c r="E20" s="1" t="s">
        <v>654</v>
      </c>
      <c r="F20" s="1"/>
      <c r="G20" s="1" t="s">
        <v>1005</v>
      </c>
      <c r="H20" s="769"/>
      <c r="I20" s="966">
        <v>1287908</v>
      </c>
      <c r="J20" s="769"/>
      <c r="K20" s="967">
        <f>'Attachment H-11A '!$I$205</f>
        <v>0.9580160425044939</v>
      </c>
      <c r="L20" s="769"/>
      <c r="M20" s="892">
        <f t="shared" si="9"/>
        <v>1233836.5252698776</v>
      </c>
      <c r="N20" s="783"/>
      <c r="O20" s="966">
        <v>-2690760.9454766694</v>
      </c>
      <c r="P20" s="769"/>
      <c r="Q20" s="783">
        <f t="shared" si="8"/>
        <v>3924597.470746547</v>
      </c>
      <c r="R20" s="968"/>
      <c r="S20" s="968"/>
      <c r="T20" s="769"/>
      <c r="U20" s="968"/>
      <c r="W20" s="783"/>
      <c r="Y20" s="968"/>
      <c r="AA20" s="783"/>
      <c r="AC20" s="783"/>
      <c r="AE20" s="783"/>
      <c r="AG20" s="783"/>
      <c r="AI20" s="783"/>
      <c r="AK20" s="783"/>
      <c r="AM20" s="783"/>
      <c r="AO20" s="769"/>
      <c r="AQ20" s="769"/>
      <c r="AS20" s="769"/>
      <c r="AT20" s="769"/>
      <c r="AU20" s="820"/>
      <c r="AW20" s="769"/>
      <c r="AY20" s="769"/>
      <c r="BA20" s="769"/>
      <c r="BC20" s="769"/>
    </row>
    <row r="21" spans="1:55" s="703" customFormat="1">
      <c r="A21" s="769">
        <f>MAX($A$7:A20)+1</f>
        <v>15</v>
      </c>
      <c r="B21" s="769"/>
      <c r="C21" s="965">
        <v>567</v>
      </c>
      <c r="D21" s="769"/>
      <c r="E21" s="1" t="s">
        <v>655</v>
      </c>
      <c r="F21" s="1"/>
      <c r="G21" s="1" t="s">
        <v>1006</v>
      </c>
      <c r="H21" s="769"/>
      <c r="I21" s="966">
        <v>594208</v>
      </c>
      <c r="J21" s="769"/>
      <c r="K21" s="967">
        <f>'Attachment H-11A '!$I$205</f>
        <v>0.9580160425044939</v>
      </c>
      <c r="L21" s="769"/>
      <c r="M21" s="892">
        <f t="shared" si="9"/>
        <v>569260.79658451036</v>
      </c>
      <c r="N21" s="783"/>
      <c r="O21" s="966"/>
      <c r="P21" s="769"/>
      <c r="Q21" s="783">
        <f t="shared" si="8"/>
        <v>569260.79658451036</v>
      </c>
      <c r="R21" s="968"/>
      <c r="S21" s="968"/>
      <c r="T21" s="769"/>
      <c r="U21" s="968"/>
      <c r="W21" s="783"/>
      <c r="Y21" s="968"/>
      <c r="AA21" s="783"/>
      <c r="AC21" s="783"/>
      <c r="AE21" s="783"/>
      <c r="AG21" s="783"/>
      <c r="AI21" s="783"/>
      <c r="AK21" s="783"/>
      <c r="AM21" s="783"/>
      <c r="AO21" s="769"/>
      <c r="AQ21" s="769"/>
      <c r="AS21" s="769"/>
      <c r="AT21" s="769"/>
      <c r="AU21" s="820"/>
      <c r="AW21" s="769"/>
      <c r="AY21" s="769"/>
      <c r="BA21" s="769"/>
      <c r="BC21" s="769"/>
    </row>
    <row r="22" spans="1:55" s="703" customFormat="1">
      <c r="A22" s="769">
        <f>MAX($A$7:A21)+1</f>
        <v>16</v>
      </c>
      <c r="B22" s="769"/>
      <c r="C22" s="965">
        <v>568</v>
      </c>
      <c r="D22" s="769"/>
      <c r="E22" s="1" t="s">
        <v>656</v>
      </c>
      <c r="F22" s="1"/>
      <c r="G22" s="1" t="s">
        <v>1007</v>
      </c>
      <c r="H22" s="769"/>
      <c r="I22" s="966">
        <v>1190223</v>
      </c>
      <c r="J22" s="769"/>
      <c r="K22" s="967">
        <f>'Attachment H-11A '!$I$205</f>
        <v>0.9580160425044939</v>
      </c>
      <c r="L22" s="769"/>
      <c r="M22" s="892">
        <f t="shared" si="9"/>
        <v>1140252.7281578262</v>
      </c>
      <c r="N22" s="783"/>
      <c r="O22" s="966"/>
      <c r="P22" s="769"/>
      <c r="Q22" s="783">
        <f t="shared" si="8"/>
        <v>1140252.7281578262</v>
      </c>
      <c r="R22" s="968"/>
      <c r="S22" s="968"/>
      <c r="T22" s="769"/>
      <c r="U22" s="968"/>
      <c r="W22" s="783"/>
      <c r="Y22" s="968"/>
      <c r="AA22" s="783"/>
      <c r="AC22" s="783"/>
      <c r="AE22" s="783"/>
      <c r="AG22" s="783"/>
      <c r="AI22" s="783"/>
      <c r="AK22" s="783"/>
      <c r="AM22" s="783"/>
      <c r="AO22" s="769"/>
      <c r="AQ22" s="769"/>
      <c r="AS22" s="769"/>
      <c r="AT22" s="769"/>
      <c r="AU22" s="820"/>
      <c r="AW22" s="769"/>
      <c r="AY22" s="769"/>
      <c r="BA22" s="769"/>
      <c r="BC22" s="769"/>
    </row>
    <row r="23" spans="1:55" s="703" customFormat="1">
      <c r="A23" s="769">
        <f>MAX($A$7:A22)+1</f>
        <v>17</v>
      </c>
      <c r="B23" s="769"/>
      <c r="C23" s="965">
        <v>569</v>
      </c>
      <c r="D23" s="769"/>
      <c r="E23" s="1" t="s">
        <v>657</v>
      </c>
      <c r="F23" s="1"/>
      <c r="G23" s="1" t="s">
        <v>1008</v>
      </c>
      <c r="H23" s="769"/>
      <c r="I23" s="966"/>
      <c r="J23" s="769"/>
      <c r="K23" s="967">
        <f>'Attachment H-11A '!$I$205</f>
        <v>0.9580160425044939</v>
      </c>
      <c r="L23" s="769"/>
      <c r="M23" s="892">
        <f t="shared" si="9"/>
        <v>0</v>
      </c>
      <c r="N23" s="783"/>
      <c r="O23" s="966"/>
      <c r="P23" s="769"/>
      <c r="Q23" s="783">
        <f t="shared" si="8"/>
        <v>0</v>
      </c>
      <c r="R23" s="968"/>
      <c r="S23" s="968"/>
      <c r="T23" s="769"/>
      <c r="U23" s="968"/>
      <c r="W23" s="783"/>
      <c r="Y23" s="968"/>
      <c r="AA23" s="783"/>
      <c r="AC23" s="783"/>
      <c r="AE23" s="783"/>
      <c r="AG23" s="783"/>
      <c r="AI23" s="783"/>
      <c r="AK23" s="783"/>
      <c r="AM23" s="783"/>
      <c r="AO23" s="769"/>
      <c r="AQ23" s="769"/>
      <c r="AS23" s="769"/>
      <c r="AT23" s="769"/>
      <c r="AU23" s="820"/>
      <c r="AW23" s="769"/>
      <c r="AY23" s="769"/>
      <c r="BA23" s="769"/>
      <c r="BC23" s="769"/>
    </row>
    <row r="24" spans="1:55" s="703" customFormat="1">
      <c r="A24" s="769">
        <f>MAX($A$7:A23)+1</f>
        <v>18</v>
      </c>
      <c r="B24" s="769"/>
      <c r="C24" s="965">
        <v>569.1</v>
      </c>
      <c r="D24" s="769"/>
      <c r="E24" s="1" t="s">
        <v>658</v>
      </c>
      <c r="F24" s="1"/>
      <c r="G24" s="1" t="s">
        <v>1009</v>
      </c>
      <c r="H24" s="769"/>
      <c r="I24" s="966">
        <v>63744</v>
      </c>
      <c r="J24" s="769"/>
      <c r="K24" s="967">
        <f>'Attachment H-11A '!$I$205</f>
        <v>0.9580160425044939</v>
      </c>
      <c r="L24" s="769"/>
      <c r="M24" s="892">
        <f>I24*K24</f>
        <v>61067.774613406458</v>
      </c>
      <c r="N24" s="783"/>
      <c r="O24" s="966"/>
      <c r="P24" s="769"/>
      <c r="Q24" s="783">
        <f t="shared" si="8"/>
        <v>61067.774613406458</v>
      </c>
      <c r="R24" s="968"/>
      <c r="S24" s="968"/>
      <c r="T24" s="769"/>
      <c r="U24" s="968"/>
      <c r="W24" s="783"/>
      <c r="Y24" s="968"/>
      <c r="AA24" s="783"/>
      <c r="AC24" s="783"/>
      <c r="AE24" s="783"/>
      <c r="AG24" s="783"/>
      <c r="AI24" s="783"/>
      <c r="AK24" s="783"/>
      <c r="AM24" s="783"/>
      <c r="AO24" s="769"/>
      <c r="AQ24" s="769"/>
      <c r="AS24" s="769"/>
      <c r="AT24" s="769"/>
      <c r="AU24" s="820"/>
      <c r="AW24" s="769"/>
      <c r="AY24" s="769"/>
      <c r="BA24" s="769"/>
      <c r="BC24" s="769"/>
    </row>
    <row r="25" spans="1:55" s="703" customFormat="1">
      <c r="A25" s="769">
        <f>MAX($A$7:A24)+1</f>
        <v>19</v>
      </c>
      <c r="B25" s="769"/>
      <c r="C25" s="965">
        <v>569.20000000000005</v>
      </c>
      <c r="D25" s="769"/>
      <c r="E25" s="1" t="s">
        <v>659</v>
      </c>
      <c r="F25" s="1"/>
      <c r="G25" s="1" t="s">
        <v>1010</v>
      </c>
      <c r="H25" s="769"/>
      <c r="I25" s="966">
        <v>305479</v>
      </c>
      <c r="J25" s="769"/>
      <c r="K25" s="967">
        <f>'Attachment H-11A '!$I$205</f>
        <v>0.9580160425044939</v>
      </c>
      <c r="L25" s="769"/>
      <c r="M25" s="892">
        <f t="shared" si="9"/>
        <v>292653.78264823032</v>
      </c>
      <c r="N25" s="783"/>
      <c r="O25" s="966"/>
      <c r="P25" s="769"/>
      <c r="Q25" s="783">
        <f t="shared" si="8"/>
        <v>292653.78264823032</v>
      </c>
      <c r="R25" s="968"/>
      <c r="S25" s="968"/>
      <c r="T25" s="769"/>
      <c r="U25" s="968"/>
      <c r="W25" s="783"/>
      <c r="Y25" s="968"/>
      <c r="AA25" s="783"/>
      <c r="AC25" s="783"/>
      <c r="AE25" s="783"/>
      <c r="AG25" s="783"/>
      <c r="AI25" s="783"/>
      <c r="AK25" s="783"/>
      <c r="AM25" s="783"/>
      <c r="AO25" s="769"/>
      <c r="AQ25" s="769"/>
      <c r="AS25" s="769"/>
      <c r="AT25" s="769"/>
      <c r="AU25" s="820"/>
      <c r="AW25" s="769"/>
      <c r="AY25" s="769"/>
      <c r="BA25" s="769"/>
      <c r="BC25" s="769"/>
    </row>
    <row r="26" spans="1:55" s="703" customFormat="1">
      <c r="A26" s="769">
        <f>MAX($A$7:A25)+1</f>
        <v>20</v>
      </c>
      <c r="B26" s="769"/>
      <c r="C26" s="965">
        <v>569.29999999999995</v>
      </c>
      <c r="D26" s="769"/>
      <c r="E26" s="1" t="s">
        <v>660</v>
      </c>
      <c r="F26" s="1"/>
      <c r="G26" s="1" t="s">
        <v>1011</v>
      </c>
      <c r="H26" s="769"/>
      <c r="I26" s="966">
        <v>24</v>
      </c>
      <c r="J26" s="769"/>
      <c r="K26" s="967">
        <f>'Attachment H-11A '!$I$205</f>
        <v>0.9580160425044939</v>
      </c>
      <c r="L26" s="769"/>
      <c r="M26" s="892">
        <f t="shared" si="9"/>
        <v>22.992385020107854</v>
      </c>
      <c r="N26" s="783"/>
      <c r="O26" s="966"/>
      <c r="P26" s="769"/>
      <c r="Q26" s="783">
        <f t="shared" si="8"/>
        <v>22.992385020107854</v>
      </c>
      <c r="R26" s="968"/>
      <c r="S26" s="968"/>
      <c r="T26" s="769"/>
      <c r="U26" s="968"/>
      <c r="W26" s="783"/>
      <c r="Y26" s="968"/>
      <c r="AA26" s="783"/>
      <c r="AC26" s="783"/>
      <c r="AE26" s="783"/>
      <c r="AG26" s="783"/>
      <c r="AI26" s="783"/>
      <c r="AK26" s="783"/>
      <c r="AM26" s="783"/>
      <c r="AO26" s="769"/>
      <c r="AQ26" s="769"/>
      <c r="AS26" s="769"/>
      <c r="AT26" s="769"/>
      <c r="AU26" s="820"/>
      <c r="AW26" s="769"/>
      <c r="AY26" s="769"/>
      <c r="BA26" s="769"/>
      <c r="BC26" s="769"/>
    </row>
    <row r="27" spans="1:55" s="703" customFormat="1">
      <c r="A27" s="769">
        <f>MAX($A$7:A26)+1</f>
        <v>21</v>
      </c>
      <c r="B27" s="769"/>
      <c r="C27" s="965">
        <v>569.4</v>
      </c>
      <c r="D27" s="769"/>
      <c r="E27" s="1" t="s">
        <v>661</v>
      </c>
      <c r="F27" s="1"/>
      <c r="G27" s="1" t="s">
        <v>1012</v>
      </c>
      <c r="H27" s="769"/>
      <c r="I27" s="966"/>
      <c r="J27" s="769"/>
      <c r="K27" s="967">
        <f>'Attachment H-11A '!$I$205</f>
        <v>0.9580160425044939</v>
      </c>
      <c r="L27" s="769"/>
      <c r="M27" s="892">
        <f t="shared" si="9"/>
        <v>0</v>
      </c>
      <c r="N27" s="783"/>
      <c r="O27" s="966"/>
      <c r="P27" s="769"/>
      <c r="Q27" s="783">
        <f t="shared" si="8"/>
        <v>0</v>
      </c>
      <c r="R27" s="968"/>
      <c r="S27" s="968"/>
      <c r="T27" s="769"/>
      <c r="U27" s="968"/>
      <c r="W27" s="783"/>
      <c r="Y27" s="968"/>
      <c r="AA27" s="783"/>
      <c r="AC27" s="783"/>
      <c r="AE27" s="783"/>
      <c r="AG27" s="783"/>
      <c r="AI27" s="783"/>
      <c r="AK27" s="783"/>
      <c r="AM27" s="783"/>
      <c r="AO27" s="769"/>
      <c r="AQ27" s="769"/>
      <c r="AS27" s="769"/>
      <c r="AT27" s="769"/>
      <c r="AU27" s="820"/>
      <c r="AW27" s="769"/>
      <c r="AY27" s="769"/>
      <c r="BA27" s="769"/>
      <c r="BC27" s="769"/>
    </row>
    <row r="28" spans="1:55" s="703" customFormat="1">
      <c r="A28" s="769">
        <f>MAX($A$7:A27)+1</f>
        <v>22</v>
      </c>
      <c r="B28" s="769"/>
      <c r="C28" s="965">
        <v>570</v>
      </c>
      <c r="D28" s="769"/>
      <c r="E28" s="1" t="s">
        <v>662</v>
      </c>
      <c r="F28" s="1"/>
      <c r="G28" s="1" t="s">
        <v>1013</v>
      </c>
      <c r="H28" s="769"/>
      <c r="I28" s="966">
        <v>2750351</v>
      </c>
      <c r="J28" s="769"/>
      <c r="K28" s="967">
        <f>'Attachment H-11A '!$I$205</f>
        <v>0.9580160425044939</v>
      </c>
      <c r="L28" s="769"/>
      <c r="M28" s="892">
        <f t="shared" si="9"/>
        <v>2634880.3805182772</v>
      </c>
      <c r="N28" s="783"/>
      <c r="O28" s="966">
        <v>52762</v>
      </c>
      <c r="P28" s="769"/>
      <c r="Q28" s="783">
        <f t="shared" si="8"/>
        <v>2582118.3805182772</v>
      </c>
      <c r="R28" s="968"/>
      <c r="S28" s="968"/>
      <c r="T28" s="769"/>
      <c r="U28" s="968"/>
      <c r="W28" s="783"/>
      <c r="Y28" s="968"/>
      <c r="AA28" s="783"/>
      <c r="AC28" s="783"/>
      <c r="AE28" s="783"/>
      <c r="AG28" s="783"/>
      <c r="AI28" s="783"/>
      <c r="AK28" s="783"/>
      <c r="AM28" s="783"/>
      <c r="AO28" s="769"/>
      <c r="AQ28" s="769"/>
      <c r="AS28" s="769"/>
      <c r="AT28" s="769"/>
      <c r="AU28" s="820"/>
      <c r="AW28" s="769"/>
      <c r="AY28" s="769"/>
      <c r="BA28" s="769"/>
      <c r="BC28" s="769"/>
    </row>
    <row r="29" spans="1:55" s="703" customFormat="1">
      <c r="A29" s="769">
        <f>MAX($A$7:A28)+1</f>
        <v>23</v>
      </c>
      <c r="B29" s="769"/>
      <c r="C29" s="965">
        <v>571</v>
      </c>
      <c r="D29" s="769"/>
      <c r="E29" s="1" t="s">
        <v>663</v>
      </c>
      <c r="F29" s="1"/>
      <c r="G29" s="1" t="s">
        <v>1014</v>
      </c>
      <c r="H29" s="769"/>
      <c r="I29" s="966">
        <v>17984572</v>
      </c>
      <c r="J29" s="769"/>
      <c r="K29" s="967">
        <f>'Attachment H-11A '!$I$205</f>
        <v>0.9580160425044939</v>
      </c>
      <c r="L29" s="769"/>
      <c r="M29" s="892">
        <f t="shared" si="9"/>
        <v>17229508.49357713</v>
      </c>
      <c r="N29" s="783"/>
      <c r="O29" s="966">
        <v>12751864.609999999</v>
      </c>
      <c r="P29" s="769"/>
      <c r="Q29" s="783">
        <f t="shared" si="8"/>
        <v>4477643.8835771307</v>
      </c>
      <c r="R29" s="968"/>
      <c r="S29" s="968"/>
      <c r="T29" s="769"/>
      <c r="U29" s="968"/>
      <c r="W29" s="783"/>
      <c r="Y29" s="968"/>
      <c r="AA29" s="783"/>
      <c r="AC29" s="783"/>
      <c r="AE29" s="783"/>
      <c r="AG29" s="783"/>
      <c r="AI29" s="783"/>
      <c r="AK29" s="783"/>
      <c r="AM29" s="783"/>
      <c r="AO29" s="769"/>
      <c r="AQ29" s="769"/>
      <c r="AS29" s="769"/>
      <c r="AT29" s="769"/>
      <c r="AU29" s="820"/>
      <c r="AW29" s="769"/>
      <c r="AY29" s="769"/>
      <c r="BA29" s="769"/>
      <c r="BC29" s="769"/>
    </row>
    <row r="30" spans="1:55" s="703" customFormat="1">
      <c r="A30" s="769">
        <f>MAX($A$7:A29)+1</f>
        <v>24</v>
      </c>
      <c r="B30" s="769"/>
      <c r="C30" s="965">
        <v>572</v>
      </c>
      <c r="D30" s="769"/>
      <c r="E30" s="1" t="s">
        <v>664</v>
      </c>
      <c r="F30" s="1"/>
      <c r="G30" s="1" t="s">
        <v>1015</v>
      </c>
      <c r="H30" s="769"/>
      <c r="I30" s="966"/>
      <c r="J30" s="769"/>
      <c r="K30" s="967">
        <f>'Attachment H-11A '!$I$205</f>
        <v>0.9580160425044939</v>
      </c>
      <c r="L30" s="769"/>
      <c r="M30" s="892">
        <f t="shared" si="9"/>
        <v>0</v>
      </c>
      <c r="N30" s="783"/>
      <c r="O30" s="966"/>
      <c r="P30" s="769"/>
      <c r="Q30" s="783">
        <f t="shared" si="8"/>
        <v>0</v>
      </c>
      <c r="R30" s="968"/>
      <c r="S30" s="968"/>
      <c r="T30" s="769"/>
      <c r="U30" s="968"/>
      <c r="W30" s="783"/>
      <c r="Y30" s="968"/>
      <c r="AA30" s="783"/>
      <c r="AC30" s="783"/>
      <c r="AE30" s="783"/>
      <c r="AG30" s="783"/>
      <c r="AI30" s="783"/>
      <c r="AK30" s="783"/>
      <c r="AM30" s="783"/>
      <c r="AO30" s="769"/>
      <c r="AQ30" s="769"/>
      <c r="AS30" s="769"/>
      <c r="AT30" s="769"/>
      <c r="AU30" s="820"/>
      <c r="AW30" s="769"/>
      <c r="AY30" s="769"/>
      <c r="BA30" s="769"/>
      <c r="BC30" s="769"/>
    </row>
    <row r="31" spans="1:55" s="703" customFormat="1">
      <c r="A31" s="769">
        <f>MAX($A$7:A30)+1</f>
        <v>25</v>
      </c>
      <c r="B31" s="769"/>
      <c r="C31" s="965">
        <v>573</v>
      </c>
      <c r="D31" s="769"/>
      <c r="E31" s="1" t="s">
        <v>665</v>
      </c>
      <c r="F31" s="1"/>
      <c r="G31" s="1" t="s">
        <v>1016</v>
      </c>
      <c r="H31" s="769"/>
      <c r="I31" s="966">
        <v>8614</v>
      </c>
      <c r="J31" s="769"/>
      <c r="K31" s="967">
        <f>'Attachment H-11A '!$I$205</f>
        <v>0.9580160425044939</v>
      </c>
      <c r="L31" s="769"/>
      <c r="M31" s="970">
        <f t="shared" si="9"/>
        <v>8252.3501901337113</v>
      </c>
      <c r="N31" s="783"/>
      <c r="O31" s="966"/>
      <c r="P31" s="769"/>
      <c r="Q31" s="783">
        <f t="shared" si="8"/>
        <v>8252.3501901337113</v>
      </c>
      <c r="R31" s="968"/>
      <c r="S31" s="968"/>
      <c r="T31" s="769"/>
      <c r="U31" s="968"/>
      <c r="W31" s="783"/>
      <c r="Y31" s="968"/>
      <c r="AA31" s="783"/>
      <c r="AC31" s="783"/>
      <c r="AE31" s="783"/>
      <c r="AG31" s="783"/>
      <c r="AI31" s="783"/>
      <c r="AK31" s="783"/>
      <c r="AM31" s="783"/>
      <c r="AO31" s="769"/>
      <c r="AQ31" s="769"/>
      <c r="AS31" s="769"/>
      <c r="AT31" s="769"/>
      <c r="AU31" s="820"/>
      <c r="AW31" s="769"/>
      <c r="AY31" s="769"/>
      <c r="BA31" s="769"/>
      <c r="BC31" s="769"/>
    </row>
    <row r="32" spans="1:55" s="703" customFormat="1">
      <c r="A32" s="769">
        <f>MAX($A$7:A31)+1</f>
        <v>26</v>
      </c>
      <c r="B32" s="769"/>
      <c r="D32" s="769"/>
      <c r="E32" s="971" t="str">
        <f>"Sum of Lines "&amp;A7&amp;" through "&amp;A31</f>
        <v>Sum of Lines 1 through 25</v>
      </c>
      <c r="F32" s="971"/>
      <c r="G32" s="971"/>
      <c r="H32" s="769"/>
      <c r="I32" s="785">
        <f>SUM(I7:I31)</f>
        <v>141543246</v>
      </c>
      <c r="J32" s="769"/>
      <c r="K32" s="769"/>
      <c r="L32" s="769"/>
      <c r="M32" s="972">
        <f>SUM(M7:M31)</f>
        <v>135600700.37616006</v>
      </c>
      <c r="N32" s="785"/>
      <c r="O32" s="785">
        <f>SUM(O7:O31)</f>
        <v>121021423.50644574</v>
      </c>
      <c r="P32" s="769"/>
      <c r="Q32" s="785">
        <f>SUM(Q7:Q31)</f>
        <v>14579276.869714305</v>
      </c>
      <c r="R32" s="968"/>
      <c r="S32" s="968"/>
      <c r="T32" s="769"/>
      <c r="U32" s="968"/>
      <c r="W32" s="783"/>
      <c r="Y32" s="968"/>
      <c r="AA32" s="783"/>
      <c r="AC32" s="783"/>
      <c r="AE32" s="783"/>
      <c r="AG32" s="783"/>
      <c r="AI32" s="783"/>
      <c r="AK32" s="783"/>
      <c r="AM32" s="783"/>
      <c r="AO32" s="769"/>
      <c r="AQ32" s="769"/>
      <c r="AS32" s="769"/>
      <c r="AT32" s="769"/>
      <c r="AU32" s="820"/>
      <c r="AW32" s="769"/>
      <c r="AY32" s="769"/>
      <c r="BA32" s="769"/>
      <c r="BC32" s="769"/>
    </row>
    <row r="33" spans="1:57" s="703" customFormat="1">
      <c r="A33" s="769"/>
      <c r="B33" s="769"/>
      <c r="C33" s="965"/>
      <c r="D33" s="769"/>
      <c r="E33" s="783"/>
      <c r="F33" s="783"/>
      <c r="G33" s="783"/>
      <c r="H33" s="769"/>
      <c r="I33" s="783"/>
      <c r="J33" s="769"/>
      <c r="K33" s="769"/>
      <c r="L33" s="769"/>
      <c r="M33" s="769"/>
      <c r="N33" s="769"/>
      <c r="O33" s="769"/>
      <c r="P33" s="769"/>
      <c r="Q33" s="769"/>
      <c r="R33" s="769"/>
      <c r="S33" s="769"/>
      <c r="T33" s="769"/>
      <c r="U33" s="783"/>
      <c r="V33" s="783"/>
      <c r="W33" s="783"/>
      <c r="X33" s="769"/>
      <c r="Y33" s="783"/>
      <c r="AA33" s="783"/>
      <c r="AC33" s="783"/>
      <c r="AE33" s="783"/>
      <c r="AG33" s="783"/>
      <c r="AI33" s="783"/>
      <c r="AK33" s="783"/>
      <c r="AM33" s="783"/>
      <c r="AO33" s="783"/>
      <c r="AQ33" s="769"/>
      <c r="AS33" s="769"/>
      <c r="AU33" s="769"/>
      <c r="AV33" s="769"/>
      <c r="AW33" s="820"/>
      <c r="AY33" s="769"/>
      <c r="BA33" s="769"/>
      <c r="BC33" s="769"/>
      <c r="BE33" s="769"/>
    </row>
    <row r="34" spans="1:57" s="703" customFormat="1">
      <c r="A34" s="769"/>
      <c r="B34" s="769"/>
      <c r="C34" s="965"/>
      <c r="D34" s="769"/>
      <c r="E34" s="783"/>
      <c r="F34" s="783"/>
      <c r="G34" s="783"/>
      <c r="H34" s="769"/>
      <c r="I34" s="973"/>
      <c r="J34" s="769"/>
      <c r="K34" s="974"/>
      <c r="L34" s="974"/>
      <c r="M34" s="974"/>
      <c r="N34" s="769"/>
      <c r="O34" s="769"/>
      <c r="P34" s="769"/>
      <c r="Q34" s="769"/>
      <c r="R34" s="769"/>
      <c r="S34" s="769"/>
      <c r="T34" s="769"/>
      <c r="U34" s="783"/>
      <c r="V34" s="783"/>
      <c r="W34" s="783"/>
      <c r="X34" s="769"/>
      <c r="Y34" s="783"/>
      <c r="AA34" s="783"/>
      <c r="AC34" s="783"/>
      <c r="AE34" s="783"/>
      <c r="AG34" s="783"/>
      <c r="AI34" s="783"/>
      <c r="AK34" s="783"/>
      <c r="AM34" s="783"/>
      <c r="AO34" s="783"/>
      <c r="AQ34" s="769"/>
      <c r="AS34" s="769"/>
      <c r="AU34" s="769"/>
      <c r="AV34" s="769"/>
      <c r="AW34" s="820"/>
      <c r="AY34" s="769"/>
      <c r="BA34" s="769"/>
      <c r="BC34" s="769"/>
      <c r="BE34" s="769"/>
    </row>
    <row r="35" spans="1:57" s="703" customFormat="1">
      <c r="A35" s="769"/>
      <c r="B35" s="769"/>
      <c r="C35" s="965"/>
      <c r="D35" s="769"/>
      <c r="E35" s="783"/>
      <c r="F35" s="783"/>
      <c r="G35" s="783"/>
      <c r="H35" s="769"/>
      <c r="I35" s="783"/>
      <c r="J35" s="769"/>
      <c r="K35" s="769"/>
      <c r="L35" s="769"/>
      <c r="M35" s="769"/>
      <c r="N35" s="769"/>
      <c r="O35" s="769"/>
      <c r="P35" s="769"/>
      <c r="Q35" s="769"/>
      <c r="R35" s="769"/>
      <c r="S35" s="769"/>
      <c r="T35" s="769"/>
      <c r="U35" s="783"/>
      <c r="V35" s="783"/>
      <c r="W35" s="783"/>
      <c r="X35" s="769"/>
      <c r="Y35" s="783"/>
      <c r="AA35" s="783"/>
      <c r="AC35" s="783"/>
      <c r="AE35" s="783"/>
      <c r="AG35" s="783"/>
      <c r="AI35" s="783"/>
      <c r="AK35" s="783"/>
      <c r="AM35" s="783"/>
      <c r="AO35" s="783"/>
      <c r="AQ35" s="769"/>
      <c r="AS35" s="769"/>
      <c r="AU35" s="769"/>
      <c r="AV35" s="769"/>
      <c r="AW35" s="820"/>
      <c r="AY35" s="769"/>
      <c r="BA35" s="769"/>
      <c r="BC35" s="769"/>
      <c r="BE35" s="769"/>
    </row>
    <row r="36" spans="1:57" s="703" customFormat="1">
      <c r="A36" s="769"/>
      <c r="B36" s="769"/>
      <c r="C36" s="965"/>
      <c r="D36" s="769"/>
      <c r="E36" s="783"/>
      <c r="F36" s="783"/>
      <c r="G36" s="783"/>
      <c r="H36" s="769"/>
      <c r="I36" s="989"/>
      <c r="J36" s="769"/>
      <c r="K36" s="769"/>
      <c r="L36" s="769"/>
      <c r="M36" s="769"/>
      <c r="N36" s="769"/>
      <c r="O36" s="769"/>
      <c r="P36" s="769"/>
      <c r="Q36" s="769"/>
      <c r="R36" s="769"/>
      <c r="S36" s="769"/>
      <c r="T36" s="769"/>
      <c r="U36" s="783"/>
      <c r="V36" s="783"/>
      <c r="W36" s="783"/>
      <c r="X36" s="769"/>
      <c r="Y36" s="783"/>
      <c r="AA36" s="783"/>
      <c r="AC36" s="783"/>
      <c r="AE36" s="783"/>
      <c r="AG36" s="783"/>
      <c r="AI36" s="783"/>
      <c r="AK36" s="783"/>
      <c r="AM36" s="783"/>
      <c r="AO36" s="783"/>
      <c r="AQ36" s="769"/>
      <c r="AS36" s="769"/>
      <c r="AU36" s="769"/>
      <c r="AV36" s="769"/>
      <c r="AW36" s="820"/>
      <c r="AY36" s="769"/>
      <c r="BA36" s="769"/>
      <c r="BC36" s="769"/>
      <c r="BE36" s="769"/>
    </row>
    <row r="37" spans="1:57" s="703" customFormat="1" ht="46.15" customHeight="1">
      <c r="A37" s="771" t="s">
        <v>5</v>
      </c>
      <c r="B37" s="778"/>
      <c r="C37" s="771" t="s">
        <v>984</v>
      </c>
      <c r="D37" s="778"/>
      <c r="E37" s="975" t="s">
        <v>985</v>
      </c>
      <c r="F37" s="976"/>
      <c r="G37" s="960" t="s">
        <v>986</v>
      </c>
      <c r="H37" s="778"/>
      <c r="I37" s="960" t="s">
        <v>987</v>
      </c>
      <c r="J37" s="959" t="s">
        <v>691</v>
      </c>
      <c r="K37" s="961" t="s">
        <v>1042</v>
      </c>
      <c r="L37" s="961" t="s">
        <v>691</v>
      </c>
      <c r="M37" s="961" t="s">
        <v>1228</v>
      </c>
      <c r="N37" s="961" t="s">
        <v>78</v>
      </c>
      <c r="O37" s="961" t="s">
        <v>1037</v>
      </c>
      <c r="P37" s="778" t="s">
        <v>988</v>
      </c>
      <c r="Q37" s="960" t="s">
        <v>10</v>
      </c>
      <c r="R37" s="961" t="s">
        <v>78</v>
      </c>
      <c r="S37" s="960" t="s">
        <v>1038</v>
      </c>
      <c r="T37" s="960" t="s">
        <v>691</v>
      </c>
      <c r="U37" s="960" t="s">
        <v>1040</v>
      </c>
      <c r="V37" s="959" t="s">
        <v>78</v>
      </c>
      <c r="W37" s="960" t="s">
        <v>991</v>
      </c>
      <c r="Y37" s="783"/>
      <c r="AA37" s="783"/>
      <c r="AC37" s="783"/>
      <c r="AE37" s="783"/>
      <c r="AG37" s="783"/>
      <c r="AI37" s="783"/>
      <c r="AK37" s="783"/>
      <c r="AM37" s="783"/>
      <c r="AO37" s="769"/>
      <c r="AQ37" s="769"/>
      <c r="AS37" s="769"/>
      <c r="AT37" s="769"/>
      <c r="AU37" s="820"/>
      <c r="AW37" s="769"/>
      <c r="AY37" s="769"/>
      <c r="BA37" s="769"/>
      <c r="BC37" s="769"/>
    </row>
    <row r="38" spans="1:57" s="703" customFormat="1">
      <c r="A38" s="769">
        <f>MAX($A$7:A33)+1</f>
        <v>27</v>
      </c>
      <c r="B38" s="769"/>
      <c r="C38" s="965">
        <v>920</v>
      </c>
      <c r="D38" s="769"/>
      <c r="E38" s="1" t="s">
        <v>666</v>
      </c>
      <c r="F38" s="1"/>
      <c r="G38" s="1" t="s">
        <v>1017</v>
      </c>
      <c r="H38" s="769"/>
      <c r="I38" s="966">
        <v>27658806</v>
      </c>
      <c r="J38" s="769"/>
      <c r="K38" s="966"/>
      <c r="L38" s="966"/>
      <c r="M38" s="966"/>
      <c r="N38" s="769"/>
      <c r="O38" s="972">
        <f t="shared" ref="O38:O51" si="10">I38-K38-M38</f>
        <v>27658806</v>
      </c>
      <c r="P38" s="972"/>
      <c r="Q38" s="977">
        <f>'Attachment H-11A '!$I$213</f>
        <v>3.3119630600369813E-2</v>
      </c>
      <c r="R38" s="977"/>
      <c r="S38" s="892">
        <f t="shared" ref="S38:S51" si="11">O38*Q38</f>
        <v>916049.43756729225</v>
      </c>
      <c r="T38" s="783"/>
      <c r="U38" s="966">
        <v>479.60537072395528</v>
      </c>
      <c r="V38" s="769"/>
      <c r="W38" s="783">
        <f t="shared" ref="W38:W51" si="12">S38-U38+M38</f>
        <v>915569.83219656826</v>
      </c>
      <c r="Y38" s="783"/>
      <c r="AA38" s="783"/>
      <c r="AC38" s="783"/>
      <c r="AE38" s="783"/>
      <c r="AG38" s="783"/>
      <c r="AI38" s="783"/>
      <c r="AK38" s="783"/>
      <c r="AM38" s="783"/>
      <c r="AO38" s="769"/>
      <c r="AQ38" s="769"/>
      <c r="AS38" s="769"/>
      <c r="AT38" s="769"/>
      <c r="AU38" s="820"/>
      <c r="AW38" s="769"/>
      <c r="AY38" s="769"/>
      <c r="BA38" s="769"/>
      <c r="BC38" s="769"/>
    </row>
    <row r="39" spans="1:57" s="703" customFormat="1">
      <c r="A39" s="769">
        <f>MAX($A$7:A38)+1</f>
        <v>28</v>
      </c>
      <c r="B39" s="769"/>
      <c r="C39" s="965">
        <v>921</v>
      </c>
      <c r="D39" s="769"/>
      <c r="E39" s="1" t="s">
        <v>667</v>
      </c>
      <c r="F39" s="1"/>
      <c r="G39" s="1" t="s">
        <v>1018</v>
      </c>
      <c r="H39" s="769"/>
      <c r="I39" s="966">
        <v>1046500</v>
      </c>
      <c r="J39" s="769"/>
      <c r="K39" s="966"/>
      <c r="L39" s="966"/>
      <c r="M39" s="966"/>
      <c r="N39" s="769"/>
      <c r="O39" s="972">
        <f t="shared" si="10"/>
        <v>1046500</v>
      </c>
      <c r="P39" s="972"/>
      <c r="Q39" s="977">
        <f>'Attachment H-11A '!$I$213</f>
        <v>3.3119630600369813E-2</v>
      </c>
      <c r="R39" s="977"/>
      <c r="S39" s="892">
        <f t="shared" si="11"/>
        <v>34659.693423287012</v>
      </c>
      <c r="T39" s="783"/>
      <c r="U39" s="966">
        <v>1447.957130217568</v>
      </c>
      <c r="V39" s="769"/>
      <c r="W39" s="783">
        <f t="shared" si="12"/>
        <v>33211.736293069443</v>
      </c>
      <c r="Y39" s="783"/>
      <c r="AA39" s="783"/>
      <c r="AC39" s="783"/>
      <c r="AE39" s="783"/>
      <c r="AG39" s="783"/>
      <c r="AI39" s="783"/>
      <c r="AK39" s="783"/>
      <c r="AM39" s="783"/>
      <c r="AO39" s="769"/>
      <c r="AQ39" s="769"/>
      <c r="AS39" s="769"/>
      <c r="AT39" s="769"/>
      <c r="AU39" s="820"/>
      <c r="AW39" s="769"/>
      <c r="AY39" s="769"/>
      <c r="BA39" s="769"/>
      <c r="BC39" s="769"/>
    </row>
    <row r="40" spans="1:57" s="703" customFormat="1">
      <c r="A40" s="769">
        <f>MAX($A$7:A39)+1</f>
        <v>29</v>
      </c>
      <c r="B40" s="769"/>
      <c r="C40" s="965" t="s">
        <v>668</v>
      </c>
      <c r="D40" s="769"/>
      <c r="E40" s="1" t="s">
        <v>669</v>
      </c>
      <c r="F40" s="1"/>
      <c r="G40" s="1" t="s">
        <v>1019</v>
      </c>
      <c r="H40" s="769"/>
      <c r="I40" s="966">
        <v>-6608795</v>
      </c>
      <c r="J40" s="769"/>
      <c r="K40" s="966"/>
      <c r="L40" s="966"/>
      <c r="M40" s="966"/>
      <c r="N40" s="769"/>
      <c r="O40" s="972">
        <f t="shared" si="10"/>
        <v>-6608795</v>
      </c>
      <c r="P40" s="972"/>
      <c r="Q40" s="977">
        <f>'Attachment H-11A '!$I$213</f>
        <v>3.3119630600369813E-2</v>
      </c>
      <c r="R40" s="977"/>
      <c r="S40" s="892">
        <f t="shared" si="11"/>
        <v>-218880.84911357102</v>
      </c>
      <c r="T40" s="783"/>
      <c r="U40" s="966"/>
      <c r="V40" s="769"/>
      <c r="W40" s="783">
        <f t="shared" si="12"/>
        <v>-218880.84911357102</v>
      </c>
      <c r="Y40" s="783"/>
      <c r="AA40" s="783"/>
      <c r="AC40" s="783"/>
      <c r="AE40" s="783"/>
      <c r="AG40" s="783"/>
      <c r="AI40" s="783"/>
      <c r="AK40" s="783"/>
      <c r="AM40" s="783"/>
      <c r="AO40" s="769"/>
      <c r="AQ40" s="769"/>
      <c r="AS40" s="769"/>
      <c r="AT40" s="769"/>
      <c r="AU40" s="820"/>
      <c r="AW40" s="769"/>
      <c r="AY40" s="769"/>
      <c r="BA40" s="769"/>
      <c r="BC40" s="769"/>
    </row>
    <row r="41" spans="1:57" s="703" customFormat="1">
      <c r="A41" s="769">
        <f>MAX($A$7:A40)+1</f>
        <v>30</v>
      </c>
      <c r="B41" s="769"/>
      <c r="C41" s="965">
        <v>923</v>
      </c>
      <c r="D41" s="769"/>
      <c r="E41" s="1" t="s">
        <v>670</v>
      </c>
      <c r="F41" s="1"/>
      <c r="G41" s="1" t="s">
        <v>1020</v>
      </c>
      <c r="H41" s="769"/>
      <c r="I41" s="966">
        <v>22901866</v>
      </c>
      <c r="J41" s="769"/>
      <c r="K41" s="966"/>
      <c r="L41" s="966"/>
      <c r="M41" s="966"/>
      <c r="N41" s="769"/>
      <c r="O41" s="972">
        <f t="shared" si="10"/>
        <v>22901866</v>
      </c>
      <c r="P41" s="972"/>
      <c r="Q41" s="977">
        <f>'Attachment H-11A '!$I$213</f>
        <v>3.3119630600369813E-2</v>
      </c>
      <c r="R41" s="977"/>
      <c r="S41" s="892">
        <f t="shared" si="11"/>
        <v>758501.34197916905</v>
      </c>
      <c r="T41" s="783"/>
      <c r="U41" s="966">
        <v>110584.32691827639</v>
      </c>
      <c r="V41" s="769"/>
      <c r="W41" s="783">
        <f t="shared" si="12"/>
        <v>647917.01506089268</v>
      </c>
      <c r="Y41" s="783"/>
      <c r="AA41" s="783"/>
      <c r="AC41" s="783"/>
      <c r="AE41" s="783"/>
      <c r="AG41" s="783"/>
      <c r="AI41" s="783"/>
      <c r="AK41" s="783"/>
      <c r="AM41" s="783"/>
      <c r="AO41" s="769"/>
      <c r="AQ41" s="769"/>
      <c r="AS41" s="769"/>
      <c r="AT41" s="769"/>
      <c r="AU41" s="820"/>
      <c r="AW41" s="769"/>
      <c r="AY41" s="769"/>
      <c r="BA41" s="769"/>
      <c r="BC41" s="769"/>
    </row>
    <row r="42" spans="1:57" s="703" customFormat="1" ht="15.6" customHeight="1">
      <c r="A42" s="769">
        <f>MAX($A$7:A41)+1</f>
        <v>31</v>
      </c>
      <c r="B42" s="769"/>
      <c r="C42" s="965">
        <v>924</v>
      </c>
      <c r="D42" s="769"/>
      <c r="E42" s="1" t="s">
        <v>671</v>
      </c>
      <c r="F42" s="1"/>
      <c r="G42" s="1" t="s">
        <v>1021</v>
      </c>
      <c r="H42" s="769"/>
      <c r="I42" s="966">
        <v>319221</v>
      </c>
      <c r="J42" s="769"/>
      <c r="K42" s="966"/>
      <c r="L42" s="966"/>
      <c r="M42" s="966"/>
      <c r="N42" s="769"/>
      <c r="O42" s="972">
        <f t="shared" si="10"/>
        <v>319221</v>
      </c>
      <c r="P42" s="972"/>
      <c r="Q42" s="977">
        <f>'Attachment H-11A '!$I$213</f>
        <v>3.3119630600369813E-2</v>
      </c>
      <c r="R42" s="977"/>
      <c r="S42" s="892">
        <f t="shared" si="11"/>
        <v>10572.481599880652</v>
      </c>
      <c r="T42" s="783"/>
      <c r="U42" s="966"/>
      <c r="V42" s="769"/>
      <c r="W42" s="783">
        <f t="shared" si="12"/>
        <v>10572.481599880652</v>
      </c>
      <c r="X42" s="978"/>
      <c r="Y42" s="783"/>
      <c r="AA42" s="783"/>
      <c r="AC42" s="783"/>
      <c r="AE42" s="783"/>
      <c r="AG42" s="783"/>
      <c r="AI42" s="783"/>
      <c r="AK42" s="783"/>
      <c r="AM42" s="783"/>
      <c r="AO42" s="769"/>
      <c r="AQ42" s="769"/>
      <c r="AS42" s="769"/>
      <c r="AT42" s="769"/>
      <c r="AU42" s="820"/>
      <c r="AW42" s="769"/>
      <c r="AY42" s="769"/>
      <c r="BA42" s="769"/>
      <c r="BC42" s="769"/>
    </row>
    <row r="43" spans="1:57" s="703" customFormat="1">
      <c r="A43" s="769">
        <f>MAX($A$7:A42)+1</f>
        <v>32</v>
      </c>
      <c r="B43" s="769"/>
      <c r="C43" s="965">
        <v>925</v>
      </c>
      <c r="D43" s="769"/>
      <c r="E43" s="1" t="s">
        <v>672</v>
      </c>
      <c r="F43" s="1"/>
      <c r="G43" s="1" t="s">
        <v>1022</v>
      </c>
      <c r="H43" s="769"/>
      <c r="I43" s="966">
        <v>3391299</v>
      </c>
      <c r="J43" s="769"/>
      <c r="K43" s="966"/>
      <c r="L43" s="966"/>
      <c r="M43" s="966"/>
      <c r="N43" s="769"/>
      <c r="O43" s="972">
        <f t="shared" si="10"/>
        <v>3391299</v>
      </c>
      <c r="P43" s="972"/>
      <c r="Q43" s="977">
        <f>'Attachment H-11A '!$I$213</f>
        <v>3.3119630600369813E-2</v>
      </c>
      <c r="R43" s="977"/>
      <c r="S43" s="892">
        <f t="shared" si="11"/>
        <v>112318.57013540354</v>
      </c>
      <c r="T43" s="783"/>
      <c r="U43" s="966"/>
      <c r="V43" s="769"/>
      <c r="W43" s="783">
        <f t="shared" si="12"/>
        <v>112318.57013540354</v>
      </c>
      <c r="Y43" s="783"/>
      <c r="AA43" s="783"/>
      <c r="AC43" s="783"/>
      <c r="AE43" s="783"/>
      <c r="AG43" s="783"/>
      <c r="AI43" s="783"/>
      <c r="AK43" s="783"/>
      <c r="AM43" s="783"/>
      <c r="AO43" s="769"/>
      <c r="AQ43" s="769"/>
      <c r="AS43" s="769"/>
      <c r="AT43" s="769"/>
      <c r="AU43" s="820"/>
      <c r="AW43" s="769"/>
      <c r="AY43" s="769"/>
      <c r="BA43" s="769"/>
      <c r="BC43" s="769"/>
    </row>
    <row r="44" spans="1:57" s="703" customFormat="1">
      <c r="A44" s="769">
        <f>MAX($A$7:A43)+1</f>
        <v>33</v>
      </c>
      <c r="B44" s="769"/>
      <c r="C44" s="965">
        <v>926</v>
      </c>
      <c r="D44" s="769"/>
      <c r="E44" s="1" t="s">
        <v>673</v>
      </c>
      <c r="F44" s="1"/>
      <c r="G44" s="1" t="s">
        <v>1023</v>
      </c>
      <c r="H44" s="769"/>
      <c r="I44" s="966">
        <v>21351387</v>
      </c>
      <c r="J44" s="769"/>
      <c r="K44" s="966"/>
      <c r="L44" s="966"/>
      <c r="M44" s="966"/>
      <c r="N44" s="769"/>
      <c r="O44" s="972">
        <f>I44-K44-M44</f>
        <v>21351387</v>
      </c>
      <c r="P44" s="972"/>
      <c r="Q44" s="977">
        <f>'Attachment H-11A '!$I$213</f>
        <v>3.3119630600369813E-2</v>
      </c>
      <c r="R44" s="977"/>
      <c r="S44" s="892">
        <f>O44*Q44</f>
        <v>707150.05024553824</v>
      </c>
      <c r="T44" s="783"/>
      <c r="U44" s="966">
        <v>-16409.584655781629</v>
      </c>
      <c r="V44" s="769"/>
      <c r="W44" s="783">
        <f>S44-U44+M44</f>
        <v>723559.63490131986</v>
      </c>
      <c r="Y44" s="783"/>
      <c r="AA44" s="783"/>
      <c r="AC44" s="783"/>
      <c r="AE44" s="783"/>
      <c r="AG44" s="783"/>
      <c r="AI44" s="783"/>
      <c r="AK44" s="783"/>
      <c r="AM44" s="783"/>
      <c r="AO44" s="769"/>
      <c r="AQ44" s="769"/>
      <c r="AS44" s="769"/>
      <c r="AT44" s="769"/>
      <c r="AU44" s="820"/>
      <c r="AW44" s="769"/>
      <c r="AY44" s="769"/>
      <c r="BA44" s="769"/>
      <c r="BC44" s="769"/>
    </row>
    <row r="45" spans="1:57" s="703" customFormat="1">
      <c r="A45" s="769">
        <f>MAX($A$7:A44)+1</f>
        <v>34</v>
      </c>
      <c r="B45" s="769"/>
      <c r="C45" s="965">
        <v>927</v>
      </c>
      <c r="D45" s="769"/>
      <c r="E45" s="1" t="s">
        <v>674</v>
      </c>
      <c r="F45" s="1"/>
      <c r="G45" s="1" t="s">
        <v>1024</v>
      </c>
      <c r="H45" s="769"/>
      <c r="I45" s="966"/>
      <c r="J45" s="769"/>
      <c r="K45" s="966"/>
      <c r="L45" s="966"/>
      <c r="M45" s="966"/>
      <c r="N45" s="769"/>
      <c r="O45" s="972">
        <f t="shared" si="10"/>
        <v>0</v>
      </c>
      <c r="P45" s="972"/>
      <c r="Q45" s="977">
        <f>'Attachment H-11A '!$I$213</f>
        <v>3.3119630600369813E-2</v>
      </c>
      <c r="R45" s="977"/>
      <c r="S45" s="892">
        <f t="shared" si="11"/>
        <v>0</v>
      </c>
      <c r="T45" s="783"/>
      <c r="U45" s="966"/>
      <c r="V45" s="769"/>
      <c r="W45" s="783">
        <f t="shared" si="12"/>
        <v>0</v>
      </c>
      <c r="Y45" s="783"/>
      <c r="AA45" s="783"/>
      <c r="AC45" s="783"/>
      <c r="AE45" s="783"/>
      <c r="AG45" s="783"/>
      <c r="AI45" s="783"/>
      <c r="AK45" s="783"/>
      <c r="AM45" s="783"/>
      <c r="AO45" s="769"/>
      <c r="AQ45" s="769"/>
      <c r="AS45" s="769"/>
      <c r="AT45" s="769"/>
      <c r="AU45" s="820"/>
      <c r="AW45" s="769"/>
      <c r="AY45" s="769"/>
      <c r="BA45" s="769"/>
      <c r="BC45" s="769"/>
    </row>
    <row r="46" spans="1:57" s="703" customFormat="1">
      <c r="A46" s="769">
        <f>MAX($A$7:A45)+1</f>
        <v>35</v>
      </c>
      <c r="B46" s="769"/>
      <c r="C46" s="965">
        <v>928</v>
      </c>
      <c r="D46" s="769"/>
      <c r="E46" s="1" t="s">
        <v>675</v>
      </c>
      <c r="F46" s="1"/>
      <c r="G46" s="1" t="s">
        <v>1025</v>
      </c>
      <c r="H46" s="769"/>
      <c r="I46" s="966">
        <v>2154943</v>
      </c>
      <c r="J46" s="769"/>
      <c r="K46" s="966">
        <f>I46</f>
        <v>2154943</v>
      </c>
      <c r="L46" s="966"/>
      <c r="M46" s="966"/>
      <c r="N46" s="769"/>
      <c r="O46" s="972">
        <f t="shared" si="10"/>
        <v>0</v>
      </c>
      <c r="P46" s="972"/>
      <c r="Q46" s="977">
        <v>1</v>
      </c>
      <c r="R46" s="977"/>
      <c r="S46" s="892">
        <f t="shared" si="11"/>
        <v>0</v>
      </c>
      <c r="T46" s="783"/>
      <c r="U46" s="966"/>
      <c r="V46" s="769"/>
      <c r="W46" s="783">
        <f t="shared" si="12"/>
        <v>0</v>
      </c>
      <c r="Y46" s="783"/>
      <c r="AA46" s="783"/>
      <c r="AC46" s="783"/>
      <c r="AE46" s="783"/>
      <c r="AG46" s="783"/>
      <c r="AI46" s="783"/>
      <c r="AK46" s="783"/>
      <c r="AM46" s="783"/>
      <c r="AO46" s="769"/>
      <c r="AQ46" s="769"/>
      <c r="AS46" s="769"/>
      <c r="AT46" s="769"/>
      <c r="AU46" s="820"/>
      <c r="AW46" s="769"/>
      <c r="AY46" s="769"/>
      <c r="BA46" s="769"/>
      <c r="BC46" s="769"/>
    </row>
    <row r="47" spans="1:57" s="703" customFormat="1">
      <c r="A47" s="769">
        <f>MAX($A$7:A46)+1</f>
        <v>36</v>
      </c>
      <c r="B47" s="769"/>
      <c r="C47" s="965" t="s">
        <v>676</v>
      </c>
      <c r="D47" s="769"/>
      <c r="E47" s="1" t="s">
        <v>677</v>
      </c>
      <c r="F47" s="1"/>
      <c r="G47" s="1" t="s">
        <v>1026</v>
      </c>
      <c r="H47" s="769"/>
      <c r="I47" s="966"/>
      <c r="J47" s="769"/>
      <c r="K47" s="966"/>
      <c r="L47" s="966"/>
      <c r="M47" s="966"/>
      <c r="N47" s="769"/>
      <c r="O47" s="972">
        <f t="shared" si="10"/>
        <v>0</v>
      </c>
      <c r="P47" s="972"/>
      <c r="Q47" s="977">
        <f>'Attachment H-11A '!$I$213</f>
        <v>3.3119630600369813E-2</v>
      </c>
      <c r="R47" s="977"/>
      <c r="S47" s="892">
        <f t="shared" si="11"/>
        <v>0</v>
      </c>
      <c r="T47" s="783"/>
      <c r="U47" s="966"/>
      <c r="V47" s="769"/>
      <c r="W47" s="783">
        <f t="shared" si="12"/>
        <v>0</v>
      </c>
      <c r="Y47" s="783"/>
      <c r="AA47" s="783"/>
      <c r="AC47" s="783"/>
      <c r="AE47" s="783"/>
      <c r="AG47" s="783"/>
      <c r="AI47" s="783"/>
      <c r="AK47" s="783"/>
      <c r="AM47" s="783"/>
      <c r="AO47" s="769"/>
      <c r="AQ47" s="769"/>
      <c r="AS47" s="769"/>
      <c r="AT47" s="769"/>
      <c r="AU47" s="820"/>
      <c r="AW47" s="769"/>
      <c r="AY47" s="769"/>
      <c r="BA47" s="769"/>
      <c r="BC47" s="769"/>
    </row>
    <row r="48" spans="1:57" s="703" customFormat="1" ht="18.75" customHeight="1">
      <c r="A48" s="769">
        <f>MAX($A$7:A47)+1</f>
        <v>37</v>
      </c>
      <c r="B48" s="769"/>
      <c r="C48" s="965">
        <v>930.1</v>
      </c>
      <c r="D48" s="769"/>
      <c r="E48" s="1" t="s">
        <v>678</v>
      </c>
      <c r="F48" s="1"/>
      <c r="G48" s="1" t="s">
        <v>1027</v>
      </c>
      <c r="H48" s="769"/>
      <c r="I48" s="966">
        <v>39082</v>
      </c>
      <c r="J48" s="769"/>
      <c r="K48" s="966"/>
      <c r="L48" s="966"/>
      <c r="M48" s="966"/>
      <c r="N48" s="769"/>
      <c r="O48" s="972">
        <f t="shared" si="10"/>
        <v>39082</v>
      </c>
      <c r="P48" s="972"/>
      <c r="Q48" s="977">
        <f>'Attachment H-11A '!$I$213</f>
        <v>3.3119630600369813E-2</v>
      </c>
      <c r="R48" s="977"/>
      <c r="S48" s="892">
        <f t="shared" si="11"/>
        <v>1294.3814031236529</v>
      </c>
      <c r="T48" s="783"/>
      <c r="U48" s="966">
        <v>1294.3814031236529</v>
      </c>
      <c r="V48" s="769"/>
      <c r="W48" s="783">
        <f t="shared" si="12"/>
        <v>0</v>
      </c>
      <c r="Y48" s="783"/>
      <c r="AA48" s="783"/>
      <c r="AC48" s="783"/>
      <c r="AE48" s="783"/>
      <c r="AG48" s="783"/>
      <c r="AI48" s="783"/>
      <c r="AK48" s="783"/>
      <c r="AM48" s="783"/>
      <c r="AO48" s="769"/>
      <c r="AQ48" s="769"/>
      <c r="AS48" s="769"/>
      <c r="AT48" s="769"/>
      <c r="AU48" s="820"/>
      <c r="AW48" s="769"/>
      <c r="AY48" s="769"/>
      <c r="BA48" s="769"/>
      <c r="BC48" s="769"/>
    </row>
    <row r="49" spans="1:55" s="703" customFormat="1">
      <c r="A49" s="769">
        <f>MAX($A$7:A48)+1</f>
        <v>38</v>
      </c>
      <c r="B49" s="769"/>
      <c r="C49" s="965">
        <v>930.2</v>
      </c>
      <c r="D49" s="769"/>
      <c r="E49" s="1" t="s">
        <v>679</v>
      </c>
      <c r="F49" s="1"/>
      <c r="G49" s="1" t="s">
        <v>1028</v>
      </c>
      <c r="H49" s="769"/>
      <c r="I49" s="966">
        <v>757926</v>
      </c>
      <c r="J49" s="769"/>
      <c r="K49" s="966"/>
      <c r="L49" s="966"/>
      <c r="M49" s="966"/>
      <c r="N49" s="769"/>
      <c r="O49" s="972">
        <f t="shared" si="10"/>
        <v>757926</v>
      </c>
      <c r="P49" s="972"/>
      <c r="Q49" s="977">
        <f>'Attachment H-11A '!$I$213</f>
        <v>3.3119630600369813E-2</v>
      </c>
      <c r="R49" s="977"/>
      <c r="S49" s="892">
        <f t="shared" si="11"/>
        <v>25102.22914241589</v>
      </c>
      <c r="T49" s="783"/>
      <c r="U49" s="966">
        <v>-47502.453500028307</v>
      </c>
      <c r="V49" s="769"/>
      <c r="W49" s="783">
        <f t="shared" si="12"/>
        <v>72604.682642444197</v>
      </c>
      <c r="Y49" s="783"/>
      <c r="AA49" s="783"/>
      <c r="AC49" s="783"/>
      <c r="AE49" s="783"/>
      <c r="AG49" s="783"/>
      <c r="AI49" s="783"/>
      <c r="AK49" s="783"/>
      <c r="AM49" s="783"/>
      <c r="AO49" s="769"/>
      <c r="AQ49" s="769"/>
      <c r="AS49" s="769"/>
      <c r="AT49" s="769"/>
      <c r="AU49" s="820"/>
      <c r="AW49" s="769"/>
      <c r="AY49" s="769"/>
      <c r="BA49" s="769"/>
      <c r="BC49" s="769"/>
    </row>
    <row r="50" spans="1:55" s="703" customFormat="1">
      <c r="A50" s="769">
        <f>MAX($A$7:A49)+1</f>
        <v>39</v>
      </c>
      <c r="B50" s="769"/>
      <c r="C50" s="965">
        <v>931</v>
      </c>
      <c r="D50" s="769"/>
      <c r="E50" s="1" t="s">
        <v>655</v>
      </c>
      <c r="F50" s="1"/>
      <c r="G50" s="1" t="s">
        <v>1029</v>
      </c>
      <c r="H50" s="769"/>
      <c r="I50" s="966">
        <v>1424444</v>
      </c>
      <c r="J50" s="769"/>
      <c r="K50" s="966"/>
      <c r="L50" s="966"/>
      <c r="M50" s="966"/>
      <c r="N50" s="769"/>
      <c r="O50" s="972">
        <f t="shared" si="10"/>
        <v>1424444</v>
      </c>
      <c r="P50" s="972"/>
      <c r="Q50" s="977">
        <f>'Attachment H-11A '!$I$213</f>
        <v>3.3119630600369813E-2</v>
      </c>
      <c r="R50" s="977"/>
      <c r="S50" s="892">
        <f t="shared" si="11"/>
        <v>47177.059090913179</v>
      </c>
      <c r="T50" s="783"/>
      <c r="U50" s="966"/>
      <c r="V50" s="769"/>
      <c r="W50" s="783">
        <f t="shared" si="12"/>
        <v>47177.059090913179</v>
      </c>
      <c r="Y50" s="783"/>
      <c r="AA50" s="783"/>
      <c r="AC50" s="783"/>
      <c r="AE50" s="783"/>
      <c r="AG50" s="783"/>
      <c r="AI50" s="783"/>
      <c r="AK50" s="783"/>
      <c r="AM50" s="783"/>
      <c r="AO50" s="769"/>
      <c r="AQ50" s="769"/>
      <c r="AS50" s="769"/>
      <c r="AT50" s="769"/>
      <c r="AU50" s="820"/>
      <c r="AW50" s="769"/>
      <c r="AY50" s="769"/>
      <c r="BA50" s="769"/>
      <c r="BC50" s="769"/>
    </row>
    <row r="51" spans="1:55" s="703" customFormat="1">
      <c r="A51" s="769">
        <f>MAX($A$7:A50)+1</f>
        <v>40</v>
      </c>
      <c r="B51" s="769"/>
      <c r="C51" s="965">
        <v>935</v>
      </c>
      <c r="D51" s="769"/>
      <c r="E51" s="1" t="s">
        <v>680</v>
      </c>
      <c r="F51" s="1"/>
      <c r="G51" s="1" t="s">
        <v>1030</v>
      </c>
      <c r="H51" s="769"/>
      <c r="I51" s="966">
        <v>6127694</v>
      </c>
      <c r="J51" s="769"/>
      <c r="K51" s="966"/>
      <c r="L51" s="966"/>
      <c r="M51" s="966"/>
      <c r="N51" s="769"/>
      <c r="O51" s="972">
        <f t="shared" si="10"/>
        <v>6127694</v>
      </c>
      <c r="P51" s="783"/>
      <c r="Q51" s="977">
        <f>'Attachment H-11A '!$I$213</f>
        <v>3.3119630600369813E-2</v>
      </c>
      <c r="R51" s="977"/>
      <c r="S51" s="892">
        <f t="shared" si="11"/>
        <v>202946.96171210249</v>
      </c>
      <c r="T51" s="783"/>
      <c r="U51" s="966">
        <v>19.010667964612274</v>
      </c>
      <c r="V51" s="769"/>
      <c r="W51" s="783">
        <f t="shared" si="12"/>
        <v>202927.95104413788</v>
      </c>
      <c r="Y51" s="783"/>
      <c r="AA51" s="783"/>
      <c r="AC51" s="783"/>
      <c r="AE51" s="783"/>
      <c r="AG51" s="783"/>
      <c r="AI51" s="783"/>
      <c r="AK51" s="783"/>
      <c r="AM51" s="783"/>
      <c r="AO51" s="769"/>
      <c r="AQ51" s="769"/>
      <c r="AS51" s="769"/>
      <c r="AT51" s="769"/>
      <c r="AU51" s="820"/>
      <c r="AW51" s="769"/>
      <c r="AY51" s="769"/>
      <c r="BA51" s="769"/>
      <c r="BC51" s="769"/>
    </row>
    <row r="52" spans="1:55" s="703" customFormat="1">
      <c r="A52" s="769">
        <f>MAX($A$7:A51)+1</f>
        <v>41</v>
      </c>
      <c r="B52" s="769"/>
      <c r="C52" s="979"/>
      <c r="D52" s="769"/>
      <c r="E52" s="971" t="str">
        <f>"Sum of Lines "&amp;A38&amp;" through "&amp;A51</f>
        <v>Sum of Lines 27 through 40</v>
      </c>
      <c r="F52" s="971"/>
      <c r="G52" s="971"/>
      <c r="H52" s="769"/>
      <c r="I52" s="785">
        <f>SUM(I38:I51)</f>
        <v>80564373</v>
      </c>
      <c r="J52" s="769"/>
      <c r="K52" s="785">
        <f>SUM(K38:K51)</f>
        <v>2154943</v>
      </c>
      <c r="L52" s="784"/>
      <c r="M52" s="785">
        <f>SUM(M38:M51)</f>
        <v>0</v>
      </c>
      <c r="N52" s="769"/>
      <c r="O52" s="785">
        <f>SUM(O38:O51)</f>
        <v>78409430</v>
      </c>
      <c r="P52" s="785"/>
      <c r="Q52" s="785"/>
      <c r="R52" s="785"/>
      <c r="S52" s="785">
        <f>SUM(S38:S51)</f>
        <v>2596891.3571855547</v>
      </c>
      <c r="T52" s="785"/>
      <c r="U52" s="785">
        <f>SUM(U38:U51)</f>
        <v>49913.243334496248</v>
      </c>
      <c r="V52" s="769"/>
      <c r="W52" s="785">
        <f>SUM(W38:W51)</f>
        <v>2546978.1138510588</v>
      </c>
      <c r="Y52" s="783"/>
      <c r="AA52" s="783"/>
      <c r="AC52" s="783"/>
      <c r="AE52" s="783"/>
      <c r="AG52" s="783"/>
      <c r="AI52" s="783"/>
      <c r="AK52" s="783"/>
      <c r="AM52" s="783"/>
      <c r="AO52" s="769"/>
      <c r="AQ52" s="769"/>
      <c r="AS52" s="769"/>
      <c r="AT52" s="769"/>
      <c r="AU52" s="820"/>
      <c r="AW52" s="769"/>
      <c r="AY52" s="769"/>
      <c r="BA52" s="769"/>
      <c r="BC52" s="769"/>
    </row>
    <row r="53" spans="1:55">
      <c r="A53" s="769"/>
    </row>
    <row r="54" spans="1:55">
      <c r="A54" s="769">
        <f>MAX($A$7:A53)+1</f>
        <v>42</v>
      </c>
      <c r="W54" s="16" t="str">
        <f>"Total OpEx (Line "&amp;A32&amp;" + Line "&amp;A52&amp;")"</f>
        <v>Total OpEx (Line 26 + Line 41)</v>
      </c>
      <c r="Y54" s="980">
        <f>W52+Q32</f>
        <v>17126254.983565364</v>
      </c>
    </row>
    <row r="56" spans="1:55">
      <c r="B56" s="987" t="s">
        <v>206</v>
      </c>
      <c r="C56" s="988"/>
    </row>
    <row r="57" spans="1:55" ht="15.6" customHeight="1">
      <c r="B57" s="2" t="s">
        <v>237</v>
      </c>
      <c r="C57" s="1148" t="s">
        <v>1231</v>
      </c>
      <c r="D57" s="1148"/>
      <c r="E57" s="1148"/>
      <c r="F57" s="1148"/>
      <c r="G57" s="1148"/>
      <c r="H57" s="1148"/>
      <c r="I57" s="1148"/>
      <c r="J57" s="1148"/>
      <c r="K57" s="1148"/>
      <c r="L57" s="1148"/>
      <c r="M57" s="1148"/>
      <c r="N57" s="1148"/>
      <c r="O57" s="1148"/>
      <c r="P57" s="981"/>
      <c r="Q57" s="981"/>
      <c r="R57" s="981"/>
      <c r="S57" s="981"/>
      <c r="T57" s="981"/>
      <c r="U57" s="981"/>
      <c r="V57" s="981"/>
      <c r="W57" s="981"/>
      <c r="X57" s="981"/>
      <c r="Y57" s="981"/>
      <c r="Z57" s="708"/>
    </row>
    <row r="58" spans="1:55">
      <c r="C58" s="1148"/>
      <c r="D58" s="1148"/>
      <c r="E58" s="1148"/>
      <c r="F58" s="1148"/>
      <c r="G58" s="1148"/>
      <c r="H58" s="1148"/>
      <c r="I58" s="1148"/>
      <c r="J58" s="1148"/>
      <c r="K58" s="1148"/>
      <c r="L58" s="1148"/>
      <c r="M58" s="1148"/>
      <c r="N58" s="1148"/>
      <c r="O58" s="1148"/>
      <c r="P58" s="981"/>
      <c r="Q58" s="981"/>
      <c r="R58" s="981"/>
      <c r="S58" s="981"/>
      <c r="T58" s="981"/>
      <c r="U58" s="981"/>
      <c r="V58" s="981"/>
      <c r="W58" s="981"/>
      <c r="X58" s="981"/>
      <c r="Y58" s="981"/>
    </row>
    <row r="59" spans="1:55" ht="36" customHeight="1">
      <c r="C59" s="1148"/>
      <c r="D59" s="1148"/>
      <c r="E59" s="1148"/>
      <c r="F59" s="1148"/>
      <c r="G59" s="1148"/>
      <c r="H59" s="1148"/>
      <c r="I59" s="1148"/>
      <c r="J59" s="1148"/>
      <c r="K59" s="1148"/>
      <c r="L59" s="1148"/>
      <c r="M59" s="1148"/>
      <c r="N59" s="1148"/>
      <c r="O59" s="1148"/>
      <c r="P59" s="981"/>
      <c r="Q59" s="981"/>
      <c r="R59" s="981"/>
      <c r="S59" s="981"/>
      <c r="T59" s="981"/>
      <c r="U59" s="981"/>
      <c r="V59" s="981"/>
      <c r="W59" s="981"/>
      <c r="X59" s="981"/>
      <c r="Y59" s="981"/>
    </row>
    <row r="60" spans="1:55" ht="6" customHeight="1">
      <c r="C60" s="1148"/>
      <c r="D60" s="1148"/>
      <c r="E60" s="1148"/>
      <c r="F60" s="1148"/>
      <c r="G60" s="1148"/>
      <c r="H60" s="1148"/>
      <c r="I60" s="1148"/>
      <c r="J60" s="1148"/>
      <c r="K60" s="1148"/>
      <c r="L60" s="1148"/>
      <c r="M60" s="1148"/>
      <c r="N60" s="1148"/>
      <c r="O60" s="1148"/>
      <c r="P60" s="981"/>
      <c r="Q60" s="981"/>
      <c r="R60" s="981"/>
      <c r="S60" s="981"/>
      <c r="T60" s="981"/>
      <c r="U60" s="981"/>
      <c r="V60" s="981"/>
      <c r="W60" s="981"/>
      <c r="X60" s="981"/>
      <c r="Y60" s="981"/>
    </row>
    <row r="61" spans="1:55">
      <c r="B61" s="2" t="s">
        <v>238</v>
      </c>
      <c r="C61" s="1148" t="s">
        <v>1229</v>
      </c>
      <c r="D61" s="1148"/>
      <c r="E61" s="1148"/>
      <c r="F61" s="1148"/>
      <c r="G61" s="1148"/>
      <c r="H61" s="1148"/>
      <c r="I61" s="1148"/>
      <c r="J61" s="1148"/>
      <c r="K61" s="1148"/>
      <c r="L61" s="1148"/>
      <c r="M61" s="1148"/>
      <c r="N61" s="1148"/>
      <c r="O61" s="1148"/>
      <c r="P61" s="1148"/>
      <c r="Q61" s="1148"/>
      <c r="R61" s="1148"/>
      <c r="S61" s="1148"/>
      <c r="T61" s="1148"/>
      <c r="U61" s="1148"/>
      <c r="V61" s="1148"/>
      <c r="W61" s="1148"/>
      <c r="X61" s="1148"/>
      <c r="Y61" s="1148"/>
    </row>
    <row r="62" spans="1:55" ht="15.6" customHeight="1">
      <c r="B62" s="2" t="s">
        <v>356</v>
      </c>
      <c r="C62" s="981" t="s">
        <v>1230</v>
      </c>
      <c r="D62" s="981"/>
      <c r="E62" s="981"/>
      <c r="F62" s="981"/>
      <c r="G62" s="981"/>
      <c r="H62" s="981"/>
      <c r="I62" s="981"/>
      <c r="J62" s="981"/>
      <c r="K62" s="981"/>
      <c r="L62" s="981"/>
      <c r="M62" s="981"/>
      <c r="N62" s="981"/>
      <c r="O62" s="981"/>
      <c r="P62" s="981"/>
      <c r="Q62" s="981"/>
      <c r="R62" s="981"/>
      <c r="S62" s="981"/>
      <c r="T62" s="981"/>
      <c r="U62" s="981"/>
      <c r="V62" s="981"/>
      <c r="W62" s="981"/>
      <c r="X62" s="981"/>
      <c r="Y62" s="981"/>
    </row>
    <row r="63" spans="1:55">
      <c r="B63" s="2" t="s">
        <v>240</v>
      </c>
      <c r="C63" s="981" t="s">
        <v>1041</v>
      </c>
      <c r="D63" s="981"/>
      <c r="E63" s="981"/>
      <c r="F63" s="981"/>
      <c r="G63" s="981"/>
      <c r="H63" s="981"/>
      <c r="I63" s="981"/>
      <c r="J63" s="981"/>
      <c r="K63" s="981"/>
      <c r="L63" s="981"/>
      <c r="M63" s="981"/>
      <c r="N63" s="981"/>
      <c r="O63" s="981"/>
      <c r="P63" s="981"/>
      <c r="Q63" s="981"/>
      <c r="R63" s="981"/>
      <c r="S63" s="981"/>
      <c r="T63" s="981"/>
      <c r="U63" s="981"/>
      <c r="V63" s="981"/>
      <c r="W63" s="981"/>
      <c r="X63" s="981"/>
      <c r="Y63" s="981"/>
    </row>
    <row r="64" spans="1:55" ht="15.6" customHeight="1">
      <c r="C64" s="981"/>
      <c r="D64" s="981"/>
      <c r="E64" s="981"/>
      <c r="F64" s="981"/>
      <c r="G64" s="981"/>
      <c r="H64" s="981"/>
      <c r="I64" s="981"/>
      <c r="J64" s="981"/>
      <c r="K64" s="981"/>
      <c r="L64" s="981"/>
      <c r="M64" s="981"/>
      <c r="N64" s="981"/>
      <c r="O64" s="981"/>
      <c r="P64" s="981"/>
      <c r="Q64" s="981"/>
      <c r="R64" s="981"/>
      <c r="S64" s="981"/>
      <c r="T64" s="981"/>
      <c r="U64" s="981"/>
      <c r="V64" s="981"/>
      <c r="W64" s="981"/>
      <c r="X64" s="981"/>
      <c r="Y64" s="981"/>
    </row>
    <row r="65" spans="3:25">
      <c r="C65" s="981"/>
      <c r="D65" s="981"/>
      <c r="E65" s="981"/>
      <c r="F65" s="981"/>
      <c r="G65" s="981"/>
      <c r="H65" s="981"/>
      <c r="I65" s="981"/>
      <c r="J65" s="981"/>
      <c r="K65" s="981"/>
      <c r="L65" s="981"/>
      <c r="M65" s="981"/>
      <c r="N65" s="981"/>
      <c r="O65" s="981"/>
      <c r="P65" s="981"/>
      <c r="Q65" s="981"/>
      <c r="R65" s="981"/>
      <c r="S65" s="981"/>
      <c r="T65" s="981"/>
      <c r="U65" s="981"/>
      <c r="V65" s="981"/>
      <c r="W65" s="981"/>
      <c r="X65" s="981"/>
      <c r="Y65" s="981"/>
    </row>
    <row r="66" spans="3:25">
      <c r="C66" s="982"/>
      <c r="D66" s="982"/>
      <c r="E66" s="982"/>
      <c r="F66" s="982"/>
      <c r="G66" s="982"/>
      <c r="H66" s="982"/>
      <c r="I66" s="982"/>
      <c r="J66" s="982"/>
      <c r="K66" s="982"/>
      <c r="L66" s="982"/>
      <c r="M66" s="982"/>
      <c r="N66" s="982"/>
      <c r="O66" s="982"/>
      <c r="P66" s="982"/>
      <c r="Q66" s="982"/>
      <c r="R66" s="982"/>
      <c r="S66" s="982"/>
      <c r="T66" s="982"/>
      <c r="U66" s="982"/>
      <c r="V66" s="982"/>
      <c r="W66" s="982"/>
      <c r="X66" s="982"/>
      <c r="Y66" s="982"/>
    </row>
    <row r="71" spans="3:25">
      <c r="C71" s="983"/>
      <c r="D71" s="984"/>
      <c r="E71" s="984"/>
      <c r="F71" s="984"/>
      <c r="G71" s="984"/>
      <c r="H71" s="984"/>
      <c r="I71" s="984"/>
      <c r="J71" s="984"/>
      <c r="K71" s="984"/>
      <c r="L71" s="984"/>
      <c r="M71" s="984"/>
      <c r="N71" s="984"/>
      <c r="O71" s="984"/>
      <c r="P71" s="984"/>
      <c r="Q71" s="984"/>
      <c r="R71" s="984"/>
      <c r="S71" s="984"/>
      <c r="T71" s="984"/>
      <c r="U71" s="984"/>
      <c r="V71" s="984"/>
      <c r="W71" s="984"/>
    </row>
    <row r="72" spans="3:25">
      <c r="D72" s="984"/>
      <c r="E72" s="984"/>
      <c r="F72" s="984"/>
      <c r="G72" s="984"/>
      <c r="H72" s="984"/>
      <c r="I72" s="984"/>
      <c r="J72" s="984"/>
      <c r="K72" s="984"/>
      <c r="L72" s="984"/>
      <c r="M72" s="984"/>
      <c r="N72" s="984"/>
      <c r="O72" s="984"/>
      <c r="P72" s="984"/>
      <c r="Q72" s="984"/>
      <c r="R72" s="984"/>
      <c r="S72" s="984"/>
      <c r="T72" s="984"/>
      <c r="U72" s="984"/>
      <c r="V72" s="984"/>
      <c r="W72" s="984"/>
    </row>
    <row r="73" spans="3:25">
      <c r="D73" s="984"/>
      <c r="E73" s="984"/>
      <c r="F73" s="984"/>
      <c r="G73" s="984"/>
      <c r="H73" s="984"/>
      <c r="I73" s="984"/>
      <c r="J73" s="984"/>
      <c r="K73" s="984"/>
      <c r="L73" s="984"/>
      <c r="M73" s="984"/>
      <c r="N73" s="984"/>
      <c r="O73" s="984"/>
      <c r="P73" s="984"/>
      <c r="Q73" s="984"/>
      <c r="R73" s="984"/>
      <c r="S73" s="984"/>
      <c r="T73" s="984"/>
      <c r="U73" s="984"/>
      <c r="V73" s="984"/>
      <c r="W73" s="984"/>
    </row>
    <row r="74" spans="3:25">
      <c r="D74" s="984"/>
      <c r="E74" s="984"/>
      <c r="F74" s="984"/>
      <c r="G74" s="984"/>
      <c r="H74" s="984"/>
      <c r="I74" s="984"/>
      <c r="J74" s="984"/>
      <c r="K74" s="984"/>
      <c r="L74" s="984"/>
      <c r="M74" s="984"/>
      <c r="N74" s="984"/>
      <c r="O74" s="984"/>
      <c r="P74" s="984"/>
      <c r="Q74" s="984"/>
      <c r="R74" s="984"/>
      <c r="S74" s="984"/>
      <c r="T74" s="984"/>
      <c r="U74" s="984"/>
      <c r="V74" s="984"/>
      <c r="W74" s="984"/>
    </row>
    <row r="75" spans="3:25">
      <c r="D75" s="984"/>
      <c r="E75" s="984"/>
      <c r="F75" s="984"/>
      <c r="G75" s="984"/>
      <c r="H75" s="984"/>
      <c r="I75" s="984"/>
      <c r="J75" s="984"/>
      <c r="K75" s="984"/>
      <c r="L75" s="984"/>
      <c r="M75" s="984"/>
      <c r="N75" s="984"/>
      <c r="O75" s="984"/>
      <c r="P75" s="984"/>
      <c r="Q75" s="984"/>
      <c r="R75" s="984"/>
      <c r="S75" s="984"/>
      <c r="T75" s="984"/>
      <c r="U75" s="984"/>
      <c r="V75" s="984"/>
      <c r="W75" s="984"/>
    </row>
  </sheetData>
  <mergeCells count="5">
    <mergeCell ref="C57:O60"/>
    <mergeCell ref="C61:Y61"/>
    <mergeCell ref="U1:Y1"/>
    <mergeCell ref="U2:Y2"/>
    <mergeCell ref="U3:Y3"/>
  </mergeCells>
  <pageMargins left="0.7" right="0.7" top="0.75" bottom="0.75" header="0.3" footer="0.3"/>
  <pageSetup scale="32" orientation="portrait" r:id="rId1"/>
  <ignoredErrors>
    <ignoredError sqref="O44"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60" zoomScaleNormal="100" workbookViewId="0">
      <selection sqref="A1:I1"/>
    </sheetView>
  </sheetViews>
  <sheetFormatPr defaultRowHeight="12.75"/>
  <cols>
    <col min="1" max="1" width="7.109375" style="115" customWidth="1"/>
    <col min="2" max="2" width="2.33203125" style="115" customWidth="1"/>
    <col min="3" max="3" width="6.33203125" style="115" customWidth="1"/>
    <col min="4" max="4" width="33.44140625" style="115" customWidth="1"/>
    <col min="5" max="5" width="18" style="115" customWidth="1"/>
    <col min="6" max="6" width="27.6640625" style="115" customWidth="1"/>
    <col min="7" max="7" width="34.88671875" style="115" customWidth="1"/>
    <col min="8" max="8" width="3" style="115" customWidth="1"/>
    <col min="9" max="9" width="23.44140625" style="115" customWidth="1"/>
    <col min="10" max="10" width="7.88671875" style="115" customWidth="1"/>
    <col min="11" max="11" width="23.109375" style="115" customWidth="1"/>
    <col min="12" max="12" width="1.6640625" style="115" customWidth="1"/>
    <col min="13" max="256" width="8.88671875" style="115"/>
    <col min="257" max="257" width="7.109375" style="115" customWidth="1"/>
    <col min="258" max="258" width="2.33203125" style="115" customWidth="1"/>
    <col min="259" max="259" width="6.33203125" style="115" customWidth="1"/>
    <col min="260" max="260" width="33.44140625" style="115" customWidth="1"/>
    <col min="261" max="261" width="18" style="115" customWidth="1"/>
    <col min="262" max="262" width="27.6640625" style="115" customWidth="1"/>
    <col min="263" max="263" width="28.88671875" style="115" bestFit="1" customWidth="1"/>
    <col min="264" max="264" width="3" style="115" customWidth="1"/>
    <col min="265" max="265" width="23.44140625" style="115" customWidth="1"/>
    <col min="266" max="266" width="8.88671875" style="115"/>
    <col min="267" max="267" width="17.88671875" style="115" bestFit="1" customWidth="1"/>
    <col min="268" max="512" width="8.88671875" style="115"/>
    <col min="513" max="513" width="7.109375" style="115" customWidth="1"/>
    <col min="514" max="514" width="2.33203125" style="115" customWidth="1"/>
    <col min="515" max="515" width="6.33203125" style="115" customWidth="1"/>
    <col min="516" max="516" width="33.44140625" style="115" customWidth="1"/>
    <col min="517" max="517" width="18" style="115" customWidth="1"/>
    <col min="518" max="518" width="27.6640625" style="115" customWidth="1"/>
    <col min="519" max="519" width="28.88671875" style="115" bestFit="1" customWidth="1"/>
    <col min="520" max="520" width="3" style="115" customWidth="1"/>
    <col min="521" max="521" width="23.44140625" style="115" customWidth="1"/>
    <col min="522" max="522" width="8.88671875" style="115"/>
    <col min="523" max="523" width="17.88671875" style="115" bestFit="1" customWidth="1"/>
    <col min="524" max="768" width="8.88671875" style="115"/>
    <col min="769" max="769" width="7.109375" style="115" customWidth="1"/>
    <col min="770" max="770" width="2.33203125" style="115" customWidth="1"/>
    <col min="771" max="771" width="6.33203125" style="115" customWidth="1"/>
    <col min="772" max="772" width="33.44140625" style="115" customWidth="1"/>
    <col min="773" max="773" width="18" style="115" customWidth="1"/>
    <col min="774" max="774" width="27.6640625" style="115" customWidth="1"/>
    <col min="775" max="775" width="28.88671875" style="115" bestFit="1" customWidth="1"/>
    <col min="776" max="776" width="3" style="115" customWidth="1"/>
    <col min="777" max="777" width="23.44140625" style="115" customWidth="1"/>
    <col min="778" max="778" width="8.88671875" style="115"/>
    <col min="779" max="779" width="17.88671875" style="115" bestFit="1" customWidth="1"/>
    <col min="780" max="1024" width="8.88671875" style="115"/>
    <col min="1025" max="1025" width="7.109375" style="115" customWidth="1"/>
    <col min="1026" max="1026" width="2.33203125" style="115" customWidth="1"/>
    <col min="1027" max="1027" width="6.33203125" style="115" customWidth="1"/>
    <col min="1028" max="1028" width="33.44140625" style="115" customWidth="1"/>
    <col min="1029" max="1029" width="18" style="115" customWidth="1"/>
    <col min="1030" max="1030" width="27.6640625" style="115" customWidth="1"/>
    <col min="1031" max="1031" width="28.88671875" style="115" bestFit="1" customWidth="1"/>
    <col min="1032" max="1032" width="3" style="115" customWidth="1"/>
    <col min="1033" max="1033" width="23.44140625" style="115" customWidth="1"/>
    <col min="1034" max="1034" width="8.88671875" style="115"/>
    <col min="1035" max="1035" width="17.88671875" style="115" bestFit="1" customWidth="1"/>
    <col min="1036" max="1280" width="8.88671875" style="115"/>
    <col min="1281" max="1281" width="7.109375" style="115" customWidth="1"/>
    <col min="1282" max="1282" width="2.33203125" style="115" customWidth="1"/>
    <col min="1283" max="1283" width="6.33203125" style="115" customWidth="1"/>
    <col min="1284" max="1284" width="33.44140625" style="115" customWidth="1"/>
    <col min="1285" max="1285" width="18" style="115" customWidth="1"/>
    <col min="1286" max="1286" width="27.6640625" style="115" customWidth="1"/>
    <col min="1287" max="1287" width="28.88671875" style="115" bestFit="1" customWidth="1"/>
    <col min="1288" max="1288" width="3" style="115" customWidth="1"/>
    <col min="1289" max="1289" width="23.44140625" style="115" customWidth="1"/>
    <col min="1290" max="1290" width="8.88671875" style="115"/>
    <col min="1291" max="1291" width="17.88671875" style="115" bestFit="1" customWidth="1"/>
    <col min="1292" max="1536" width="8.88671875" style="115"/>
    <col min="1537" max="1537" width="7.109375" style="115" customWidth="1"/>
    <col min="1538" max="1538" width="2.33203125" style="115" customWidth="1"/>
    <col min="1539" max="1539" width="6.33203125" style="115" customWidth="1"/>
    <col min="1540" max="1540" width="33.44140625" style="115" customWidth="1"/>
    <col min="1541" max="1541" width="18" style="115" customWidth="1"/>
    <col min="1542" max="1542" width="27.6640625" style="115" customWidth="1"/>
    <col min="1543" max="1543" width="28.88671875" style="115" bestFit="1" customWidth="1"/>
    <col min="1544" max="1544" width="3" style="115" customWidth="1"/>
    <col min="1545" max="1545" width="23.44140625" style="115" customWidth="1"/>
    <col min="1546" max="1546" width="8.88671875" style="115"/>
    <col min="1547" max="1547" width="17.88671875" style="115" bestFit="1" customWidth="1"/>
    <col min="1548" max="1792" width="8.88671875" style="115"/>
    <col min="1793" max="1793" width="7.109375" style="115" customWidth="1"/>
    <col min="1794" max="1794" width="2.33203125" style="115" customWidth="1"/>
    <col min="1795" max="1795" width="6.33203125" style="115" customWidth="1"/>
    <col min="1796" max="1796" width="33.44140625" style="115" customWidth="1"/>
    <col min="1797" max="1797" width="18" style="115" customWidth="1"/>
    <col min="1798" max="1798" width="27.6640625" style="115" customWidth="1"/>
    <col min="1799" max="1799" width="28.88671875" style="115" bestFit="1" customWidth="1"/>
    <col min="1800" max="1800" width="3" style="115" customWidth="1"/>
    <col min="1801" max="1801" width="23.44140625" style="115" customWidth="1"/>
    <col min="1802" max="1802" width="8.88671875" style="115"/>
    <col min="1803" max="1803" width="17.88671875" style="115" bestFit="1" customWidth="1"/>
    <col min="1804" max="2048" width="8.88671875" style="115"/>
    <col min="2049" max="2049" width="7.109375" style="115" customWidth="1"/>
    <col min="2050" max="2050" width="2.33203125" style="115" customWidth="1"/>
    <col min="2051" max="2051" width="6.33203125" style="115" customWidth="1"/>
    <col min="2052" max="2052" width="33.44140625" style="115" customWidth="1"/>
    <col min="2053" max="2053" width="18" style="115" customWidth="1"/>
    <col min="2054" max="2054" width="27.6640625" style="115" customWidth="1"/>
    <col min="2055" max="2055" width="28.88671875" style="115" bestFit="1" customWidth="1"/>
    <col min="2056" max="2056" width="3" style="115" customWidth="1"/>
    <col min="2057" max="2057" width="23.44140625" style="115" customWidth="1"/>
    <col min="2058" max="2058" width="8.88671875" style="115"/>
    <col min="2059" max="2059" width="17.88671875" style="115" bestFit="1" customWidth="1"/>
    <col min="2060" max="2304" width="8.88671875" style="115"/>
    <col min="2305" max="2305" width="7.109375" style="115" customWidth="1"/>
    <col min="2306" max="2306" width="2.33203125" style="115" customWidth="1"/>
    <col min="2307" max="2307" width="6.33203125" style="115" customWidth="1"/>
    <col min="2308" max="2308" width="33.44140625" style="115" customWidth="1"/>
    <col min="2309" max="2309" width="18" style="115" customWidth="1"/>
    <col min="2310" max="2310" width="27.6640625" style="115" customWidth="1"/>
    <col min="2311" max="2311" width="28.88671875" style="115" bestFit="1" customWidth="1"/>
    <col min="2312" max="2312" width="3" style="115" customWidth="1"/>
    <col min="2313" max="2313" width="23.44140625" style="115" customWidth="1"/>
    <col min="2314" max="2314" width="8.88671875" style="115"/>
    <col min="2315" max="2315" width="17.88671875" style="115" bestFit="1" customWidth="1"/>
    <col min="2316" max="2560" width="8.88671875" style="115"/>
    <col min="2561" max="2561" width="7.109375" style="115" customWidth="1"/>
    <col min="2562" max="2562" width="2.33203125" style="115" customWidth="1"/>
    <col min="2563" max="2563" width="6.33203125" style="115" customWidth="1"/>
    <col min="2564" max="2564" width="33.44140625" style="115" customWidth="1"/>
    <col min="2565" max="2565" width="18" style="115" customWidth="1"/>
    <col min="2566" max="2566" width="27.6640625" style="115" customWidth="1"/>
    <col min="2567" max="2567" width="28.88671875" style="115" bestFit="1" customWidth="1"/>
    <col min="2568" max="2568" width="3" style="115" customWidth="1"/>
    <col min="2569" max="2569" width="23.44140625" style="115" customWidth="1"/>
    <col min="2570" max="2570" width="8.88671875" style="115"/>
    <col min="2571" max="2571" width="17.88671875" style="115" bestFit="1" customWidth="1"/>
    <col min="2572" max="2816" width="8.88671875" style="115"/>
    <col min="2817" max="2817" width="7.109375" style="115" customWidth="1"/>
    <col min="2818" max="2818" width="2.33203125" style="115" customWidth="1"/>
    <col min="2819" max="2819" width="6.33203125" style="115" customWidth="1"/>
    <col min="2820" max="2820" width="33.44140625" style="115" customWidth="1"/>
    <col min="2821" max="2821" width="18" style="115" customWidth="1"/>
    <col min="2822" max="2822" width="27.6640625" style="115" customWidth="1"/>
    <col min="2823" max="2823" width="28.88671875" style="115" bestFit="1" customWidth="1"/>
    <col min="2824" max="2824" width="3" style="115" customWidth="1"/>
    <col min="2825" max="2825" width="23.44140625" style="115" customWidth="1"/>
    <col min="2826" max="2826" width="8.88671875" style="115"/>
    <col min="2827" max="2827" width="17.88671875" style="115" bestFit="1" customWidth="1"/>
    <col min="2828" max="3072" width="8.88671875" style="115"/>
    <col min="3073" max="3073" width="7.109375" style="115" customWidth="1"/>
    <col min="3074" max="3074" width="2.33203125" style="115" customWidth="1"/>
    <col min="3075" max="3075" width="6.33203125" style="115" customWidth="1"/>
    <col min="3076" max="3076" width="33.44140625" style="115" customWidth="1"/>
    <col min="3077" max="3077" width="18" style="115" customWidth="1"/>
    <col min="3078" max="3078" width="27.6640625" style="115" customWidth="1"/>
    <col min="3079" max="3079" width="28.88671875" style="115" bestFit="1" customWidth="1"/>
    <col min="3080" max="3080" width="3" style="115" customWidth="1"/>
    <col min="3081" max="3081" width="23.44140625" style="115" customWidth="1"/>
    <col min="3082" max="3082" width="8.88671875" style="115"/>
    <col min="3083" max="3083" width="17.88671875" style="115" bestFit="1" customWidth="1"/>
    <col min="3084" max="3328" width="8.88671875" style="115"/>
    <col min="3329" max="3329" width="7.109375" style="115" customWidth="1"/>
    <col min="3330" max="3330" width="2.33203125" style="115" customWidth="1"/>
    <col min="3331" max="3331" width="6.33203125" style="115" customWidth="1"/>
    <col min="3332" max="3332" width="33.44140625" style="115" customWidth="1"/>
    <col min="3333" max="3333" width="18" style="115" customWidth="1"/>
    <col min="3334" max="3334" width="27.6640625" style="115" customWidth="1"/>
    <col min="3335" max="3335" width="28.88671875" style="115" bestFit="1" customWidth="1"/>
    <col min="3336" max="3336" width="3" style="115" customWidth="1"/>
    <col min="3337" max="3337" width="23.44140625" style="115" customWidth="1"/>
    <col min="3338" max="3338" width="8.88671875" style="115"/>
    <col min="3339" max="3339" width="17.88671875" style="115" bestFit="1" customWidth="1"/>
    <col min="3340" max="3584" width="8.88671875" style="115"/>
    <col min="3585" max="3585" width="7.109375" style="115" customWidth="1"/>
    <col min="3586" max="3586" width="2.33203125" style="115" customWidth="1"/>
    <col min="3587" max="3587" width="6.33203125" style="115" customWidth="1"/>
    <col min="3588" max="3588" width="33.44140625" style="115" customWidth="1"/>
    <col min="3589" max="3589" width="18" style="115" customWidth="1"/>
    <col min="3590" max="3590" width="27.6640625" style="115" customWidth="1"/>
    <col min="3591" max="3591" width="28.88671875" style="115" bestFit="1" customWidth="1"/>
    <col min="3592" max="3592" width="3" style="115" customWidth="1"/>
    <col min="3593" max="3593" width="23.44140625" style="115" customWidth="1"/>
    <col min="3594" max="3594" width="8.88671875" style="115"/>
    <col min="3595" max="3595" width="17.88671875" style="115" bestFit="1" customWidth="1"/>
    <col min="3596" max="3840" width="8.88671875" style="115"/>
    <col min="3841" max="3841" width="7.109375" style="115" customWidth="1"/>
    <col min="3842" max="3842" width="2.33203125" style="115" customWidth="1"/>
    <col min="3843" max="3843" width="6.33203125" style="115" customWidth="1"/>
    <col min="3844" max="3844" width="33.44140625" style="115" customWidth="1"/>
    <col min="3845" max="3845" width="18" style="115" customWidth="1"/>
    <col min="3846" max="3846" width="27.6640625" style="115" customWidth="1"/>
    <col min="3847" max="3847" width="28.88671875" style="115" bestFit="1" customWidth="1"/>
    <col min="3848" max="3848" width="3" style="115" customWidth="1"/>
    <col min="3849" max="3849" width="23.44140625" style="115" customWidth="1"/>
    <col min="3850" max="3850" width="8.88671875" style="115"/>
    <col min="3851" max="3851" width="17.88671875" style="115" bestFit="1" customWidth="1"/>
    <col min="3852" max="4096" width="8.88671875" style="115"/>
    <col min="4097" max="4097" width="7.109375" style="115" customWidth="1"/>
    <col min="4098" max="4098" width="2.33203125" style="115" customWidth="1"/>
    <col min="4099" max="4099" width="6.33203125" style="115" customWidth="1"/>
    <col min="4100" max="4100" width="33.44140625" style="115" customWidth="1"/>
    <col min="4101" max="4101" width="18" style="115" customWidth="1"/>
    <col min="4102" max="4102" width="27.6640625" style="115" customWidth="1"/>
    <col min="4103" max="4103" width="28.88671875" style="115" bestFit="1" customWidth="1"/>
    <col min="4104" max="4104" width="3" style="115" customWidth="1"/>
    <col min="4105" max="4105" width="23.44140625" style="115" customWidth="1"/>
    <col min="4106" max="4106" width="8.88671875" style="115"/>
    <col min="4107" max="4107" width="17.88671875" style="115" bestFit="1" customWidth="1"/>
    <col min="4108" max="4352" width="8.88671875" style="115"/>
    <col min="4353" max="4353" width="7.109375" style="115" customWidth="1"/>
    <col min="4354" max="4354" width="2.33203125" style="115" customWidth="1"/>
    <col min="4355" max="4355" width="6.33203125" style="115" customWidth="1"/>
    <col min="4356" max="4356" width="33.44140625" style="115" customWidth="1"/>
    <col min="4357" max="4357" width="18" style="115" customWidth="1"/>
    <col min="4358" max="4358" width="27.6640625" style="115" customWidth="1"/>
    <col min="4359" max="4359" width="28.88671875" style="115" bestFit="1" customWidth="1"/>
    <col min="4360" max="4360" width="3" style="115" customWidth="1"/>
    <col min="4361" max="4361" width="23.44140625" style="115" customWidth="1"/>
    <col min="4362" max="4362" width="8.88671875" style="115"/>
    <col min="4363" max="4363" width="17.88671875" style="115" bestFit="1" customWidth="1"/>
    <col min="4364" max="4608" width="8.88671875" style="115"/>
    <col min="4609" max="4609" width="7.109375" style="115" customWidth="1"/>
    <col min="4610" max="4610" width="2.33203125" style="115" customWidth="1"/>
    <col min="4611" max="4611" width="6.33203125" style="115" customWidth="1"/>
    <col min="4612" max="4612" width="33.44140625" style="115" customWidth="1"/>
    <col min="4613" max="4613" width="18" style="115" customWidth="1"/>
    <col min="4614" max="4614" width="27.6640625" style="115" customWidth="1"/>
    <col min="4615" max="4615" width="28.88671875" style="115" bestFit="1" customWidth="1"/>
    <col min="4616" max="4616" width="3" style="115" customWidth="1"/>
    <col min="4617" max="4617" width="23.44140625" style="115" customWidth="1"/>
    <col min="4618" max="4618" width="8.88671875" style="115"/>
    <col min="4619" max="4619" width="17.88671875" style="115" bestFit="1" customWidth="1"/>
    <col min="4620" max="4864" width="8.88671875" style="115"/>
    <col min="4865" max="4865" width="7.109375" style="115" customWidth="1"/>
    <col min="4866" max="4866" width="2.33203125" style="115" customWidth="1"/>
    <col min="4867" max="4867" width="6.33203125" style="115" customWidth="1"/>
    <col min="4868" max="4868" width="33.44140625" style="115" customWidth="1"/>
    <col min="4869" max="4869" width="18" style="115" customWidth="1"/>
    <col min="4870" max="4870" width="27.6640625" style="115" customWidth="1"/>
    <col min="4871" max="4871" width="28.88671875" style="115" bestFit="1" customWidth="1"/>
    <col min="4872" max="4872" width="3" style="115" customWidth="1"/>
    <col min="4873" max="4873" width="23.44140625" style="115" customWidth="1"/>
    <col min="4874" max="4874" width="8.88671875" style="115"/>
    <col min="4875" max="4875" width="17.88671875" style="115" bestFit="1" customWidth="1"/>
    <col min="4876" max="5120" width="8.88671875" style="115"/>
    <col min="5121" max="5121" width="7.109375" style="115" customWidth="1"/>
    <col min="5122" max="5122" width="2.33203125" style="115" customWidth="1"/>
    <col min="5123" max="5123" width="6.33203125" style="115" customWidth="1"/>
    <col min="5124" max="5124" width="33.44140625" style="115" customWidth="1"/>
    <col min="5125" max="5125" width="18" style="115" customWidth="1"/>
    <col min="5126" max="5126" width="27.6640625" style="115" customWidth="1"/>
    <col min="5127" max="5127" width="28.88671875" style="115" bestFit="1" customWidth="1"/>
    <col min="5128" max="5128" width="3" style="115" customWidth="1"/>
    <col min="5129" max="5129" width="23.44140625" style="115" customWidth="1"/>
    <col min="5130" max="5130" width="8.88671875" style="115"/>
    <col min="5131" max="5131" width="17.88671875" style="115" bestFit="1" customWidth="1"/>
    <col min="5132" max="5376" width="8.88671875" style="115"/>
    <col min="5377" max="5377" width="7.109375" style="115" customWidth="1"/>
    <col min="5378" max="5378" width="2.33203125" style="115" customWidth="1"/>
    <col min="5379" max="5379" width="6.33203125" style="115" customWidth="1"/>
    <col min="5380" max="5380" width="33.44140625" style="115" customWidth="1"/>
    <col min="5381" max="5381" width="18" style="115" customWidth="1"/>
    <col min="5382" max="5382" width="27.6640625" style="115" customWidth="1"/>
    <col min="5383" max="5383" width="28.88671875" style="115" bestFit="1" customWidth="1"/>
    <col min="5384" max="5384" width="3" style="115" customWidth="1"/>
    <col min="5385" max="5385" width="23.44140625" style="115" customWidth="1"/>
    <col min="5386" max="5386" width="8.88671875" style="115"/>
    <col min="5387" max="5387" width="17.88671875" style="115" bestFit="1" customWidth="1"/>
    <col min="5388" max="5632" width="8.88671875" style="115"/>
    <col min="5633" max="5633" width="7.109375" style="115" customWidth="1"/>
    <col min="5634" max="5634" width="2.33203125" style="115" customWidth="1"/>
    <col min="5635" max="5635" width="6.33203125" style="115" customWidth="1"/>
    <col min="5636" max="5636" width="33.44140625" style="115" customWidth="1"/>
    <col min="5637" max="5637" width="18" style="115" customWidth="1"/>
    <col min="5638" max="5638" width="27.6640625" style="115" customWidth="1"/>
    <col min="5639" max="5639" width="28.88671875" style="115" bestFit="1" customWidth="1"/>
    <col min="5640" max="5640" width="3" style="115" customWidth="1"/>
    <col min="5641" max="5641" width="23.44140625" style="115" customWidth="1"/>
    <col min="5642" max="5642" width="8.88671875" style="115"/>
    <col min="5643" max="5643" width="17.88671875" style="115" bestFit="1" customWidth="1"/>
    <col min="5644" max="5888" width="8.88671875" style="115"/>
    <col min="5889" max="5889" width="7.109375" style="115" customWidth="1"/>
    <col min="5890" max="5890" width="2.33203125" style="115" customWidth="1"/>
    <col min="5891" max="5891" width="6.33203125" style="115" customWidth="1"/>
    <col min="5892" max="5892" width="33.44140625" style="115" customWidth="1"/>
    <col min="5893" max="5893" width="18" style="115" customWidth="1"/>
    <col min="5894" max="5894" width="27.6640625" style="115" customWidth="1"/>
    <col min="5895" max="5895" width="28.88671875" style="115" bestFit="1" customWidth="1"/>
    <col min="5896" max="5896" width="3" style="115" customWidth="1"/>
    <col min="5897" max="5897" width="23.44140625" style="115" customWidth="1"/>
    <col min="5898" max="5898" width="8.88671875" style="115"/>
    <col min="5899" max="5899" width="17.88671875" style="115" bestFit="1" customWidth="1"/>
    <col min="5900" max="6144" width="8.88671875" style="115"/>
    <col min="6145" max="6145" width="7.109375" style="115" customWidth="1"/>
    <col min="6146" max="6146" width="2.33203125" style="115" customWidth="1"/>
    <col min="6147" max="6147" width="6.33203125" style="115" customWidth="1"/>
    <col min="6148" max="6148" width="33.44140625" style="115" customWidth="1"/>
    <col min="6149" max="6149" width="18" style="115" customWidth="1"/>
    <col min="6150" max="6150" width="27.6640625" style="115" customWidth="1"/>
    <col min="6151" max="6151" width="28.88671875" style="115" bestFit="1" customWidth="1"/>
    <col min="6152" max="6152" width="3" style="115" customWidth="1"/>
    <col min="6153" max="6153" width="23.44140625" style="115" customWidth="1"/>
    <col min="6154" max="6154" width="8.88671875" style="115"/>
    <col min="6155" max="6155" width="17.88671875" style="115" bestFit="1" customWidth="1"/>
    <col min="6156" max="6400" width="8.88671875" style="115"/>
    <col min="6401" max="6401" width="7.109375" style="115" customWidth="1"/>
    <col min="6402" max="6402" width="2.33203125" style="115" customWidth="1"/>
    <col min="6403" max="6403" width="6.33203125" style="115" customWidth="1"/>
    <col min="6404" max="6404" width="33.44140625" style="115" customWidth="1"/>
    <col min="6405" max="6405" width="18" style="115" customWidth="1"/>
    <col min="6406" max="6406" width="27.6640625" style="115" customWidth="1"/>
    <col min="6407" max="6407" width="28.88671875" style="115" bestFit="1" customWidth="1"/>
    <col min="6408" max="6408" width="3" style="115" customWidth="1"/>
    <col min="6409" max="6409" width="23.44140625" style="115" customWidth="1"/>
    <col min="6410" max="6410" width="8.88671875" style="115"/>
    <col min="6411" max="6411" width="17.88671875" style="115" bestFit="1" customWidth="1"/>
    <col min="6412" max="6656" width="8.88671875" style="115"/>
    <col min="6657" max="6657" width="7.109375" style="115" customWidth="1"/>
    <col min="6658" max="6658" width="2.33203125" style="115" customWidth="1"/>
    <col min="6659" max="6659" width="6.33203125" style="115" customWidth="1"/>
    <col min="6660" max="6660" width="33.44140625" style="115" customWidth="1"/>
    <col min="6661" max="6661" width="18" style="115" customWidth="1"/>
    <col min="6662" max="6662" width="27.6640625" style="115" customWidth="1"/>
    <col min="6663" max="6663" width="28.88671875" style="115" bestFit="1" customWidth="1"/>
    <col min="6664" max="6664" width="3" style="115" customWidth="1"/>
    <col min="6665" max="6665" width="23.44140625" style="115" customWidth="1"/>
    <col min="6666" max="6666" width="8.88671875" style="115"/>
    <col min="6667" max="6667" width="17.88671875" style="115" bestFit="1" customWidth="1"/>
    <col min="6668" max="6912" width="8.88671875" style="115"/>
    <col min="6913" max="6913" width="7.109375" style="115" customWidth="1"/>
    <col min="6914" max="6914" width="2.33203125" style="115" customWidth="1"/>
    <col min="6915" max="6915" width="6.33203125" style="115" customWidth="1"/>
    <col min="6916" max="6916" width="33.44140625" style="115" customWidth="1"/>
    <col min="6917" max="6917" width="18" style="115" customWidth="1"/>
    <col min="6918" max="6918" width="27.6640625" style="115" customWidth="1"/>
    <col min="6919" max="6919" width="28.88671875" style="115" bestFit="1" customWidth="1"/>
    <col min="6920" max="6920" width="3" style="115" customWidth="1"/>
    <col min="6921" max="6921" width="23.44140625" style="115" customWidth="1"/>
    <col min="6922" max="6922" width="8.88671875" style="115"/>
    <col min="6923" max="6923" width="17.88671875" style="115" bestFit="1" customWidth="1"/>
    <col min="6924" max="7168" width="8.88671875" style="115"/>
    <col min="7169" max="7169" width="7.109375" style="115" customWidth="1"/>
    <col min="7170" max="7170" width="2.33203125" style="115" customWidth="1"/>
    <col min="7171" max="7171" width="6.33203125" style="115" customWidth="1"/>
    <col min="7172" max="7172" width="33.44140625" style="115" customWidth="1"/>
    <col min="7173" max="7173" width="18" style="115" customWidth="1"/>
    <col min="7174" max="7174" width="27.6640625" style="115" customWidth="1"/>
    <col min="7175" max="7175" width="28.88671875" style="115" bestFit="1" customWidth="1"/>
    <col min="7176" max="7176" width="3" style="115" customWidth="1"/>
    <col min="7177" max="7177" width="23.44140625" style="115" customWidth="1"/>
    <col min="7178" max="7178" width="8.88671875" style="115"/>
    <col min="7179" max="7179" width="17.88671875" style="115" bestFit="1" customWidth="1"/>
    <col min="7180" max="7424" width="8.88671875" style="115"/>
    <col min="7425" max="7425" width="7.109375" style="115" customWidth="1"/>
    <col min="7426" max="7426" width="2.33203125" style="115" customWidth="1"/>
    <col min="7427" max="7427" width="6.33203125" style="115" customWidth="1"/>
    <col min="7428" max="7428" width="33.44140625" style="115" customWidth="1"/>
    <col min="7429" max="7429" width="18" style="115" customWidth="1"/>
    <col min="7430" max="7430" width="27.6640625" style="115" customWidth="1"/>
    <col min="7431" max="7431" width="28.88671875" style="115" bestFit="1" customWidth="1"/>
    <col min="7432" max="7432" width="3" style="115" customWidth="1"/>
    <col min="7433" max="7433" width="23.44140625" style="115" customWidth="1"/>
    <col min="7434" max="7434" width="8.88671875" style="115"/>
    <col min="7435" max="7435" width="17.88671875" style="115" bestFit="1" customWidth="1"/>
    <col min="7436" max="7680" width="8.88671875" style="115"/>
    <col min="7681" max="7681" width="7.109375" style="115" customWidth="1"/>
    <col min="7682" max="7682" width="2.33203125" style="115" customWidth="1"/>
    <col min="7683" max="7683" width="6.33203125" style="115" customWidth="1"/>
    <col min="7684" max="7684" width="33.44140625" style="115" customWidth="1"/>
    <col min="7685" max="7685" width="18" style="115" customWidth="1"/>
    <col min="7686" max="7686" width="27.6640625" style="115" customWidth="1"/>
    <col min="7687" max="7687" width="28.88671875" style="115" bestFit="1" customWidth="1"/>
    <col min="7688" max="7688" width="3" style="115" customWidth="1"/>
    <col min="7689" max="7689" width="23.44140625" style="115" customWidth="1"/>
    <col min="7690" max="7690" width="8.88671875" style="115"/>
    <col min="7691" max="7691" width="17.88671875" style="115" bestFit="1" customWidth="1"/>
    <col min="7692" max="7936" width="8.88671875" style="115"/>
    <col min="7937" max="7937" width="7.109375" style="115" customWidth="1"/>
    <col min="7938" max="7938" width="2.33203125" style="115" customWidth="1"/>
    <col min="7939" max="7939" width="6.33203125" style="115" customWidth="1"/>
    <col min="7940" max="7940" width="33.44140625" style="115" customWidth="1"/>
    <col min="7941" max="7941" width="18" style="115" customWidth="1"/>
    <col min="7942" max="7942" width="27.6640625" style="115" customWidth="1"/>
    <col min="7943" max="7943" width="28.88671875" style="115" bestFit="1" customWidth="1"/>
    <col min="7944" max="7944" width="3" style="115" customWidth="1"/>
    <col min="7945" max="7945" width="23.44140625" style="115" customWidth="1"/>
    <col min="7946" max="7946" width="8.88671875" style="115"/>
    <col min="7947" max="7947" width="17.88671875" style="115" bestFit="1" customWidth="1"/>
    <col min="7948" max="8192" width="8.88671875" style="115"/>
    <col min="8193" max="8193" width="7.109375" style="115" customWidth="1"/>
    <col min="8194" max="8194" width="2.33203125" style="115" customWidth="1"/>
    <col min="8195" max="8195" width="6.33203125" style="115" customWidth="1"/>
    <col min="8196" max="8196" width="33.44140625" style="115" customWidth="1"/>
    <col min="8197" max="8197" width="18" style="115" customWidth="1"/>
    <col min="8198" max="8198" width="27.6640625" style="115" customWidth="1"/>
    <col min="8199" max="8199" width="28.88671875" style="115" bestFit="1" customWidth="1"/>
    <col min="8200" max="8200" width="3" style="115" customWidth="1"/>
    <col min="8201" max="8201" width="23.44140625" style="115" customWidth="1"/>
    <col min="8202" max="8202" width="8.88671875" style="115"/>
    <col min="8203" max="8203" width="17.88671875" style="115" bestFit="1" customWidth="1"/>
    <col min="8204" max="8448" width="8.88671875" style="115"/>
    <col min="8449" max="8449" width="7.109375" style="115" customWidth="1"/>
    <col min="8450" max="8450" width="2.33203125" style="115" customWidth="1"/>
    <col min="8451" max="8451" width="6.33203125" style="115" customWidth="1"/>
    <col min="8452" max="8452" width="33.44140625" style="115" customWidth="1"/>
    <col min="8453" max="8453" width="18" style="115" customWidth="1"/>
    <col min="8454" max="8454" width="27.6640625" style="115" customWidth="1"/>
    <col min="8455" max="8455" width="28.88671875" style="115" bestFit="1" customWidth="1"/>
    <col min="8456" max="8456" width="3" style="115" customWidth="1"/>
    <col min="8457" max="8457" width="23.44140625" style="115" customWidth="1"/>
    <col min="8458" max="8458" width="8.88671875" style="115"/>
    <col min="8459" max="8459" width="17.88671875" style="115" bestFit="1" customWidth="1"/>
    <col min="8460" max="8704" width="8.88671875" style="115"/>
    <col min="8705" max="8705" width="7.109375" style="115" customWidth="1"/>
    <col min="8706" max="8706" width="2.33203125" style="115" customWidth="1"/>
    <col min="8707" max="8707" width="6.33203125" style="115" customWidth="1"/>
    <col min="8708" max="8708" width="33.44140625" style="115" customWidth="1"/>
    <col min="8709" max="8709" width="18" style="115" customWidth="1"/>
    <col min="8710" max="8710" width="27.6640625" style="115" customWidth="1"/>
    <col min="8711" max="8711" width="28.88671875" style="115" bestFit="1" customWidth="1"/>
    <col min="8712" max="8712" width="3" style="115" customWidth="1"/>
    <col min="8713" max="8713" width="23.44140625" style="115" customWidth="1"/>
    <col min="8714" max="8714" width="8.88671875" style="115"/>
    <col min="8715" max="8715" width="17.88671875" style="115" bestFit="1" customWidth="1"/>
    <col min="8716" max="8960" width="8.88671875" style="115"/>
    <col min="8961" max="8961" width="7.109375" style="115" customWidth="1"/>
    <col min="8962" max="8962" width="2.33203125" style="115" customWidth="1"/>
    <col min="8963" max="8963" width="6.33203125" style="115" customWidth="1"/>
    <col min="8964" max="8964" width="33.44140625" style="115" customWidth="1"/>
    <col min="8965" max="8965" width="18" style="115" customWidth="1"/>
    <col min="8966" max="8966" width="27.6640625" style="115" customWidth="1"/>
    <col min="8967" max="8967" width="28.88671875" style="115" bestFit="1" customWidth="1"/>
    <col min="8968" max="8968" width="3" style="115" customWidth="1"/>
    <col min="8969" max="8969" width="23.44140625" style="115" customWidth="1"/>
    <col min="8970" max="8970" width="8.88671875" style="115"/>
    <col min="8971" max="8971" width="17.88671875" style="115" bestFit="1" customWidth="1"/>
    <col min="8972" max="9216" width="8.88671875" style="115"/>
    <col min="9217" max="9217" width="7.109375" style="115" customWidth="1"/>
    <col min="9218" max="9218" width="2.33203125" style="115" customWidth="1"/>
    <col min="9219" max="9219" width="6.33203125" style="115" customWidth="1"/>
    <col min="9220" max="9220" width="33.44140625" style="115" customWidth="1"/>
    <col min="9221" max="9221" width="18" style="115" customWidth="1"/>
    <col min="9222" max="9222" width="27.6640625" style="115" customWidth="1"/>
    <col min="9223" max="9223" width="28.88671875" style="115" bestFit="1" customWidth="1"/>
    <col min="9224" max="9224" width="3" style="115" customWidth="1"/>
    <col min="9225" max="9225" width="23.44140625" style="115" customWidth="1"/>
    <col min="9226" max="9226" width="8.88671875" style="115"/>
    <col min="9227" max="9227" width="17.88671875" style="115" bestFit="1" customWidth="1"/>
    <col min="9228" max="9472" width="8.88671875" style="115"/>
    <col min="9473" max="9473" width="7.109375" style="115" customWidth="1"/>
    <col min="9474" max="9474" width="2.33203125" style="115" customWidth="1"/>
    <col min="9475" max="9475" width="6.33203125" style="115" customWidth="1"/>
    <col min="9476" max="9476" width="33.44140625" style="115" customWidth="1"/>
    <col min="9477" max="9477" width="18" style="115" customWidth="1"/>
    <col min="9478" max="9478" width="27.6640625" style="115" customWidth="1"/>
    <col min="9479" max="9479" width="28.88671875" style="115" bestFit="1" customWidth="1"/>
    <col min="9480" max="9480" width="3" style="115" customWidth="1"/>
    <col min="9481" max="9481" width="23.44140625" style="115" customWidth="1"/>
    <col min="9482" max="9482" width="8.88671875" style="115"/>
    <col min="9483" max="9483" width="17.88671875" style="115" bestFit="1" customWidth="1"/>
    <col min="9484" max="9728" width="8.88671875" style="115"/>
    <col min="9729" max="9729" width="7.109375" style="115" customWidth="1"/>
    <col min="9730" max="9730" width="2.33203125" style="115" customWidth="1"/>
    <col min="9731" max="9731" width="6.33203125" style="115" customWidth="1"/>
    <col min="9732" max="9732" width="33.44140625" style="115" customWidth="1"/>
    <col min="9733" max="9733" width="18" style="115" customWidth="1"/>
    <col min="9734" max="9734" width="27.6640625" style="115" customWidth="1"/>
    <col min="9735" max="9735" width="28.88671875" style="115" bestFit="1" customWidth="1"/>
    <col min="9736" max="9736" width="3" style="115" customWidth="1"/>
    <col min="9737" max="9737" width="23.44140625" style="115" customWidth="1"/>
    <col min="9738" max="9738" width="8.88671875" style="115"/>
    <col min="9739" max="9739" width="17.88671875" style="115" bestFit="1" customWidth="1"/>
    <col min="9740" max="9984" width="8.88671875" style="115"/>
    <col min="9985" max="9985" width="7.109375" style="115" customWidth="1"/>
    <col min="9986" max="9986" width="2.33203125" style="115" customWidth="1"/>
    <col min="9987" max="9987" width="6.33203125" style="115" customWidth="1"/>
    <col min="9988" max="9988" width="33.44140625" style="115" customWidth="1"/>
    <col min="9989" max="9989" width="18" style="115" customWidth="1"/>
    <col min="9990" max="9990" width="27.6640625" style="115" customWidth="1"/>
    <col min="9991" max="9991" width="28.88671875" style="115" bestFit="1" customWidth="1"/>
    <col min="9992" max="9992" width="3" style="115" customWidth="1"/>
    <col min="9993" max="9993" width="23.44140625" style="115" customWidth="1"/>
    <col min="9994" max="9994" width="8.88671875" style="115"/>
    <col min="9995" max="9995" width="17.88671875" style="115" bestFit="1" customWidth="1"/>
    <col min="9996" max="10240" width="8.88671875" style="115"/>
    <col min="10241" max="10241" width="7.109375" style="115" customWidth="1"/>
    <col min="10242" max="10242" width="2.33203125" style="115" customWidth="1"/>
    <col min="10243" max="10243" width="6.33203125" style="115" customWidth="1"/>
    <col min="10244" max="10244" width="33.44140625" style="115" customWidth="1"/>
    <col min="10245" max="10245" width="18" style="115" customWidth="1"/>
    <col min="10246" max="10246" width="27.6640625" style="115" customWidth="1"/>
    <col min="10247" max="10247" width="28.88671875" style="115" bestFit="1" customWidth="1"/>
    <col min="10248" max="10248" width="3" style="115" customWidth="1"/>
    <col min="10249" max="10249" width="23.44140625" style="115" customWidth="1"/>
    <col min="10250" max="10250" width="8.88671875" style="115"/>
    <col min="10251" max="10251" width="17.88671875" style="115" bestFit="1" customWidth="1"/>
    <col min="10252" max="10496" width="8.88671875" style="115"/>
    <col min="10497" max="10497" width="7.109375" style="115" customWidth="1"/>
    <col min="10498" max="10498" width="2.33203125" style="115" customWidth="1"/>
    <col min="10499" max="10499" width="6.33203125" style="115" customWidth="1"/>
    <col min="10500" max="10500" width="33.44140625" style="115" customWidth="1"/>
    <col min="10501" max="10501" width="18" style="115" customWidth="1"/>
    <col min="10502" max="10502" width="27.6640625" style="115" customWidth="1"/>
    <col min="10503" max="10503" width="28.88671875" style="115" bestFit="1" customWidth="1"/>
    <col min="10504" max="10504" width="3" style="115" customWidth="1"/>
    <col min="10505" max="10505" width="23.44140625" style="115" customWidth="1"/>
    <col min="10506" max="10506" width="8.88671875" style="115"/>
    <col min="10507" max="10507" width="17.88671875" style="115" bestFit="1" customWidth="1"/>
    <col min="10508" max="10752" width="8.88671875" style="115"/>
    <col min="10753" max="10753" width="7.109375" style="115" customWidth="1"/>
    <col min="10754" max="10754" width="2.33203125" style="115" customWidth="1"/>
    <col min="10755" max="10755" width="6.33203125" style="115" customWidth="1"/>
    <col min="10756" max="10756" width="33.44140625" style="115" customWidth="1"/>
    <col min="10757" max="10757" width="18" style="115" customWidth="1"/>
    <col min="10758" max="10758" width="27.6640625" style="115" customWidth="1"/>
    <col min="10759" max="10759" width="28.88671875" style="115" bestFit="1" customWidth="1"/>
    <col min="10760" max="10760" width="3" style="115" customWidth="1"/>
    <col min="10761" max="10761" width="23.44140625" style="115" customWidth="1"/>
    <col min="10762" max="10762" width="8.88671875" style="115"/>
    <col min="10763" max="10763" width="17.88671875" style="115" bestFit="1" customWidth="1"/>
    <col min="10764" max="11008" width="8.88671875" style="115"/>
    <col min="11009" max="11009" width="7.109375" style="115" customWidth="1"/>
    <col min="11010" max="11010" width="2.33203125" style="115" customWidth="1"/>
    <col min="11011" max="11011" width="6.33203125" style="115" customWidth="1"/>
    <col min="11012" max="11012" width="33.44140625" style="115" customWidth="1"/>
    <col min="11013" max="11013" width="18" style="115" customWidth="1"/>
    <col min="11014" max="11014" width="27.6640625" style="115" customWidth="1"/>
    <col min="11015" max="11015" width="28.88671875" style="115" bestFit="1" customWidth="1"/>
    <col min="11016" max="11016" width="3" style="115" customWidth="1"/>
    <col min="11017" max="11017" width="23.44140625" style="115" customWidth="1"/>
    <col min="11018" max="11018" width="8.88671875" style="115"/>
    <col min="11019" max="11019" width="17.88671875" style="115" bestFit="1" customWidth="1"/>
    <col min="11020" max="11264" width="8.88671875" style="115"/>
    <col min="11265" max="11265" width="7.109375" style="115" customWidth="1"/>
    <col min="11266" max="11266" width="2.33203125" style="115" customWidth="1"/>
    <col min="11267" max="11267" width="6.33203125" style="115" customWidth="1"/>
    <col min="11268" max="11268" width="33.44140625" style="115" customWidth="1"/>
    <col min="11269" max="11269" width="18" style="115" customWidth="1"/>
    <col min="11270" max="11270" width="27.6640625" style="115" customWidth="1"/>
    <col min="11271" max="11271" width="28.88671875" style="115" bestFit="1" customWidth="1"/>
    <col min="11272" max="11272" width="3" style="115" customWidth="1"/>
    <col min="11273" max="11273" width="23.44140625" style="115" customWidth="1"/>
    <col min="11274" max="11274" width="8.88671875" style="115"/>
    <col min="11275" max="11275" width="17.88671875" style="115" bestFit="1" customWidth="1"/>
    <col min="11276" max="11520" width="8.88671875" style="115"/>
    <col min="11521" max="11521" width="7.109375" style="115" customWidth="1"/>
    <col min="11522" max="11522" width="2.33203125" style="115" customWidth="1"/>
    <col min="11523" max="11523" width="6.33203125" style="115" customWidth="1"/>
    <col min="11524" max="11524" width="33.44140625" style="115" customWidth="1"/>
    <col min="11525" max="11525" width="18" style="115" customWidth="1"/>
    <col min="11526" max="11526" width="27.6640625" style="115" customWidth="1"/>
    <col min="11527" max="11527" width="28.88671875" style="115" bestFit="1" customWidth="1"/>
    <col min="11528" max="11528" width="3" style="115" customWidth="1"/>
    <col min="11529" max="11529" width="23.44140625" style="115" customWidth="1"/>
    <col min="11530" max="11530" width="8.88671875" style="115"/>
    <col min="11531" max="11531" width="17.88671875" style="115" bestFit="1" customWidth="1"/>
    <col min="11532" max="11776" width="8.88671875" style="115"/>
    <col min="11777" max="11777" width="7.109375" style="115" customWidth="1"/>
    <col min="11778" max="11778" width="2.33203125" style="115" customWidth="1"/>
    <col min="11779" max="11779" width="6.33203125" style="115" customWidth="1"/>
    <col min="11780" max="11780" width="33.44140625" style="115" customWidth="1"/>
    <col min="11781" max="11781" width="18" style="115" customWidth="1"/>
    <col min="11782" max="11782" width="27.6640625" style="115" customWidth="1"/>
    <col min="11783" max="11783" width="28.88671875" style="115" bestFit="1" customWidth="1"/>
    <col min="11784" max="11784" width="3" style="115" customWidth="1"/>
    <col min="11785" max="11785" width="23.44140625" style="115" customWidth="1"/>
    <col min="11786" max="11786" width="8.88671875" style="115"/>
    <col min="11787" max="11787" width="17.88671875" style="115" bestFit="1" customWidth="1"/>
    <col min="11788" max="12032" width="8.88671875" style="115"/>
    <col min="12033" max="12033" width="7.109375" style="115" customWidth="1"/>
    <col min="12034" max="12034" width="2.33203125" style="115" customWidth="1"/>
    <col min="12035" max="12035" width="6.33203125" style="115" customWidth="1"/>
    <col min="12036" max="12036" width="33.44140625" style="115" customWidth="1"/>
    <col min="12037" max="12037" width="18" style="115" customWidth="1"/>
    <col min="12038" max="12038" width="27.6640625" style="115" customWidth="1"/>
    <col min="12039" max="12039" width="28.88671875" style="115" bestFit="1" customWidth="1"/>
    <col min="12040" max="12040" width="3" style="115" customWidth="1"/>
    <col min="12041" max="12041" width="23.44140625" style="115" customWidth="1"/>
    <col min="12042" max="12042" width="8.88671875" style="115"/>
    <col min="12043" max="12043" width="17.88671875" style="115" bestFit="1" customWidth="1"/>
    <col min="12044" max="12288" width="8.88671875" style="115"/>
    <col min="12289" max="12289" width="7.109375" style="115" customWidth="1"/>
    <col min="12290" max="12290" width="2.33203125" style="115" customWidth="1"/>
    <col min="12291" max="12291" width="6.33203125" style="115" customWidth="1"/>
    <col min="12292" max="12292" width="33.44140625" style="115" customWidth="1"/>
    <col min="12293" max="12293" width="18" style="115" customWidth="1"/>
    <col min="12294" max="12294" width="27.6640625" style="115" customWidth="1"/>
    <col min="12295" max="12295" width="28.88671875" style="115" bestFit="1" customWidth="1"/>
    <col min="12296" max="12296" width="3" style="115" customWidth="1"/>
    <col min="12297" max="12297" width="23.44140625" style="115" customWidth="1"/>
    <col min="12298" max="12298" width="8.88671875" style="115"/>
    <col min="12299" max="12299" width="17.88671875" style="115" bestFit="1" customWidth="1"/>
    <col min="12300" max="12544" width="8.88671875" style="115"/>
    <col min="12545" max="12545" width="7.109375" style="115" customWidth="1"/>
    <col min="12546" max="12546" width="2.33203125" style="115" customWidth="1"/>
    <col min="12547" max="12547" width="6.33203125" style="115" customWidth="1"/>
    <col min="12548" max="12548" width="33.44140625" style="115" customWidth="1"/>
    <col min="12549" max="12549" width="18" style="115" customWidth="1"/>
    <col min="12550" max="12550" width="27.6640625" style="115" customWidth="1"/>
    <col min="12551" max="12551" width="28.88671875" style="115" bestFit="1" customWidth="1"/>
    <col min="12552" max="12552" width="3" style="115" customWidth="1"/>
    <col min="12553" max="12553" width="23.44140625" style="115" customWidth="1"/>
    <col min="12554" max="12554" width="8.88671875" style="115"/>
    <col min="12555" max="12555" width="17.88671875" style="115" bestFit="1" customWidth="1"/>
    <col min="12556" max="12800" width="8.88671875" style="115"/>
    <col min="12801" max="12801" width="7.109375" style="115" customWidth="1"/>
    <col min="12802" max="12802" width="2.33203125" style="115" customWidth="1"/>
    <col min="12803" max="12803" width="6.33203125" style="115" customWidth="1"/>
    <col min="12804" max="12804" width="33.44140625" style="115" customWidth="1"/>
    <col min="12805" max="12805" width="18" style="115" customWidth="1"/>
    <col min="12806" max="12806" width="27.6640625" style="115" customWidth="1"/>
    <col min="12807" max="12807" width="28.88671875" style="115" bestFit="1" customWidth="1"/>
    <col min="12808" max="12808" width="3" style="115" customWidth="1"/>
    <col min="12809" max="12809" width="23.44140625" style="115" customWidth="1"/>
    <col min="12810" max="12810" width="8.88671875" style="115"/>
    <col min="12811" max="12811" width="17.88671875" style="115" bestFit="1" customWidth="1"/>
    <col min="12812" max="13056" width="8.88671875" style="115"/>
    <col min="13057" max="13057" width="7.109375" style="115" customWidth="1"/>
    <col min="13058" max="13058" width="2.33203125" style="115" customWidth="1"/>
    <col min="13059" max="13059" width="6.33203125" style="115" customWidth="1"/>
    <col min="13060" max="13060" width="33.44140625" style="115" customWidth="1"/>
    <col min="13061" max="13061" width="18" style="115" customWidth="1"/>
    <col min="13062" max="13062" width="27.6640625" style="115" customWidth="1"/>
    <col min="13063" max="13063" width="28.88671875" style="115" bestFit="1" customWidth="1"/>
    <col min="13064" max="13064" width="3" style="115" customWidth="1"/>
    <col min="13065" max="13065" width="23.44140625" style="115" customWidth="1"/>
    <col min="13066" max="13066" width="8.88671875" style="115"/>
    <col min="13067" max="13067" width="17.88671875" style="115" bestFit="1" customWidth="1"/>
    <col min="13068" max="13312" width="8.88671875" style="115"/>
    <col min="13313" max="13313" width="7.109375" style="115" customWidth="1"/>
    <col min="13314" max="13314" width="2.33203125" style="115" customWidth="1"/>
    <col min="13315" max="13315" width="6.33203125" style="115" customWidth="1"/>
    <col min="13316" max="13316" width="33.44140625" style="115" customWidth="1"/>
    <col min="13317" max="13317" width="18" style="115" customWidth="1"/>
    <col min="13318" max="13318" width="27.6640625" style="115" customWidth="1"/>
    <col min="13319" max="13319" width="28.88671875" style="115" bestFit="1" customWidth="1"/>
    <col min="13320" max="13320" width="3" style="115" customWidth="1"/>
    <col min="13321" max="13321" width="23.44140625" style="115" customWidth="1"/>
    <col min="13322" max="13322" width="8.88671875" style="115"/>
    <col min="13323" max="13323" width="17.88671875" style="115" bestFit="1" customWidth="1"/>
    <col min="13324" max="13568" width="8.88671875" style="115"/>
    <col min="13569" max="13569" width="7.109375" style="115" customWidth="1"/>
    <col min="13570" max="13570" width="2.33203125" style="115" customWidth="1"/>
    <col min="13571" max="13571" width="6.33203125" style="115" customWidth="1"/>
    <col min="13572" max="13572" width="33.44140625" style="115" customWidth="1"/>
    <col min="13573" max="13573" width="18" style="115" customWidth="1"/>
    <col min="13574" max="13574" width="27.6640625" style="115" customWidth="1"/>
    <col min="13575" max="13575" width="28.88671875" style="115" bestFit="1" customWidth="1"/>
    <col min="13576" max="13576" width="3" style="115" customWidth="1"/>
    <col min="13577" max="13577" width="23.44140625" style="115" customWidth="1"/>
    <col min="13578" max="13578" width="8.88671875" style="115"/>
    <col min="13579" max="13579" width="17.88671875" style="115" bestFit="1" customWidth="1"/>
    <col min="13580" max="13824" width="8.88671875" style="115"/>
    <col min="13825" max="13825" width="7.109375" style="115" customWidth="1"/>
    <col min="13826" max="13826" width="2.33203125" style="115" customWidth="1"/>
    <col min="13827" max="13827" width="6.33203125" style="115" customWidth="1"/>
    <col min="13828" max="13828" width="33.44140625" style="115" customWidth="1"/>
    <col min="13829" max="13829" width="18" style="115" customWidth="1"/>
    <col min="13830" max="13830" width="27.6640625" style="115" customWidth="1"/>
    <col min="13831" max="13831" width="28.88671875" style="115" bestFit="1" customWidth="1"/>
    <col min="13832" max="13832" width="3" style="115" customWidth="1"/>
    <col min="13833" max="13833" width="23.44140625" style="115" customWidth="1"/>
    <col min="13834" max="13834" width="8.88671875" style="115"/>
    <col min="13835" max="13835" width="17.88671875" style="115" bestFit="1" customWidth="1"/>
    <col min="13836" max="14080" width="8.88671875" style="115"/>
    <col min="14081" max="14081" width="7.109375" style="115" customWidth="1"/>
    <col min="14082" max="14082" width="2.33203125" style="115" customWidth="1"/>
    <col min="14083" max="14083" width="6.33203125" style="115" customWidth="1"/>
    <col min="14084" max="14084" width="33.44140625" style="115" customWidth="1"/>
    <col min="14085" max="14085" width="18" style="115" customWidth="1"/>
    <col min="14086" max="14086" width="27.6640625" style="115" customWidth="1"/>
    <col min="14087" max="14087" width="28.88671875" style="115" bestFit="1" customWidth="1"/>
    <col min="14088" max="14088" width="3" style="115" customWidth="1"/>
    <col min="14089" max="14089" width="23.44140625" style="115" customWidth="1"/>
    <col min="14090" max="14090" width="8.88671875" style="115"/>
    <col min="14091" max="14091" width="17.88671875" style="115" bestFit="1" customWidth="1"/>
    <col min="14092" max="14336" width="8.88671875" style="115"/>
    <col min="14337" max="14337" width="7.109375" style="115" customWidth="1"/>
    <col min="14338" max="14338" width="2.33203125" style="115" customWidth="1"/>
    <col min="14339" max="14339" width="6.33203125" style="115" customWidth="1"/>
    <col min="14340" max="14340" width="33.44140625" style="115" customWidth="1"/>
    <col min="14341" max="14341" width="18" style="115" customWidth="1"/>
    <col min="14342" max="14342" width="27.6640625" style="115" customWidth="1"/>
    <col min="14343" max="14343" width="28.88671875" style="115" bestFit="1" customWidth="1"/>
    <col min="14344" max="14344" width="3" style="115" customWidth="1"/>
    <col min="14345" max="14345" width="23.44140625" style="115" customWidth="1"/>
    <col min="14346" max="14346" width="8.88671875" style="115"/>
    <col min="14347" max="14347" width="17.88671875" style="115" bestFit="1" customWidth="1"/>
    <col min="14348" max="14592" width="8.88671875" style="115"/>
    <col min="14593" max="14593" width="7.109375" style="115" customWidth="1"/>
    <col min="14594" max="14594" width="2.33203125" style="115" customWidth="1"/>
    <col min="14595" max="14595" width="6.33203125" style="115" customWidth="1"/>
    <col min="14596" max="14596" width="33.44140625" style="115" customWidth="1"/>
    <col min="14597" max="14597" width="18" style="115" customWidth="1"/>
    <col min="14598" max="14598" width="27.6640625" style="115" customWidth="1"/>
    <col min="14599" max="14599" width="28.88671875" style="115" bestFit="1" customWidth="1"/>
    <col min="14600" max="14600" width="3" style="115" customWidth="1"/>
    <col min="14601" max="14601" width="23.44140625" style="115" customWidth="1"/>
    <col min="14602" max="14602" width="8.88671875" style="115"/>
    <col min="14603" max="14603" width="17.88671875" style="115" bestFit="1" customWidth="1"/>
    <col min="14604" max="14848" width="8.88671875" style="115"/>
    <col min="14849" max="14849" width="7.109375" style="115" customWidth="1"/>
    <col min="14850" max="14850" width="2.33203125" style="115" customWidth="1"/>
    <col min="14851" max="14851" width="6.33203125" style="115" customWidth="1"/>
    <col min="14852" max="14852" width="33.44140625" style="115" customWidth="1"/>
    <col min="14853" max="14853" width="18" style="115" customWidth="1"/>
    <col min="14854" max="14854" width="27.6640625" style="115" customWidth="1"/>
    <col min="14855" max="14855" width="28.88671875" style="115" bestFit="1" customWidth="1"/>
    <col min="14856" max="14856" width="3" style="115" customWidth="1"/>
    <col min="14857" max="14857" width="23.44140625" style="115" customWidth="1"/>
    <col min="14858" max="14858" width="8.88671875" style="115"/>
    <col min="14859" max="14859" width="17.88671875" style="115" bestFit="1" customWidth="1"/>
    <col min="14860" max="15104" width="8.88671875" style="115"/>
    <col min="15105" max="15105" width="7.109375" style="115" customWidth="1"/>
    <col min="15106" max="15106" width="2.33203125" style="115" customWidth="1"/>
    <col min="15107" max="15107" width="6.33203125" style="115" customWidth="1"/>
    <col min="15108" max="15108" width="33.44140625" style="115" customWidth="1"/>
    <col min="15109" max="15109" width="18" style="115" customWidth="1"/>
    <col min="15110" max="15110" width="27.6640625" style="115" customWidth="1"/>
    <col min="15111" max="15111" width="28.88671875" style="115" bestFit="1" customWidth="1"/>
    <col min="15112" max="15112" width="3" style="115" customWidth="1"/>
    <col min="15113" max="15113" width="23.44140625" style="115" customWidth="1"/>
    <col min="15114" max="15114" width="8.88671875" style="115"/>
    <col min="15115" max="15115" width="17.88671875" style="115" bestFit="1" customWidth="1"/>
    <col min="15116" max="15360" width="8.88671875" style="115"/>
    <col min="15361" max="15361" width="7.109375" style="115" customWidth="1"/>
    <col min="15362" max="15362" width="2.33203125" style="115" customWidth="1"/>
    <col min="15363" max="15363" width="6.33203125" style="115" customWidth="1"/>
    <col min="15364" max="15364" width="33.44140625" style="115" customWidth="1"/>
    <col min="15365" max="15365" width="18" style="115" customWidth="1"/>
    <col min="15366" max="15366" width="27.6640625" style="115" customWidth="1"/>
    <col min="15367" max="15367" width="28.88671875" style="115" bestFit="1" customWidth="1"/>
    <col min="15368" max="15368" width="3" style="115" customWidth="1"/>
    <col min="15369" max="15369" width="23.44140625" style="115" customWidth="1"/>
    <col min="15370" max="15370" width="8.88671875" style="115"/>
    <col min="15371" max="15371" width="17.88671875" style="115" bestFit="1" customWidth="1"/>
    <col min="15372" max="15616" width="8.88671875" style="115"/>
    <col min="15617" max="15617" width="7.109375" style="115" customWidth="1"/>
    <col min="15618" max="15618" width="2.33203125" style="115" customWidth="1"/>
    <col min="15619" max="15619" width="6.33203125" style="115" customWidth="1"/>
    <col min="15620" max="15620" width="33.44140625" style="115" customWidth="1"/>
    <col min="15621" max="15621" width="18" style="115" customWidth="1"/>
    <col min="15622" max="15622" width="27.6640625" style="115" customWidth="1"/>
    <col min="15623" max="15623" width="28.88671875" style="115" bestFit="1" customWidth="1"/>
    <col min="15624" max="15624" width="3" style="115" customWidth="1"/>
    <col min="15625" max="15625" width="23.44140625" style="115" customWidth="1"/>
    <col min="15626" max="15626" width="8.88671875" style="115"/>
    <col min="15627" max="15627" width="17.88671875" style="115" bestFit="1" customWidth="1"/>
    <col min="15628" max="15872" width="8.88671875" style="115"/>
    <col min="15873" max="15873" width="7.109375" style="115" customWidth="1"/>
    <col min="15874" max="15874" width="2.33203125" style="115" customWidth="1"/>
    <col min="15875" max="15875" width="6.33203125" style="115" customWidth="1"/>
    <col min="15876" max="15876" width="33.44140625" style="115" customWidth="1"/>
    <col min="15877" max="15877" width="18" style="115" customWidth="1"/>
    <col min="15878" max="15878" width="27.6640625" style="115" customWidth="1"/>
    <col min="15879" max="15879" width="28.88671875" style="115" bestFit="1" customWidth="1"/>
    <col min="15880" max="15880" width="3" style="115" customWidth="1"/>
    <col min="15881" max="15881" width="23.44140625" style="115" customWidth="1"/>
    <col min="15882" max="15882" width="8.88671875" style="115"/>
    <col min="15883" max="15883" width="17.88671875" style="115" bestFit="1" customWidth="1"/>
    <col min="15884" max="16128" width="8.88671875" style="115"/>
    <col min="16129" max="16129" width="7.109375" style="115" customWidth="1"/>
    <col min="16130" max="16130" width="2.33203125" style="115" customWidth="1"/>
    <col min="16131" max="16131" width="6.33203125" style="115" customWidth="1"/>
    <col min="16132" max="16132" width="33.44140625" style="115" customWidth="1"/>
    <col min="16133" max="16133" width="18" style="115" customWidth="1"/>
    <col min="16134" max="16134" width="27.6640625" style="115" customWidth="1"/>
    <col min="16135" max="16135" width="28.88671875" style="115" bestFit="1" customWidth="1"/>
    <col min="16136" max="16136" width="3" style="115" customWidth="1"/>
    <col min="16137" max="16137" width="23.44140625" style="115" customWidth="1"/>
    <col min="16138" max="16138" width="8.88671875" style="115"/>
    <col min="16139" max="16139" width="17.88671875" style="115" bestFit="1" customWidth="1"/>
    <col min="16140" max="16384" width="8.88671875" style="115"/>
  </cols>
  <sheetData>
    <row r="1" spans="1:12" ht="18">
      <c r="A1" s="1098"/>
      <c r="B1" s="1099"/>
      <c r="C1" s="1099"/>
      <c r="D1" s="1099"/>
      <c r="E1" s="1099"/>
      <c r="F1" s="1099"/>
      <c r="G1" s="1099"/>
      <c r="H1" s="1099"/>
      <c r="I1" s="1099"/>
      <c r="J1" s="1102" t="str">
        <f>'Attachment H-11A '!K1&amp;""&amp;", Attachment 2"</f>
        <v>Attachment H -11A, Attachment 2</v>
      </c>
      <c r="K1" s="1102"/>
    </row>
    <row r="2" spans="1:12" ht="18">
      <c r="A2" s="1100" t="s">
        <v>789</v>
      </c>
      <c r="B2" s="1100"/>
      <c r="C2" s="1100"/>
      <c r="D2" s="1100"/>
      <c r="E2" s="1100"/>
      <c r="F2" s="1100"/>
      <c r="G2" s="1100"/>
      <c r="H2" s="1100"/>
      <c r="I2" s="1100"/>
      <c r="J2" s="1102" t="s">
        <v>880</v>
      </c>
      <c r="K2" s="1102"/>
    </row>
    <row r="3" spans="1:12" ht="18">
      <c r="A3" s="174"/>
      <c r="B3" s="174"/>
      <c r="C3" s="174"/>
      <c r="D3" s="174"/>
      <c r="E3" s="174"/>
      <c r="F3" s="174"/>
      <c r="G3" s="174"/>
      <c r="H3" s="174"/>
      <c r="I3" s="174"/>
      <c r="J3" s="1103" t="str">
        <f>'Attachment H-11A '!K4</f>
        <v>For the 12 months ended 12/31/2023</v>
      </c>
      <c r="K3" s="1103"/>
      <c r="L3" s="2"/>
    </row>
    <row r="4" spans="1:12" s="117" customFormat="1" ht="15">
      <c r="A4" s="118"/>
      <c r="B4" s="118"/>
    </row>
    <row r="5" spans="1:12" s="117" customFormat="1" ht="15.75">
      <c r="A5" s="121" t="s">
        <v>278</v>
      </c>
      <c r="B5" s="122"/>
      <c r="C5" s="122"/>
      <c r="D5" s="122"/>
      <c r="E5" s="122"/>
      <c r="F5" s="122"/>
      <c r="G5" s="122"/>
      <c r="H5" s="122"/>
      <c r="I5" s="122"/>
    </row>
    <row r="6" spans="1:12" s="117" customFormat="1" ht="15.75">
      <c r="A6" s="123"/>
      <c r="G6" s="124" t="s">
        <v>951</v>
      </c>
    </row>
    <row r="7" spans="1:12" s="117" customFormat="1" ht="15">
      <c r="I7" s="125"/>
    </row>
    <row r="8" spans="1:12" s="117" customFormat="1" ht="15">
      <c r="A8" s="118">
        <v>1</v>
      </c>
      <c r="C8" s="126" t="s">
        <v>481</v>
      </c>
      <c r="D8" s="126"/>
      <c r="F8" s="126"/>
      <c r="G8" s="127" t="s">
        <v>885</v>
      </c>
      <c r="H8" s="126"/>
      <c r="I8" s="907">
        <f>'Attachment H-11A '!I85</f>
        <v>337423350.17693532</v>
      </c>
    </row>
    <row r="9" spans="1:12" s="117" customFormat="1" ht="15">
      <c r="G9" s="126"/>
      <c r="I9" s="125"/>
    </row>
    <row r="10" spans="1:12" s="117" customFormat="1" ht="15">
      <c r="A10" s="118"/>
      <c r="B10" s="126"/>
      <c r="C10" s="126"/>
      <c r="D10" s="126"/>
      <c r="F10" s="119"/>
      <c r="G10" s="126"/>
      <c r="H10" s="119"/>
      <c r="I10" s="119"/>
    </row>
    <row r="11" spans="1:12" s="117" customFormat="1" ht="15.75">
      <c r="A11" s="118">
        <f>A8+1</f>
        <v>2</v>
      </c>
      <c r="B11" s="126"/>
      <c r="C11" s="126" t="s">
        <v>482</v>
      </c>
      <c r="D11" s="128"/>
      <c r="F11" s="117" t="s">
        <v>483</v>
      </c>
      <c r="G11" s="127" t="s">
        <v>886</v>
      </c>
      <c r="H11" s="119"/>
      <c r="I11" s="119">
        <f>'Attachment H-11A '!I240</f>
        <v>0</v>
      </c>
    </row>
    <row r="12" spans="1:12" s="117" customFormat="1" ht="15">
      <c r="A12" s="118"/>
      <c r="B12" s="126"/>
      <c r="C12" s="126"/>
      <c r="D12" s="126"/>
      <c r="G12" s="127"/>
      <c r="H12" s="119"/>
      <c r="I12" s="119"/>
    </row>
    <row r="13" spans="1:12" s="117" customFormat="1" ht="15.75">
      <c r="A13" s="118"/>
      <c r="B13" s="126"/>
      <c r="C13" s="126" t="s">
        <v>88</v>
      </c>
      <c r="D13" s="129"/>
      <c r="G13" s="127"/>
      <c r="H13" s="119"/>
      <c r="I13" s="119"/>
    </row>
    <row r="14" spans="1:12" s="117" customFormat="1" ht="15">
      <c r="A14" s="118">
        <f>A11+1</f>
        <v>3</v>
      </c>
      <c r="B14" s="126"/>
      <c r="C14" s="126"/>
      <c r="D14" s="126" t="s">
        <v>484</v>
      </c>
      <c r="E14" s="119"/>
      <c r="F14" s="119"/>
      <c r="G14" s="127" t="s">
        <v>505</v>
      </c>
      <c r="H14" s="119"/>
      <c r="I14" s="119">
        <f>'Attachment 8 - Cap Structure'!E23</f>
        <v>1652301016.1730776</v>
      </c>
    </row>
    <row r="15" spans="1:12" s="117" customFormat="1" ht="15">
      <c r="A15" s="118">
        <f>A14+1</f>
        <v>4</v>
      </c>
      <c r="B15" s="126"/>
      <c r="C15" s="126"/>
      <c r="D15" s="126" t="s">
        <v>283</v>
      </c>
      <c r="E15" s="119"/>
      <c r="F15" s="119"/>
      <c r="G15" s="127" t="s">
        <v>932</v>
      </c>
      <c r="H15" s="119"/>
      <c r="I15" s="119">
        <f>'Attachment 8 - Cap Structure'!G23</f>
        <v>0</v>
      </c>
    </row>
    <row r="16" spans="1:12" s="117" customFormat="1" ht="15">
      <c r="A16" s="118">
        <f>A15+1</f>
        <v>5</v>
      </c>
      <c r="B16" s="126"/>
      <c r="C16" s="126"/>
      <c r="D16" s="126" t="s">
        <v>284</v>
      </c>
      <c r="E16" s="119"/>
      <c r="F16" s="119"/>
      <c r="G16" s="127" t="s">
        <v>506</v>
      </c>
      <c r="H16" s="119"/>
      <c r="I16" s="119">
        <f>'Attachment 8 - Cap Structure'!J23</f>
        <v>-233713.87769230775</v>
      </c>
    </row>
    <row r="17" spans="1:11" s="117" customFormat="1" ht="15">
      <c r="A17" s="118">
        <f>+A16+1</f>
        <v>6</v>
      </c>
      <c r="B17" s="126"/>
      <c r="C17" s="126"/>
      <c r="D17" s="126" t="s">
        <v>933</v>
      </c>
      <c r="E17" s="130"/>
      <c r="F17" s="130"/>
      <c r="G17" s="131" t="s">
        <v>934</v>
      </c>
      <c r="H17" s="130"/>
      <c r="I17" s="130">
        <f>'Attachment 8 - Cap Structure'!H23+'Attachment 8 - Cap Structure'!K23+'Attachment 8 - Cap Structure'!F23+'Attachment 8 - Cap Structure'!I23</f>
        <v>52599554.768461525</v>
      </c>
    </row>
    <row r="18" spans="1:11" s="117" customFormat="1" ht="15">
      <c r="A18" s="118">
        <f>A17+1</f>
        <v>7</v>
      </c>
      <c r="B18" s="126"/>
      <c r="C18" s="126"/>
      <c r="D18" s="126" t="s">
        <v>88</v>
      </c>
      <c r="E18" s="119"/>
      <c r="F18" s="119"/>
      <c r="G18" s="127" t="s">
        <v>935</v>
      </c>
      <c r="H18" s="119"/>
      <c r="I18" s="119">
        <f>'Attachment 8 - Cap Structure'!L23</f>
        <v>1599935175.2823083</v>
      </c>
    </row>
    <row r="19" spans="1:11" s="117" customFormat="1" ht="15">
      <c r="A19" s="118"/>
      <c r="B19" s="126"/>
      <c r="C19" s="126"/>
      <c r="D19" s="126"/>
      <c r="E19" s="119"/>
      <c r="F19" s="119"/>
      <c r="G19" s="127"/>
      <c r="H19" s="119"/>
      <c r="I19" s="119"/>
    </row>
    <row r="20" spans="1:11" s="117" customFormat="1" ht="15">
      <c r="A20" s="118"/>
      <c r="B20" s="126"/>
      <c r="C20" s="126"/>
      <c r="D20" s="126"/>
      <c r="E20" s="119"/>
      <c r="F20" s="119"/>
      <c r="G20" s="127"/>
      <c r="H20" s="119"/>
      <c r="I20" s="119"/>
    </row>
    <row r="21" spans="1:11" s="117" customFormat="1" ht="15.75">
      <c r="A21" s="118"/>
      <c r="B21" s="126"/>
      <c r="C21" s="126" t="s">
        <v>485</v>
      </c>
      <c r="D21" s="129"/>
      <c r="G21" s="127"/>
      <c r="I21" s="119"/>
    </row>
    <row r="22" spans="1:11" s="117" customFormat="1" ht="15">
      <c r="A22" s="118">
        <f>+A18+1</f>
        <v>8</v>
      </c>
      <c r="B22" s="126"/>
      <c r="C22" s="126"/>
      <c r="D22" s="126" t="s">
        <v>229</v>
      </c>
      <c r="G22" s="127" t="s">
        <v>887</v>
      </c>
      <c r="I22" s="119">
        <f>'Attachment H-11A '!D245</f>
        <v>1773076923.0769217</v>
      </c>
    </row>
    <row r="23" spans="1:11" s="117" customFormat="1" ht="15">
      <c r="A23" s="118">
        <f>A22+1</f>
        <v>9</v>
      </c>
      <c r="B23" s="126"/>
      <c r="C23" s="126"/>
      <c r="D23" s="126" t="s">
        <v>227</v>
      </c>
      <c r="G23" s="127" t="s">
        <v>888</v>
      </c>
      <c r="I23" s="119">
        <f>'Attachment H-11A '!D246</f>
        <v>0</v>
      </c>
    </row>
    <row r="24" spans="1:11" s="117" customFormat="1" ht="15">
      <c r="A24" s="118">
        <f t="shared" ref="A24:A25" si="0">A23+1</f>
        <v>10</v>
      </c>
      <c r="B24" s="126"/>
      <c r="C24" s="126"/>
      <c r="D24" s="126" t="s">
        <v>88</v>
      </c>
      <c r="G24" s="131" t="s">
        <v>889</v>
      </c>
      <c r="I24" s="119">
        <f>'Attachment H-11A '!D247</f>
        <v>1599935175.2823083</v>
      </c>
    </row>
    <row r="25" spans="1:11" s="117" customFormat="1" ht="15.75">
      <c r="A25" s="118">
        <f t="shared" si="0"/>
        <v>11</v>
      </c>
      <c r="B25" s="126"/>
      <c r="C25" s="126"/>
      <c r="D25" s="126" t="s">
        <v>952</v>
      </c>
      <c r="E25" s="132"/>
      <c r="F25" s="133"/>
      <c r="G25" s="127" t="s">
        <v>890</v>
      </c>
      <c r="H25" s="134"/>
      <c r="I25" s="134">
        <f>'Attachment H-11A '!D248</f>
        <v>3373012098.35923</v>
      </c>
    </row>
    <row r="26" spans="1:11" s="117" customFormat="1" ht="15">
      <c r="A26" s="118"/>
      <c r="B26" s="126"/>
      <c r="C26" s="126"/>
      <c r="D26" s="126"/>
      <c r="G26" s="126"/>
      <c r="H26" s="119"/>
      <c r="I26" s="135"/>
    </row>
    <row r="27" spans="1:11" s="117" customFormat="1" ht="15">
      <c r="A27" s="118">
        <f>A25+1</f>
        <v>12</v>
      </c>
      <c r="B27" s="126"/>
      <c r="C27" s="126"/>
      <c r="D27" s="126" t="s">
        <v>486</v>
      </c>
      <c r="F27" s="126" t="s">
        <v>955</v>
      </c>
      <c r="G27" s="127" t="s">
        <v>891</v>
      </c>
      <c r="H27" s="119"/>
      <c r="I27" s="136">
        <f>'Attachment H-11A '!E245</f>
        <v>0.52566574663026511</v>
      </c>
    </row>
    <row r="28" spans="1:11" s="117" customFormat="1" ht="15">
      <c r="A28" s="118">
        <f>A27+1</f>
        <v>13</v>
      </c>
      <c r="B28" s="126"/>
      <c r="C28" s="126"/>
      <c r="D28" s="126" t="s">
        <v>487</v>
      </c>
      <c r="F28" s="126" t="s">
        <v>227</v>
      </c>
      <c r="G28" s="127" t="s">
        <v>892</v>
      </c>
      <c r="H28" s="119"/>
      <c r="I28" s="136">
        <f>'Attachment H-11A '!E246</f>
        <v>0</v>
      </c>
    </row>
    <row r="29" spans="1:11" s="117" customFormat="1" ht="15">
      <c r="A29" s="118">
        <f>A28+1</f>
        <v>14</v>
      </c>
      <c r="B29" s="126"/>
      <c r="C29" s="126"/>
      <c r="D29" s="126" t="s">
        <v>488</v>
      </c>
      <c r="F29" s="126" t="s">
        <v>88</v>
      </c>
      <c r="G29" s="127" t="s">
        <v>893</v>
      </c>
      <c r="H29" s="119"/>
      <c r="I29" s="136">
        <f>'Attachment H-11A '!E247</f>
        <v>0.47433425336973495</v>
      </c>
    </row>
    <row r="30" spans="1:11" s="117" customFormat="1" ht="15">
      <c r="A30" s="118"/>
      <c r="B30" s="126"/>
      <c r="C30" s="126"/>
      <c r="D30" s="126"/>
      <c r="F30" s="127"/>
      <c r="G30" s="126"/>
      <c r="H30" s="119"/>
      <c r="I30" s="135"/>
    </row>
    <row r="31" spans="1:11" s="117" customFormat="1" ht="15">
      <c r="A31" s="118">
        <f>A29+1</f>
        <v>15</v>
      </c>
      <c r="B31" s="126"/>
      <c r="C31" s="126"/>
      <c r="D31" s="126" t="s">
        <v>361</v>
      </c>
      <c r="F31" s="127" t="s">
        <v>955</v>
      </c>
      <c r="G31" s="127" t="s">
        <v>894</v>
      </c>
      <c r="H31" s="119"/>
      <c r="I31" s="137">
        <f>'Attachment H-11A '!G245</f>
        <v>4.3700000000000003E-2</v>
      </c>
      <c r="K31" s="137"/>
    </row>
    <row r="32" spans="1:11" s="117" customFormat="1" ht="15">
      <c r="A32" s="118">
        <f>A31+1</f>
        <v>16</v>
      </c>
      <c r="B32" s="126"/>
      <c r="C32" s="126"/>
      <c r="D32" s="126" t="s">
        <v>489</v>
      </c>
      <c r="F32" s="127" t="s">
        <v>227</v>
      </c>
      <c r="G32" s="127" t="s">
        <v>895</v>
      </c>
      <c r="H32" s="119"/>
      <c r="I32" s="137">
        <f>'Attachment H-11A '!G246</f>
        <v>0</v>
      </c>
    </row>
    <row r="33" spans="1:11" s="117" customFormat="1" ht="15">
      <c r="A33" s="118">
        <f>A32+1</f>
        <v>17</v>
      </c>
      <c r="B33" s="126"/>
      <c r="C33" s="126"/>
      <c r="D33" s="126" t="s">
        <v>490</v>
      </c>
      <c r="F33" s="127" t="s">
        <v>88</v>
      </c>
      <c r="G33" s="127" t="s">
        <v>896</v>
      </c>
      <c r="H33" s="119"/>
      <c r="I33" s="884">
        <f>'Attachment H-11A '!G247</f>
        <v>0.1045</v>
      </c>
      <c r="K33" s="137"/>
    </row>
    <row r="34" spans="1:11" s="117" customFormat="1" ht="15">
      <c r="A34" s="118"/>
      <c r="B34" s="126"/>
      <c r="C34" s="126"/>
      <c r="D34" s="126"/>
      <c r="F34" s="127"/>
      <c r="G34" s="126"/>
      <c r="H34" s="119"/>
    </row>
    <row r="35" spans="1:11" s="117" customFormat="1" ht="15">
      <c r="A35" s="118">
        <f>A33+1</f>
        <v>18</v>
      </c>
      <c r="B35" s="126"/>
      <c r="C35" s="126"/>
      <c r="D35" s="126" t="s">
        <v>491</v>
      </c>
      <c r="F35" s="126" t="s">
        <v>956</v>
      </c>
      <c r="G35" s="126" t="s">
        <v>301</v>
      </c>
      <c r="H35" s="138"/>
      <c r="I35" s="137">
        <f>I31*I27</f>
        <v>2.2971593127742586E-2</v>
      </c>
    </row>
    <row r="36" spans="1:11" s="117" customFormat="1" ht="15">
      <c r="A36" s="118">
        <f>A35+1</f>
        <v>19</v>
      </c>
      <c r="B36" s="126"/>
      <c r="C36" s="126"/>
      <c r="D36" s="126" t="s">
        <v>492</v>
      </c>
      <c r="F36" s="126" t="s">
        <v>227</v>
      </c>
      <c r="G36" s="126" t="s">
        <v>302</v>
      </c>
      <c r="H36" s="139"/>
      <c r="I36" s="137">
        <f>I32*I28</f>
        <v>0</v>
      </c>
    </row>
    <row r="37" spans="1:11" s="117" customFormat="1" ht="15">
      <c r="A37" s="118">
        <f>A36+1</f>
        <v>20</v>
      </c>
      <c r="B37" s="126"/>
      <c r="C37" s="126"/>
      <c r="D37" s="140" t="s">
        <v>493</v>
      </c>
      <c r="E37" s="141"/>
      <c r="F37" s="140" t="s">
        <v>88</v>
      </c>
      <c r="G37" s="140" t="s">
        <v>303</v>
      </c>
      <c r="H37" s="142"/>
      <c r="I37" s="143">
        <f>I33*I29</f>
        <v>4.9567929477137299E-2</v>
      </c>
    </row>
    <row r="38" spans="1:11" s="117" customFormat="1" ht="15.75">
      <c r="A38" s="118">
        <f>A37+1</f>
        <v>21</v>
      </c>
      <c r="B38" s="126"/>
      <c r="C38" s="126" t="s">
        <v>954</v>
      </c>
      <c r="D38" s="126"/>
      <c r="E38" s="144"/>
      <c r="F38" s="144"/>
      <c r="G38" s="126" t="str">
        <f>"(Sum Lines "&amp;A35&amp;" to "&amp;A37&amp;")"</f>
        <v>(Sum Lines 18 to 20)</v>
      </c>
      <c r="H38" s="145"/>
      <c r="I38" s="146">
        <f>SUM(I35:I37)</f>
        <v>7.2539522604879891E-2</v>
      </c>
    </row>
    <row r="39" spans="1:11" s="117" customFormat="1" ht="15.75">
      <c r="A39" s="124"/>
      <c r="B39" s="126"/>
      <c r="C39" s="126"/>
      <c r="D39" s="126"/>
      <c r="E39" s="144"/>
      <c r="F39" s="144"/>
      <c r="G39" s="129"/>
      <c r="H39" s="145"/>
      <c r="I39" s="146"/>
    </row>
    <row r="40" spans="1:11" s="117" customFormat="1" ht="16.5" thickBot="1">
      <c r="A40" s="118">
        <f>A38+1</f>
        <v>22</v>
      </c>
      <c r="B40" s="126"/>
      <c r="C40" s="126" t="s">
        <v>494</v>
      </c>
      <c r="D40" s="126"/>
      <c r="E40" s="147"/>
      <c r="F40" s="148"/>
      <c r="G40" s="149" t="str">
        <f>"(Line "&amp;A8&amp;" * Line "&amp;A38&amp;")"</f>
        <v>(Line 1 * Line 21)</v>
      </c>
      <c r="H40" s="150"/>
      <c r="I40" s="151">
        <f>+I38*I8</f>
        <v>24476528.737574104</v>
      </c>
    </row>
    <row r="41" spans="1:11" s="117" customFormat="1" ht="15.75" thickTop="1">
      <c r="A41" s="118"/>
      <c r="B41" s="118"/>
      <c r="C41" s="118"/>
      <c r="F41" s="118"/>
      <c r="G41" s="119"/>
      <c r="H41" s="119"/>
      <c r="I41" s="137"/>
    </row>
    <row r="42" spans="1:11" s="117" customFormat="1" ht="15.75">
      <c r="A42" s="152" t="s">
        <v>285</v>
      </c>
      <c r="B42" s="152"/>
      <c r="C42" s="153"/>
      <c r="D42" s="154"/>
      <c r="E42" s="122"/>
      <c r="F42" s="155"/>
      <c r="G42" s="122"/>
      <c r="H42" s="122"/>
      <c r="I42" s="156"/>
    </row>
    <row r="43" spans="1:11" s="117" customFormat="1" ht="15.75">
      <c r="A43" s="126"/>
      <c r="B43" s="126"/>
      <c r="C43" s="118"/>
      <c r="D43" s="144"/>
      <c r="F43" s="135"/>
      <c r="I43" s="157"/>
      <c r="K43" s="119"/>
    </row>
    <row r="44" spans="1:11" s="117" customFormat="1" ht="15.75">
      <c r="A44" s="118" t="s">
        <v>3</v>
      </c>
      <c r="B44" s="118"/>
      <c r="C44" s="158" t="s">
        <v>279</v>
      </c>
      <c r="F44" s="135"/>
      <c r="G44" s="119"/>
      <c r="H44" s="159"/>
    </row>
    <row r="45" spans="1:11" s="117" customFormat="1" ht="15">
      <c r="A45" s="118">
        <f>+A40+1</f>
        <v>23</v>
      </c>
      <c r="B45" s="118"/>
      <c r="C45" s="118"/>
      <c r="D45" s="203" t="s">
        <v>62</v>
      </c>
      <c r="F45" s="118"/>
      <c r="G45" s="127" t="s">
        <v>1134</v>
      </c>
      <c r="H45" s="160"/>
      <c r="I45" s="161">
        <f>'Attachment H-11A '!D144</f>
        <v>0.25800151784999992</v>
      </c>
    </row>
    <row r="46" spans="1:11" s="117" customFormat="1" ht="15">
      <c r="A46" s="118">
        <f>+A45+1</f>
        <v>24</v>
      </c>
      <c r="B46" s="118"/>
      <c r="C46" s="118"/>
      <c r="D46" s="80" t="s">
        <v>820</v>
      </c>
      <c r="E46" s="162"/>
      <c r="F46" s="118"/>
      <c r="G46" s="127" t="s">
        <v>291</v>
      </c>
      <c r="H46" s="160"/>
      <c r="I46" s="177">
        <f>(I45/(1-I45)*(1-I35/I38))</f>
        <v>0.2375993943041978</v>
      </c>
    </row>
    <row r="47" spans="1:11" s="117" customFormat="1" ht="15">
      <c r="A47" s="118"/>
      <c r="B47" s="118"/>
      <c r="C47" s="118"/>
      <c r="D47" s="204"/>
      <c r="E47" s="160"/>
      <c r="F47" s="118"/>
      <c r="G47" s="127"/>
      <c r="H47" s="160"/>
      <c r="I47" s="163"/>
    </row>
    <row r="48" spans="1:11" s="117" customFormat="1" ht="15">
      <c r="A48" s="118"/>
      <c r="B48" s="118"/>
      <c r="C48" s="118"/>
      <c r="D48" s="204"/>
      <c r="E48" s="164"/>
      <c r="F48" s="118"/>
      <c r="G48" s="127"/>
      <c r="H48" s="160"/>
      <c r="I48" s="161"/>
    </row>
    <row r="49" spans="1:11" s="117" customFormat="1" ht="15.75">
      <c r="A49" s="118">
        <v>25</v>
      </c>
      <c r="B49" s="118"/>
      <c r="C49" s="118"/>
      <c r="D49" s="203" t="s">
        <v>821</v>
      </c>
      <c r="E49" s="162"/>
      <c r="F49" s="118"/>
      <c r="G49" s="1028" t="s">
        <v>1135</v>
      </c>
      <c r="H49" s="160"/>
      <c r="I49" s="94">
        <f>'Attachment H-11A '!D148</f>
        <v>1.3477116517845424</v>
      </c>
      <c r="K49" s="165"/>
    </row>
    <row r="50" spans="1:11" s="117" customFormat="1" ht="15">
      <c r="A50" s="118">
        <v>26</v>
      </c>
      <c r="B50" s="118"/>
      <c r="C50" s="118"/>
      <c r="D50" s="204" t="s">
        <v>248</v>
      </c>
      <c r="F50" s="166"/>
      <c r="G50" s="127" t="s">
        <v>1136</v>
      </c>
      <c r="H50" s="159"/>
      <c r="I50" s="175">
        <f>'Attachment H-11A '!D149</f>
        <v>0</v>
      </c>
    </row>
    <row r="51" spans="1:11" s="117" customFormat="1" ht="15">
      <c r="A51" s="118">
        <v>27</v>
      </c>
      <c r="B51" s="118"/>
      <c r="C51" s="118"/>
      <c r="D51" s="204" t="s">
        <v>282</v>
      </c>
      <c r="F51" s="166"/>
      <c r="G51" s="127" t="s">
        <v>1137</v>
      </c>
      <c r="H51" s="159"/>
      <c r="I51" s="175">
        <f>'Attachment H-11A '!D150</f>
        <v>112255.94441349927</v>
      </c>
    </row>
    <row r="52" spans="1:11" s="117" customFormat="1" ht="15">
      <c r="A52" s="118">
        <v>28</v>
      </c>
      <c r="B52" s="118"/>
      <c r="C52" s="118"/>
      <c r="D52" s="204" t="s">
        <v>289</v>
      </c>
      <c r="F52" s="166"/>
      <c r="G52" s="127" t="s">
        <v>1138</v>
      </c>
      <c r="H52" s="159"/>
      <c r="I52" s="175">
        <f>'Attachment H-11A '!D151</f>
        <v>-382026.03627970727</v>
      </c>
    </row>
    <row r="53" spans="1:11" s="117" customFormat="1" ht="15">
      <c r="A53" s="118">
        <v>29</v>
      </c>
      <c r="B53" s="118"/>
      <c r="C53" s="118"/>
      <c r="D53" s="203" t="s">
        <v>286</v>
      </c>
      <c r="F53" s="166"/>
      <c r="G53" s="164" t="s">
        <v>305</v>
      </c>
      <c r="H53" s="159"/>
      <c r="I53" s="175">
        <f>I46*I40</f>
        <v>5815608.4027168984</v>
      </c>
    </row>
    <row r="54" spans="1:11" s="117" customFormat="1" ht="15">
      <c r="A54" s="118">
        <v>30</v>
      </c>
      <c r="B54" s="118"/>
      <c r="C54" s="118"/>
      <c r="D54" s="80" t="s">
        <v>287</v>
      </c>
      <c r="F54" s="166"/>
      <c r="G54" s="127" t="s">
        <v>1139</v>
      </c>
      <c r="H54" s="159"/>
      <c r="I54" s="175">
        <f>'Attachment H-11A '!I153</f>
        <v>0</v>
      </c>
    </row>
    <row r="55" spans="1:11" s="117" customFormat="1" ht="15">
      <c r="A55" s="118">
        <v>31</v>
      </c>
      <c r="B55" s="118"/>
      <c r="C55" s="118"/>
      <c r="D55" s="80" t="s">
        <v>288</v>
      </c>
      <c r="F55" s="166"/>
      <c r="G55" s="127" t="s">
        <v>1140</v>
      </c>
      <c r="H55" s="159"/>
      <c r="I55" s="175">
        <f>'Attachment H-11A '!I154</f>
        <v>151288.64426815088</v>
      </c>
    </row>
    <row r="56" spans="1:11" s="117" customFormat="1" ht="15.75" thickBot="1">
      <c r="A56" s="118">
        <v>32</v>
      </c>
      <c r="B56" s="118"/>
      <c r="C56" s="118"/>
      <c r="D56" s="80" t="s">
        <v>290</v>
      </c>
      <c r="F56" s="166"/>
      <c r="G56" s="127" t="s">
        <v>1141</v>
      </c>
      <c r="H56" s="159"/>
      <c r="I56" s="176">
        <f>'Attachment H-11A '!D155</f>
        <v>-514860.94037922582</v>
      </c>
    </row>
    <row r="57" spans="1:11" s="117" customFormat="1" ht="15">
      <c r="A57" s="118">
        <v>33</v>
      </c>
      <c r="B57" s="118"/>
      <c r="C57" s="118"/>
      <c r="D57" s="203" t="s">
        <v>64</v>
      </c>
      <c r="F57" s="166"/>
      <c r="G57" s="164" t="s">
        <v>304</v>
      </c>
      <c r="H57" s="159"/>
      <c r="I57" s="202">
        <f>SUM(I53:I56)</f>
        <v>5452036.1066058232</v>
      </c>
    </row>
    <row r="58" spans="1:11" s="117" customFormat="1" ht="15">
      <c r="A58" s="118"/>
      <c r="B58" s="118"/>
      <c r="C58" s="118"/>
      <c r="F58" s="166"/>
      <c r="G58" s="164"/>
      <c r="H58" s="159"/>
      <c r="I58" s="167"/>
    </row>
    <row r="59" spans="1:11" s="117" customFormat="1" ht="15.75">
      <c r="A59" s="152" t="s">
        <v>790</v>
      </c>
      <c r="B59" s="152"/>
      <c r="C59" s="153"/>
      <c r="D59" s="154"/>
      <c r="E59" s="122"/>
      <c r="F59" s="155"/>
      <c r="G59" s="122"/>
      <c r="H59" s="122"/>
      <c r="I59" s="156"/>
    </row>
    <row r="60" spans="1:11" s="117" customFormat="1" ht="15.75">
      <c r="A60" s="197"/>
      <c r="B60" s="197"/>
      <c r="C60" s="198"/>
      <c r="D60" s="199"/>
      <c r="F60" s="200"/>
      <c r="I60" s="201"/>
    </row>
    <row r="61" spans="1:11" s="117" customFormat="1" ht="15">
      <c r="A61" s="118">
        <v>34</v>
      </c>
      <c r="B61" s="118"/>
      <c r="C61" s="118"/>
      <c r="D61" s="117" t="s">
        <v>791</v>
      </c>
      <c r="F61" s="166"/>
      <c r="G61" s="164" t="s">
        <v>306</v>
      </c>
      <c r="H61" s="159"/>
      <c r="I61" s="175">
        <f>I40+I57</f>
        <v>29928564.844179928</v>
      </c>
    </row>
    <row r="62" spans="1:11" s="117" customFormat="1" ht="15">
      <c r="A62" s="118"/>
      <c r="B62" s="118"/>
      <c r="C62" s="118"/>
      <c r="F62" s="166"/>
      <c r="G62" s="164"/>
      <c r="H62" s="159"/>
      <c r="I62" s="175"/>
    </row>
    <row r="63" spans="1:11" s="117" customFormat="1" ht="15">
      <c r="A63" s="118">
        <v>35</v>
      </c>
      <c r="B63" s="118"/>
      <c r="C63" s="118"/>
      <c r="D63" s="117" t="s">
        <v>827</v>
      </c>
      <c r="F63" s="166"/>
      <c r="G63" s="164" t="s">
        <v>1142</v>
      </c>
      <c r="H63" s="159"/>
      <c r="I63" s="175">
        <f>'Attachment H-11A '!I158</f>
        <v>24476528.737574104</v>
      </c>
    </row>
    <row r="64" spans="1:11" s="117" customFormat="1" ht="15">
      <c r="A64" s="118">
        <v>36</v>
      </c>
      <c r="B64" s="118"/>
      <c r="C64" s="118"/>
      <c r="D64" s="117" t="s">
        <v>828</v>
      </c>
      <c r="F64" s="166"/>
      <c r="G64" s="164" t="s">
        <v>1143</v>
      </c>
      <c r="H64" s="159"/>
      <c r="I64" s="175">
        <f>'Attachment H-11A '!I156</f>
        <v>5452036.1066058232</v>
      </c>
    </row>
    <row r="65" spans="1:11" s="117" customFormat="1" ht="15">
      <c r="A65" s="118"/>
      <c r="B65" s="118"/>
      <c r="C65" s="118"/>
      <c r="F65" s="166"/>
      <c r="G65" s="164"/>
      <c r="H65" s="159"/>
      <c r="I65" s="175"/>
    </row>
    <row r="66" spans="1:11" s="117" customFormat="1" ht="15.75">
      <c r="A66" s="118" t="s">
        <v>206</v>
      </c>
      <c r="B66" s="118"/>
      <c r="C66" s="118"/>
      <c r="F66" s="166"/>
      <c r="G66" s="164"/>
      <c r="H66" s="159"/>
      <c r="I66" s="168"/>
    </row>
    <row r="67" spans="1:11" s="117" customFormat="1" ht="22.35" customHeight="1">
      <c r="A67" s="118"/>
      <c r="B67" s="1101" t="s">
        <v>897</v>
      </c>
      <c r="C67" s="1101"/>
      <c r="D67" s="1101"/>
      <c r="E67" s="1101"/>
      <c r="F67" s="1101"/>
      <c r="G67" s="1101"/>
      <c r="H67" s="1101"/>
      <c r="I67" s="1101"/>
      <c r="J67" s="1101"/>
      <c r="K67" s="1101"/>
    </row>
    <row r="68" spans="1:11" s="117" customFormat="1" ht="15.75">
      <c r="A68" s="118"/>
      <c r="B68" s="118"/>
      <c r="C68" s="118"/>
      <c r="D68" s="126"/>
      <c r="F68" s="118"/>
      <c r="G68" s="119"/>
      <c r="H68" s="169"/>
      <c r="I68" s="170"/>
    </row>
  </sheetData>
  <mergeCells count="6">
    <mergeCell ref="A1:I1"/>
    <mergeCell ref="A2:I2"/>
    <mergeCell ref="B67:K67"/>
    <mergeCell ref="J2:K2"/>
    <mergeCell ref="J1:K1"/>
    <mergeCell ref="J3:K3"/>
  </mergeCells>
  <printOptions horizontalCentered="1"/>
  <pageMargins left="0.5" right="0.33" top="0.5" bottom="0.5" header="0.5" footer="0.5"/>
  <pageSetup scale="43" orientation="portrait" r:id="rId1"/>
  <headerFooter alignWithMargins="0"/>
  <ignoredErrors>
    <ignoredError sqref="I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sheetPr codeName="Sheet10"/>
  <dimension ref="A1:L72"/>
  <sheetViews>
    <sheetView view="pageBreakPreview" zoomScale="60" zoomScaleNormal="100" workbookViewId="0">
      <selection sqref="A1:I1"/>
    </sheetView>
  </sheetViews>
  <sheetFormatPr defaultRowHeight="12.75"/>
  <cols>
    <col min="1" max="1" width="7.109375" style="115" customWidth="1"/>
    <col min="2" max="2" width="2.33203125" style="115" customWidth="1"/>
    <col min="3" max="3" width="6.33203125" style="115" customWidth="1"/>
    <col min="4" max="4" width="33.44140625" style="115" customWidth="1"/>
    <col min="5" max="5" width="18" style="115" customWidth="1"/>
    <col min="6" max="6" width="27.6640625" style="115" customWidth="1"/>
    <col min="7" max="7" width="54.33203125" style="115" customWidth="1"/>
    <col min="8" max="8" width="0.5546875" style="115" customWidth="1"/>
    <col min="9" max="9" width="23.44140625" style="115" customWidth="1"/>
    <col min="10" max="10" width="7.88671875" style="115" customWidth="1"/>
    <col min="11" max="11" width="17.88671875" style="115" bestFit="1" customWidth="1"/>
    <col min="12" max="12" width="6.109375" style="115" customWidth="1"/>
    <col min="13" max="256" width="8.88671875" style="115"/>
    <col min="257" max="257" width="7.109375" style="115" customWidth="1"/>
    <col min="258" max="258" width="2.33203125" style="115" customWidth="1"/>
    <col min="259" max="259" width="6.33203125" style="115" customWidth="1"/>
    <col min="260" max="260" width="33.44140625" style="115" customWidth="1"/>
    <col min="261" max="261" width="18" style="115" customWidth="1"/>
    <col min="262" max="262" width="27.6640625" style="115" customWidth="1"/>
    <col min="263" max="263" width="28.88671875" style="115" bestFit="1" customWidth="1"/>
    <col min="264" max="264" width="3" style="115" customWidth="1"/>
    <col min="265" max="265" width="23.44140625" style="115" customWidth="1"/>
    <col min="266" max="266" width="8.88671875" style="115"/>
    <col min="267" max="267" width="17.88671875" style="115" bestFit="1" customWidth="1"/>
    <col min="268" max="512" width="8.88671875" style="115"/>
    <col min="513" max="513" width="7.109375" style="115" customWidth="1"/>
    <col min="514" max="514" width="2.33203125" style="115" customWidth="1"/>
    <col min="515" max="515" width="6.33203125" style="115" customWidth="1"/>
    <col min="516" max="516" width="33.44140625" style="115" customWidth="1"/>
    <col min="517" max="517" width="18" style="115" customWidth="1"/>
    <col min="518" max="518" width="27.6640625" style="115" customWidth="1"/>
    <col min="519" max="519" width="28.88671875" style="115" bestFit="1" customWidth="1"/>
    <col min="520" max="520" width="3" style="115" customWidth="1"/>
    <col min="521" max="521" width="23.44140625" style="115" customWidth="1"/>
    <col min="522" max="522" width="8.88671875" style="115"/>
    <col min="523" max="523" width="17.88671875" style="115" bestFit="1" customWidth="1"/>
    <col min="524" max="768" width="8.88671875" style="115"/>
    <col min="769" max="769" width="7.109375" style="115" customWidth="1"/>
    <col min="770" max="770" width="2.33203125" style="115" customWidth="1"/>
    <col min="771" max="771" width="6.33203125" style="115" customWidth="1"/>
    <col min="772" max="772" width="33.44140625" style="115" customWidth="1"/>
    <col min="773" max="773" width="18" style="115" customWidth="1"/>
    <col min="774" max="774" width="27.6640625" style="115" customWidth="1"/>
    <col min="775" max="775" width="28.88671875" style="115" bestFit="1" customWidth="1"/>
    <col min="776" max="776" width="3" style="115" customWidth="1"/>
    <col min="777" max="777" width="23.44140625" style="115" customWidth="1"/>
    <col min="778" max="778" width="8.88671875" style="115"/>
    <col min="779" max="779" width="17.88671875" style="115" bestFit="1" customWidth="1"/>
    <col min="780" max="1024" width="8.88671875" style="115"/>
    <col min="1025" max="1025" width="7.109375" style="115" customWidth="1"/>
    <col min="1026" max="1026" width="2.33203125" style="115" customWidth="1"/>
    <col min="1027" max="1027" width="6.33203125" style="115" customWidth="1"/>
    <col min="1028" max="1028" width="33.44140625" style="115" customWidth="1"/>
    <col min="1029" max="1029" width="18" style="115" customWidth="1"/>
    <col min="1030" max="1030" width="27.6640625" style="115" customWidth="1"/>
    <col min="1031" max="1031" width="28.88671875" style="115" bestFit="1" customWidth="1"/>
    <col min="1032" max="1032" width="3" style="115" customWidth="1"/>
    <col min="1033" max="1033" width="23.44140625" style="115" customWidth="1"/>
    <col min="1034" max="1034" width="8.88671875" style="115"/>
    <col min="1035" max="1035" width="17.88671875" style="115" bestFit="1" customWidth="1"/>
    <col min="1036" max="1280" width="8.88671875" style="115"/>
    <col min="1281" max="1281" width="7.109375" style="115" customWidth="1"/>
    <col min="1282" max="1282" width="2.33203125" style="115" customWidth="1"/>
    <col min="1283" max="1283" width="6.33203125" style="115" customWidth="1"/>
    <col min="1284" max="1284" width="33.44140625" style="115" customWidth="1"/>
    <col min="1285" max="1285" width="18" style="115" customWidth="1"/>
    <col min="1286" max="1286" width="27.6640625" style="115" customWidth="1"/>
    <col min="1287" max="1287" width="28.88671875" style="115" bestFit="1" customWidth="1"/>
    <col min="1288" max="1288" width="3" style="115" customWidth="1"/>
    <col min="1289" max="1289" width="23.44140625" style="115" customWidth="1"/>
    <col min="1290" max="1290" width="8.88671875" style="115"/>
    <col min="1291" max="1291" width="17.88671875" style="115" bestFit="1" customWidth="1"/>
    <col min="1292" max="1536" width="8.88671875" style="115"/>
    <col min="1537" max="1537" width="7.109375" style="115" customWidth="1"/>
    <col min="1538" max="1538" width="2.33203125" style="115" customWidth="1"/>
    <col min="1539" max="1539" width="6.33203125" style="115" customWidth="1"/>
    <col min="1540" max="1540" width="33.44140625" style="115" customWidth="1"/>
    <col min="1541" max="1541" width="18" style="115" customWidth="1"/>
    <col min="1542" max="1542" width="27.6640625" style="115" customWidth="1"/>
    <col min="1543" max="1543" width="28.88671875" style="115" bestFit="1" customWidth="1"/>
    <col min="1544" max="1544" width="3" style="115" customWidth="1"/>
    <col min="1545" max="1545" width="23.44140625" style="115" customWidth="1"/>
    <col min="1546" max="1546" width="8.88671875" style="115"/>
    <col min="1547" max="1547" width="17.88671875" style="115" bestFit="1" customWidth="1"/>
    <col min="1548" max="1792" width="8.88671875" style="115"/>
    <col min="1793" max="1793" width="7.109375" style="115" customWidth="1"/>
    <col min="1794" max="1794" width="2.33203125" style="115" customWidth="1"/>
    <col min="1795" max="1795" width="6.33203125" style="115" customWidth="1"/>
    <col min="1796" max="1796" width="33.44140625" style="115" customWidth="1"/>
    <col min="1797" max="1797" width="18" style="115" customWidth="1"/>
    <col min="1798" max="1798" width="27.6640625" style="115" customWidth="1"/>
    <col min="1799" max="1799" width="28.88671875" style="115" bestFit="1" customWidth="1"/>
    <col min="1800" max="1800" width="3" style="115" customWidth="1"/>
    <col min="1801" max="1801" width="23.44140625" style="115" customWidth="1"/>
    <col min="1802" max="1802" width="8.88671875" style="115"/>
    <col min="1803" max="1803" width="17.88671875" style="115" bestFit="1" customWidth="1"/>
    <col min="1804" max="2048" width="8.88671875" style="115"/>
    <col min="2049" max="2049" width="7.109375" style="115" customWidth="1"/>
    <col min="2050" max="2050" width="2.33203125" style="115" customWidth="1"/>
    <col min="2051" max="2051" width="6.33203125" style="115" customWidth="1"/>
    <col min="2052" max="2052" width="33.44140625" style="115" customWidth="1"/>
    <col min="2053" max="2053" width="18" style="115" customWidth="1"/>
    <col min="2054" max="2054" width="27.6640625" style="115" customWidth="1"/>
    <col min="2055" max="2055" width="28.88671875" style="115" bestFit="1" customWidth="1"/>
    <col min="2056" max="2056" width="3" style="115" customWidth="1"/>
    <col min="2057" max="2057" width="23.44140625" style="115" customWidth="1"/>
    <col min="2058" max="2058" width="8.88671875" style="115"/>
    <col min="2059" max="2059" width="17.88671875" style="115" bestFit="1" customWidth="1"/>
    <col min="2060" max="2304" width="8.88671875" style="115"/>
    <col min="2305" max="2305" width="7.109375" style="115" customWidth="1"/>
    <col min="2306" max="2306" width="2.33203125" style="115" customWidth="1"/>
    <col min="2307" max="2307" width="6.33203125" style="115" customWidth="1"/>
    <col min="2308" max="2308" width="33.44140625" style="115" customWidth="1"/>
    <col min="2309" max="2309" width="18" style="115" customWidth="1"/>
    <col min="2310" max="2310" width="27.6640625" style="115" customWidth="1"/>
    <col min="2311" max="2311" width="28.88671875" style="115" bestFit="1" customWidth="1"/>
    <col min="2312" max="2312" width="3" style="115" customWidth="1"/>
    <col min="2313" max="2313" width="23.44140625" style="115" customWidth="1"/>
    <col min="2314" max="2314" width="8.88671875" style="115"/>
    <col min="2315" max="2315" width="17.88671875" style="115" bestFit="1" customWidth="1"/>
    <col min="2316" max="2560" width="8.88671875" style="115"/>
    <col min="2561" max="2561" width="7.109375" style="115" customWidth="1"/>
    <col min="2562" max="2562" width="2.33203125" style="115" customWidth="1"/>
    <col min="2563" max="2563" width="6.33203125" style="115" customWidth="1"/>
    <col min="2564" max="2564" width="33.44140625" style="115" customWidth="1"/>
    <col min="2565" max="2565" width="18" style="115" customWidth="1"/>
    <col min="2566" max="2566" width="27.6640625" style="115" customWidth="1"/>
    <col min="2567" max="2567" width="28.88671875" style="115" bestFit="1" customWidth="1"/>
    <col min="2568" max="2568" width="3" style="115" customWidth="1"/>
    <col min="2569" max="2569" width="23.44140625" style="115" customWidth="1"/>
    <col min="2570" max="2570" width="8.88671875" style="115"/>
    <col min="2571" max="2571" width="17.88671875" style="115" bestFit="1" customWidth="1"/>
    <col min="2572" max="2816" width="8.88671875" style="115"/>
    <col min="2817" max="2817" width="7.109375" style="115" customWidth="1"/>
    <col min="2818" max="2818" width="2.33203125" style="115" customWidth="1"/>
    <col min="2819" max="2819" width="6.33203125" style="115" customWidth="1"/>
    <col min="2820" max="2820" width="33.44140625" style="115" customWidth="1"/>
    <col min="2821" max="2821" width="18" style="115" customWidth="1"/>
    <col min="2822" max="2822" width="27.6640625" style="115" customWidth="1"/>
    <col min="2823" max="2823" width="28.88671875" style="115" bestFit="1" customWidth="1"/>
    <col min="2824" max="2824" width="3" style="115" customWidth="1"/>
    <col min="2825" max="2825" width="23.44140625" style="115" customWidth="1"/>
    <col min="2826" max="2826" width="8.88671875" style="115"/>
    <col min="2827" max="2827" width="17.88671875" style="115" bestFit="1" customWidth="1"/>
    <col min="2828" max="3072" width="8.88671875" style="115"/>
    <col min="3073" max="3073" width="7.109375" style="115" customWidth="1"/>
    <col min="3074" max="3074" width="2.33203125" style="115" customWidth="1"/>
    <col min="3075" max="3075" width="6.33203125" style="115" customWidth="1"/>
    <col min="3076" max="3076" width="33.44140625" style="115" customWidth="1"/>
    <col min="3077" max="3077" width="18" style="115" customWidth="1"/>
    <col min="3078" max="3078" width="27.6640625" style="115" customWidth="1"/>
    <col min="3079" max="3079" width="28.88671875" style="115" bestFit="1" customWidth="1"/>
    <col min="3080" max="3080" width="3" style="115" customWidth="1"/>
    <col min="3081" max="3081" width="23.44140625" style="115" customWidth="1"/>
    <col min="3082" max="3082" width="8.88671875" style="115"/>
    <col min="3083" max="3083" width="17.88671875" style="115" bestFit="1" customWidth="1"/>
    <col min="3084" max="3328" width="8.88671875" style="115"/>
    <col min="3329" max="3329" width="7.109375" style="115" customWidth="1"/>
    <col min="3330" max="3330" width="2.33203125" style="115" customWidth="1"/>
    <col min="3331" max="3331" width="6.33203125" style="115" customWidth="1"/>
    <col min="3332" max="3332" width="33.44140625" style="115" customWidth="1"/>
    <col min="3333" max="3333" width="18" style="115" customWidth="1"/>
    <col min="3334" max="3334" width="27.6640625" style="115" customWidth="1"/>
    <col min="3335" max="3335" width="28.88671875" style="115" bestFit="1" customWidth="1"/>
    <col min="3336" max="3336" width="3" style="115" customWidth="1"/>
    <col min="3337" max="3337" width="23.44140625" style="115" customWidth="1"/>
    <col min="3338" max="3338" width="8.88671875" style="115"/>
    <col min="3339" max="3339" width="17.88671875" style="115" bestFit="1" customWidth="1"/>
    <col min="3340" max="3584" width="8.88671875" style="115"/>
    <col min="3585" max="3585" width="7.109375" style="115" customWidth="1"/>
    <col min="3586" max="3586" width="2.33203125" style="115" customWidth="1"/>
    <col min="3587" max="3587" width="6.33203125" style="115" customWidth="1"/>
    <col min="3588" max="3588" width="33.44140625" style="115" customWidth="1"/>
    <col min="3589" max="3589" width="18" style="115" customWidth="1"/>
    <col min="3590" max="3590" width="27.6640625" style="115" customWidth="1"/>
    <col min="3591" max="3591" width="28.88671875" style="115" bestFit="1" customWidth="1"/>
    <col min="3592" max="3592" width="3" style="115" customWidth="1"/>
    <col min="3593" max="3593" width="23.44140625" style="115" customWidth="1"/>
    <col min="3594" max="3594" width="8.88671875" style="115"/>
    <col min="3595" max="3595" width="17.88671875" style="115" bestFit="1" customWidth="1"/>
    <col min="3596" max="3840" width="8.88671875" style="115"/>
    <col min="3841" max="3841" width="7.109375" style="115" customWidth="1"/>
    <col min="3842" max="3842" width="2.33203125" style="115" customWidth="1"/>
    <col min="3843" max="3843" width="6.33203125" style="115" customWidth="1"/>
    <col min="3844" max="3844" width="33.44140625" style="115" customWidth="1"/>
    <col min="3845" max="3845" width="18" style="115" customWidth="1"/>
    <col min="3846" max="3846" width="27.6640625" style="115" customWidth="1"/>
    <col min="3847" max="3847" width="28.88671875" style="115" bestFit="1" customWidth="1"/>
    <col min="3848" max="3848" width="3" style="115" customWidth="1"/>
    <col min="3849" max="3849" width="23.44140625" style="115" customWidth="1"/>
    <col min="3850" max="3850" width="8.88671875" style="115"/>
    <col min="3851" max="3851" width="17.88671875" style="115" bestFit="1" customWidth="1"/>
    <col min="3852" max="4096" width="8.88671875" style="115"/>
    <col min="4097" max="4097" width="7.109375" style="115" customWidth="1"/>
    <col min="4098" max="4098" width="2.33203125" style="115" customWidth="1"/>
    <col min="4099" max="4099" width="6.33203125" style="115" customWidth="1"/>
    <col min="4100" max="4100" width="33.44140625" style="115" customWidth="1"/>
    <col min="4101" max="4101" width="18" style="115" customWidth="1"/>
    <col min="4102" max="4102" width="27.6640625" style="115" customWidth="1"/>
    <col min="4103" max="4103" width="28.88671875" style="115" bestFit="1" customWidth="1"/>
    <col min="4104" max="4104" width="3" style="115" customWidth="1"/>
    <col min="4105" max="4105" width="23.44140625" style="115" customWidth="1"/>
    <col min="4106" max="4106" width="8.88671875" style="115"/>
    <col min="4107" max="4107" width="17.88671875" style="115" bestFit="1" customWidth="1"/>
    <col min="4108" max="4352" width="8.88671875" style="115"/>
    <col min="4353" max="4353" width="7.109375" style="115" customWidth="1"/>
    <col min="4354" max="4354" width="2.33203125" style="115" customWidth="1"/>
    <col min="4355" max="4355" width="6.33203125" style="115" customWidth="1"/>
    <col min="4356" max="4356" width="33.44140625" style="115" customWidth="1"/>
    <col min="4357" max="4357" width="18" style="115" customWidth="1"/>
    <col min="4358" max="4358" width="27.6640625" style="115" customWidth="1"/>
    <col min="4359" max="4359" width="28.88671875" style="115" bestFit="1" customWidth="1"/>
    <col min="4360" max="4360" width="3" style="115" customWidth="1"/>
    <col min="4361" max="4361" width="23.44140625" style="115" customWidth="1"/>
    <col min="4362" max="4362" width="8.88671875" style="115"/>
    <col min="4363" max="4363" width="17.88671875" style="115" bestFit="1" customWidth="1"/>
    <col min="4364" max="4608" width="8.88671875" style="115"/>
    <col min="4609" max="4609" width="7.109375" style="115" customWidth="1"/>
    <col min="4610" max="4610" width="2.33203125" style="115" customWidth="1"/>
    <col min="4611" max="4611" width="6.33203125" style="115" customWidth="1"/>
    <col min="4612" max="4612" width="33.44140625" style="115" customWidth="1"/>
    <col min="4613" max="4613" width="18" style="115" customWidth="1"/>
    <col min="4614" max="4614" width="27.6640625" style="115" customWidth="1"/>
    <col min="4615" max="4615" width="28.88671875" style="115" bestFit="1" customWidth="1"/>
    <col min="4616" max="4616" width="3" style="115" customWidth="1"/>
    <col min="4617" max="4617" width="23.44140625" style="115" customWidth="1"/>
    <col min="4618" max="4618" width="8.88671875" style="115"/>
    <col min="4619" max="4619" width="17.88671875" style="115" bestFit="1" customWidth="1"/>
    <col min="4620" max="4864" width="8.88671875" style="115"/>
    <col min="4865" max="4865" width="7.109375" style="115" customWidth="1"/>
    <col min="4866" max="4866" width="2.33203125" style="115" customWidth="1"/>
    <col min="4867" max="4867" width="6.33203125" style="115" customWidth="1"/>
    <col min="4868" max="4868" width="33.44140625" style="115" customWidth="1"/>
    <col min="4869" max="4869" width="18" style="115" customWidth="1"/>
    <col min="4870" max="4870" width="27.6640625" style="115" customWidth="1"/>
    <col min="4871" max="4871" width="28.88671875" style="115" bestFit="1" customWidth="1"/>
    <col min="4872" max="4872" width="3" style="115" customWidth="1"/>
    <col min="4873" max="4873" width="23.44140625" style="115" customWidth="1"/>
    <col min="4874" max="4874" width="8.88671875" style="115"/>
    <col min="4875" max="4875" width="17.88671875" style="115" bestFit="1" customWidth="1"/>
    <col min="4876" max="5120" width="8.88671875" style="115"/>
    <col min="5121" max="5121" width="7.109375" style="115" customWidth="1"/>
    <col min="5122" max="5122" width="2.33203125" style="115" customWidth="1"/>
    <col min="5123" max="5123" width="6.33203125" style="115" customWidth="1"/>
    <col min="5124" max="5124" width="33.44140625" style="115" customWidth="1"/>
    <col min="5125" max="5125" width="18" style="115" customWidth="1"/>
    <col min="5126" max="5126" width="27.6640625" style="115" customWidth="1"/>
    <col min="5127" max="5127" width="28.88671875" style="115" bestFit="1" customWidth="1"/>
    <col min="5128" max="5128" width="3" style="115" customWidth="1"/>
    <col min="5129" max="5129" width="23.44140625" style="115" customWidth="1"/>
    <col min="5130" max="5130" width="8.88671875" style="115"/>
    <col min="5131" max="5131" width="17.88671875" style="115" bestFit="1" customWidth="1"/>
    <col min="5132" max="5376" width="8.88671875" style="115"/>
    <col min="5377" max="5377" width="7.109375" style="115" customWidth="1"/>
    <col min="5378" max="5378" width="2.33203125" style="115" customWidth="1"/>
    <col min="5379" max="5379" width="6.33203125" style="115" customWidth="1"/>
    <col min="5380" max="5380" width="33.44140625" style="115" customWidth="1"/>
    <col min="5381" max="5381" width="18" style="115" customWidth="1"/>
    <col min="5382" max="5382" width="27.6640625" style="115" customWidth="1"/>
    <col min="5383" max="5383" width="28.88671875" style="115" bestFit="1" customWidth="1"/>
    <col min="5384" max="5384" width="3" style="115" customWidth="1"/>
    <col min="5385" max="5385" width="23.44140625" style="115" customWidth="1"/>
    <col min="5386" max="5386" width="8.88671875" style="115"/>
    <col min="5387" max="5387" width="17.88671875" style="115" bestFit="1" customWidth="1"/>
    <col min="5388" max="5632" width="8.88671875" style="115"/>
    <col min="5633" max="5633" width="7.109375" style="115" customWidth="1"/>
    <col min="5634" max="5634" width="2.33203125" style="115" customWidth="1"/>
    <col min="5635" max="5635" width="6.33203125" style="115" customWidth="1"/>
    <col min="5636" max="5636" width="33.44140625" style="115" customWidth="1"/>
    <col min="5637" max="5637" width="18" style="115" customWidth="1"/>
    <col min="5638" max="5638" width="27.6640625" style="115" customWidth="1"/>
    <col min="5639" max="5639" width="28.88671875" style="115" bestFit="1" customWidth="1"/>
    <col min="5640" max="5640" width="3" style="115" customWidth="1"/>
    <col min="5641" max="5641" width="23.44140625" style="115" customWidth="1"/>
    <col min="5642" max="5642" width="8.88671875" style="115"/>
    <col min="5643" max="5643" width="17.88671875" style="115" bestFit="1" customWidth="1"/>
    <col min="5644" max="5888" width="8.88671875" style="115"/>
    <col min="5889" max="5889" width="7.109375" style="115" customWidth="1"/>
    <col min="5890" max="5890" width="2.33203125" style="115" customWidth="1"/>
    <col min="5891" max="5891" width="6.33203125" style="115" customWidth="1"/>
    <col min="5892" max="5892" width="33.44140625" style="115" customWidth="1"/>
    <col min="5893" max="5893" width="18" style="115" customWidth="1"/>
    <col min="5894" max="5894" width="27.6640625" style="115" customWidth="1"/>
    <col min="5895" max="5895" width="28.88671875" style="115" bestFit="1" customWidth="1"/>
    <col min="5896" max="5896" width="3" style="115" customWidth="1"/>
    <col min="5897" max="5897" width="23.44140625" style="115" customWidth="1"/>
    <col min="5898" max="5898" width="8.88671875" style="115"/>
    <col min="5899" max="5899" width="17.88671875" style="115" bestFit="1" customWidth="1"/>
    <col min="5900" max="6144" width="8.88671875" style="115"/>
    <col min="6145" max="6145" width="7.109375" style="115" customWidth="1"/>
    <col min="6146" max="6146" width="2.33203125" style="115" customWidth="1"/>
    <col min="6147" max="6147" width="6.33203125" style="115" customWidth="1"/>
    <col min="6148" max="6148" width="33.44140625" style="115" customWidth="1"/>
    <col min="6149" max="6149" width="18" style="115" customWidth="1"/>
    <col min="6150" max="6150" width="27.6640625" style="115" customWidth="1"/>
    <col min="6151" max="6151" width="28.88671875" style="115" bestFit="1" customWidth="1"/>
    <col min="6152" max="6152" width="3" style="115" customWidth="1"/>
    <col min="6153" max="6153" width="23.44140625" style="115" customWidth="1"/>
    <col min="6154" max="6154" width="8.88671875" style="115"/>
    <col min="6155" max="6155" width="17.88671875" style="115" bestFit="1" customWidth="1"/>
    <col min="6156" max="6400" width="8.88671875" style="115"/>
    <col min="6401" max="6401" width="7.109375" style="115" customWidth="1"/>
    <col min="6402" max="6402" width="2.33203125" style="115" customWidth="1"/>
    <col min="6403" max="6403" width="6.33203125" style="115" customWidth="1"/>
    <col min="6404" max="6404" width="33.44140625" style="115" customWidth="1"/>
    <col min="6405" max="6405" width="18" style="115" customWidth="1"/>
    <col min="6406" max="6406" width="27.6640625" style="115" customWidth="1"/>
    <col min="6407" max="6407" width="28.88671875" style="115" bestFit="1" customWidth="1"/>
    <col min="6408" max="6408" width="3" style="115" customWidth="1"/>
    <col min="6409" max="6409" width="23.44140625" style="115" customWidth="1"/>
    <col min="6410" max="6410" width="8.88671875" style="115"/>
    <col min="6411" max="6411" width="17.88671875" style="115" bestFit="1" customWidth="1"/>
    <col min="6412" max="6656" width="8.88671875" style="115"/>
    <col min="6657" max="6657" width="7.109375" style="115" customWidth="1"/>
    <col min="6658" max="6658" width="2.33203125" style="115" customWidth="1"/>
    <col min="6659" max="6659" width="6.33203125" style="115" customWidth="1"/>
    <col min="6660" max="6660" width="33.44140625" style="115" customWidth="1"/>
    <col min="6661" max="6661" width="18" style="115" customWidth="1"/>
    <col min="6662" max="6662" width="27.6640625" style="115" customWidth="1"/>
    <col min="6663" max="6663" width="28.88671875" style="115" bestFit="1" customWidth="1"/>
    <col min="6664" max="6664" width="3" style="115" customWidth="1"/>
    <col min="6665" max="6665" width="23.44140625" style="115" customWidth="1"/>
    <col min="6666" max="6666" width="8.88671875" style="115"/>
    <col min="6667" max="6667" width="17.88671875" style="115" bestFit="1" customWidth="1"/>
    <col min="6668" max="6912" width="8.88671875" style="115"/>
    <col min="6913" max="6913" width="7.109375" style="115" customWidth="1"/>
    <col min="6914" max="6914" width="2.33203125" style="115" customWidth="1"/>
    <col min="6915" max="6915" width="6.33203125" style="115" customWidth="1"/>
    <col min="6916" max="6916" width="33.44140625" style="115" customWidth="1"/>
    <col min="6917" max="6917" width="18" style="115" customWidth="1"/>
    <col min="6918" max="6918" width="27.6640625" style="115" customWidth="1"/>
    <col min="6919" max="6919" width="28.88671875" style="115" bestFit="1" customWidth="1"/>
    <col min="6920" max="6920" width="3" style="115" customWidth="1"/>
    <col min="6921" max="6921" width="23.44140625" style="115" customWidth="1"/>
    <col min="6922" max="6922" width="8.88671875" style="115"/>
    <col min="6923" max="6923" width="17.88671875" style="115" bestFit="1" customWidth="1"/>
    <col min="6924" max="7168" width="8.88671875" style="115"/>
    <col min="7169" max="7169" width="7.109375" style="115" customWidth="1"/>
    <col min="7170" max="7170" width="2.33203125" style="115" customWidth="1"/>
    <col min="7171" max="7171" width="6.33203125" style="115" customWidth="1"/>
    <col min="7172" max="7172" width="33.44140625" style="115" customWidth="1"/>
    <col min="7173" max="7173" width="18" style="115" customWidth="1"/>
    <col min="7174" max="7174" width="27.6640625" style="115" customWidth="1"/>
    <col min="7175" max="7175" width="28.88671875" style="115" bestFit="1" customWidth="1"/>
    <col min="7176" max="7176" width="3" style="115" customWidth="1"/>
    <col min="7177" max="7177" width="23.44140625" style="115" customWidth="1"/>
    <col min="7178" max="7178" width="8.88671875" style="115"/>
    <col min="7179" max="7179" width="17.88671875" style="115" bestFit="1" customWidth="1"/>
    <col min="7180" max="7424" width="8.88671875" style="115"/>
    <col min="7425" max="7425" width="7.109375" style="115" customWidth="1"/>
    <col min="7426" max="7426" width="2.33203125" style="115" customWidth="1"/>
    <col min="7427" max="7427" width="6.33203125" style="115" customWidth="1"/>
    <col min="7428" max="7428" width="33.44140625" style="115" customWidth="1"/>
    <col min="7429" max="7429" width="18" style="115" customWidth="1"/>
    <col min="7430" max="7430" width="27.6640625" style="115" customWidth="1"/>
    <col min="7431" max="7431" width="28.88671875" style="115" bestFit="1" customWidth="1"/>
    <col min="7432" max="7432" width="3" style="115" customWidth="1"/>
    <col min="7433" max="7433" width="23.44140625" style="115" customWidth="1"/>
    <col min="7434" max="7434" width="8.88671875" style="115"/>
    <col min="7435" max="7435" width="17.88671875" style="115" bestFit="1" customWidth="1"/>
    <col min="7436" max="7680" width="8.88671875" style="115"/>
    <col min="7681" max="7681" width="7.109375" style="115" customWidth="1"/>
    <col min="7682" max="7682" width="2.33203125" style="115" customWidth="1"/>
    <col min="7683" max="7683" width="6.33203125" style="115" customWidth="1"/>
    <col min="7684" max="7684" width="33.44140625" style="115" customWidth="1"/>
    <col min="7685" max="7685" width="18" style="115" customWidth="1"/>
    <col min="7686" max="7686" width="27.6640625" style="115" customWidth="1"/>
    <col min="7687" max="7687" width="28.88671875" style="115" bestFit="1" customWidth="1"/>
    <col min="7688" max="7688" width="3" style="115" customWidth="1"/>
    <col min="7689" max="7689" width="23.44140625" style="115" customWidth="1"/>
    <col min="7690" max="7690" width="8.88671875" style="115"/>
    <col min="7691" max="7691" width="17.88671875" style="115" bestFit="1" customWidth="1"/>
    <col min="7692" max="7936" width="8.88671875" style="115"/>
    <col min="7937" max="7937" width="7.109375" style="115" customWidth="1"/>
    <col min="7938" max="7938" width="2.33203125" style="115" customWidth="1"/>
    <col min="7939" max="7939" width="6.33203125" style="115" customWidth="1"/>
    <col min="7940" max="7940" width="33.44140625" style="115" customWidth="1"/>
    <col min="7941" max="7941" width="18" style="115" customWidth="1"/>
    <col min="7942" max="7942" width="27.6640625" style="115" customWidth="1"/>
    <col min="7943" max="7943" width="28.88671875" style="115" bestFit="1" customWidth="1"/>
    <col min="7944" max="7944" width="3" style="115" customWidth="1"/>
    <col min="7945" max="7945" width="23.44140625" style="115" customWidth="1"/>
    <col min="7946" max="7946" width="8.88671875" style="115"/>
    <col min="7947" max="7947" width="17.88671875" style="115" bestFit="1" customWidth="1"/>
    <col min="7948" max="8192" width="8.88671875" style="115"/>
    <col min="8193" max="8193" width="7.109375" style="115" customWidth="1"/>
    <col min="8194" max="8194" width="2.33203125" style="115" customWidth="1"/>
    <col min="8195" max="8195" width="6.33203125" style="115" customWidth="1"/>
    <col min="8196" max="8196" width="33.44140625" style="115" customWidth="1"/>
    <col min="8197" max="8197" width="18" style="115" customWidth="1"/>
    <col min="8198" max="8198" width="27.6640625" style="115" customWidth="1"/>
    <col min="8199" max="8199" width="28.88671875" style="115" bestFit="1" customWidth="1"/>
    <col min="8200" max="8200" width="3" style="115" customWidth="1"/>
    <col min="8201" max="8201" width="23.44140625" style="115" customWidth="1"/>
    <col min="8202" max="8202" width="8.88671875" style="115"/>
    <col min="8203" max="8203" width="17.88671875" style="115" bestFit="1" customWidth="1"/>
    <col min="8204" max="8448" width="8.88671875" style="115"/>
    <col min="8449" max="8449" width="7.109375" style="115" customWidth="1"/>
    <col min="8450" max="8450" width="2.33203125" style="115" customWidth="1"/>
    <col min="8451" max="8451" width="6.33203125" style="115" customWidth="1"/>
    <col min="8452" max="8452" width="33.44140625" style="115" customWidth="1"/>
    <col min="8453" max="8453" width="18" style="115" customWidth="1"/>
    <col min="8454" max="8454" width="27.6640625" style="115" customWidth="1"/>
    <col min="8455" max="8455" width="28.88671875" style="115" bestFit="1" customWidth="1"/>
    <col min="8456" max="8456" width="3" style="115" customWidth="1"/>
    <col min="8457" max="8457" width="23.44140625" style="115" customWidth="1"/>
    <col min="8458" max="8458" width="8.88671875" style="115"/>
    <col min="8459" max="8459" width="17.88671875" style="115" bestFit="1" customWidth="1"/>
    <col min="8460" max="8704" width="8.88671875" style="115"/>
    <col min="8705" max="8705" width="7.109375" style="115" customWidth="1"/>
    <col min="8706" max="8706" width="2.33203125" style="115" customWidth="1"/>
    <col min="8707" max="8707" width="6.33203125" style="115" customWidth="1"/>
    <col min="8708" max="8708" width="33.44140625" style="115" customWidth="1"/>
    <col min="8709" max="8709" width="18" style="115" customWidth="1"/>
    <col min="8710" max="8710" width="27.6640625" style="115" customWidth="1"/>
    <col min="8711" max="8711" width="28.88671875" style="115" bestFit="1" customWidth="1"/>
    <col min="8712" max="8712" width="3" style="115" customWidth="1"/>
    <col min="8713" max="8713" width="23.44140625" style="115" customWidth="1"/>
    <col min="8714" max="8714" width="8.88671875" style="115"/>
    <col min="8715" max="8715" width="17.88671875" style="115" bestFit="1" customWidth="1"/>
    <col min="8716" max="8960" width="8.88671875" style="115"/>
    <col min="8961" max="8961" width="7.109375" style="115" customWidth="1"/>
    <col min="8962" max="8962" width="2.33203125" style="115" customWidth="1"/>
    <col min="8963" max="8963" width="6.33203125" style="115" customWidth="1"/>
    <col min="8964" max="8964" width="33.44140625" style="115" customWidth="1"/>
    <col min="8965" max="8965" width="18" style="115" customWidth="1"/>
    <col min="8966" max="8966" width="27.6640625" style="115" customWidth="1"/>
    <col min="8967" max="8967" width="28.88671875" style="115" bestFit="1" customWidth="1"/>
    <col min="8968" max="8968" width="3" style="115" customWidth="1"/>
    <col min="8969" max="8969" width="23.44140625" style="115" customWidth="1"/>
    <col min="8970" max="8970" width="8.88671875" style="115"/>
    <col min="8971" max="8971" width="17.88671875" style="115" bestFit="1" customWidth="1"/>
    <col min="8972" max="9216" width="8.88671875" style="115"/>
    <col min="9217" max="9217" width="7.109375" style="115" customWidth="1"/>
    <col min="9218" max="9218" width="2.33203125" style="115" customWidth="1"/>
    <col min="9219" max="9219" width="6.33203125" style="115" customWidth="1"/>
    <col min="9220" max="9220" width="33.44140625" style="115" customWidth="1"/>
    <col min="9221" max="9221" width="18" style="115" customWidth="1"/>
    <col min="9222" max="9222" width="27.6640625" style="115" customWidth="1"/>
    <col min="9223" max="9223" width="28.88671875" style="115" bestFit="1" customWidth="1"/>
    <col min="9224" max="9224" width="3" style="115" customWidth="1"/>
    <col min="9225" max="9225" width="23.44140625" style="115" customWidth="1"/>
    <col min="9226" max="9226" width="8.88671875" style="115"/>
    <col min="9227" max="9227" width="17.88671875" style="115" bestFit="1" customWidth="1"/>
    <col min="9228" max="9472" width="8.88671875" style="115"/>
    <col min="9473" max="9473" width="7.109375" style="115" customWidth="1"/>
    <col min="9474" max="9474" width="2.33203125" style="115" customWidth="1"/>
    <col min="9475" max="9475" width="6.33203125" style="115" customWidth="1"/>
    <col min="9476" max="9476" width="33.44140625" style="115" customWidth="1"/>
    <col min="9477" max="9477" width="18" style="115" customWidth="1"/>
    <col min="9478" max="9478" width="27.6640625" style="115" customWidth="1"/>
    <col min="9479" max="9479" width="28.88671875" style="115" bestFit="1" customWidth="1"/>
    <col min="9480" max="9480" width="3" style="115" customWidth="1"/>
    <col min="9481" max="9481" width="23.44140625" style="115" customWidth="1"/>
    <col min="9482" max="9482" width="8.88671875" style="115"/>
    <col min="9483" max="9483" width="17.88671875" style="115" bestFit="1" customWidth="1"/>
    <col min="9484" max="9728" width="8.88671875" style="115"/>
    <col min="9729" max="9729" width="7.109375" style="115" customWidth="1"/>
    <col min="9730" max="9730" width="2.33203125" style="115" customWidth="1"/>
    <col min="9731" max="9731" width="6.33203125" style="115" customWidth="1"/>
    <col min="9732" max="9732" width="33.44140625" style="115" customWidth="1"/>
    <col min="9733" max="9733" width="18" style="115" customWidth="1"/>
    <col min="9734" max="9734" width="27.6640625" style="115" customWidth="1"/>
    <col min="9735" max="9735" width="28.88671875" style="115" bestFit="1" customWidth="1"/>
    <col min="9736" max="9736" width="3" style="115" customWidth="1"/>
    <col min="9737" max="9737" width="23.44140625" style="115" customWidth="1"/>
    <col min="9738" max="9738" width="8.88671875" style="115"/>
    <col min="9739" max="9739" width="17.88671875" style="115" bestFit="1" customWidth="1"/>
    <col min="9740" max="9984" width="8.88671875" style="115"/>
    <col min="9985" max="9985" width="7.109375" style="115" customWidth="1"/>
    <col min="9986" max="9986" width="2.33203125" style="115" customWidth="1"/>
    <col min="9987" max="9987" width="6.33203125" style="115" customWidth="1"/>
    <col min="9988" max="9988" width="33.44140625" style="115" customWidth="1"/>
    <col min="9989" max="9989" width="18" style="115" customWidth="1"/>
    <col min="9990" max="9990" width="27.6640625" style="115" customWidth="1"/>
    <col min="9991" max="9991" width="28.88671875" style="115" bestFit="1" customWidth="1"/>
    <col min="9992" max="9992" width="3" style="115" customWidth="1"/>
    <col min="9993" max="9993" width="23.44140625" style="115" customWidth="1"/>
    <col min="9994" max="9994" width="8.88671875" style="115"/>
    <col min="9995" max="9995" width="17.88671875" style="115" bestFit="1" customWidth="1"/>
    <col min="9996" max="10240" width="8.88671875" style="115"/>
    <col min="10241" max="10241" width="7.109375" style="115" customWidth="1"/>
    <col min="10242" max="10242" width="2.33203125" style="115" customWidth="1"/>
    <col min="10243" max="10243" width="6.33203125" style="115" customWidth="1"/>
    <col min="10244" max="10244" width="33.44140625" style="115" customWidth="1"/>
    <col min="10245" max="10245" width="18" style="115" customWidth="1"/>
    <col min="10246" max="10246" width="27.6640625" style="115" customWidth="1"/>
    <col min="10247" max="10247" width="28.88671875" style="115" bestFit="1" customWidth="1"/>
    <col min="10248" max="10248" width="3" style="115" customWidth="1"/>
    <col min="10249" max="10249" width="23.44140625" style="115" customWidth="1"/>
    <col min="10250" max="10250" width="8.88671875" style="115"/>
    <col min="10251" max="10251" width="17.88671875" style="115" bestFit="1" customWidth="1"/>
    <col min="10252" max="10496" width="8.88671875" style="115"/>
    <col min="10497" max="10497" width="7.109375" style="115" customWidth="1"/>
    <col min="10498" max="10498" width="2.33203125" style="115" customWidth="1"/>
    <col min="10499" max="10499" width="6.33203125" style="115" customWidth="1"/>
    <col min="10500" max="10500" width="33.44140625" style="115" customWidth="1"/>
    <col min="10501" max="10501" width="18" style="115" customWidth="1"/>
    <col min="10502" max="10502" width="27.6640625" style="115" customWidth="1"/>
    <col min="10503" max="10503" width="28.88671875" style="115" bestFit="1" customWidth="1"/>
    <col min="10504" max="10504" width="3" style="115" customWidth="1"/>
    <col min="10505" max="10505" width="23.44140625" style="115" customWidth="1"/>
    <col min="10506" max="10506" width="8.88671875" style="115"/>
    <col min="10507" max="10507" width="17.88671875" style="115" bestFit="1" customWidth="1"/>
    <col min="10508" max="10752" width="8.88671875" style="115"/>
    <col min="10753" max="10753" width="7.109375" style="115" customWidth="1"/>
    <col min="10754" max="10754" width="2.33203125" style="115" customWidth="1"/>
    <col min="10755" max="10755" width="6.33203125" style="115" customWidth="1"/>
    <col min="10756" max="10756" width="33.44140625" style="115" customWidth="1"/>
    <col min="10757" max="10757" width="18" style="115" customWidth="1"/>
    <col min="10758" max="10758" width="27.6640625" style="115" customWidth="1"/>
    <col min="10759" max="10759" width="28.88671875" style="115" bestFit="1" customWidth="1"/>
    <col min="10760" max="10760" width="3" style="115" customWidth="1"/>
    <col min="10761" max="10761" width="23.44140625" style="115" customWidth="1"/>
    <col min="10762" max="10762" width="8.88671875" style="115"/>
    <col min="10763" max="10763" width="17.88671875" style="115" bestFit="1" customWidth="1"/>
    <col min="10764" max="11008" width="8.88671875" style="115"/>
    <col min="11009" max="11009" width="7.109375" style="115" customWidth="1"/>
    <col min="11010" max="11010" width="2.33203125" style="115" customWidth="1"/>
    <col min="11011" max="11011" width="6.33203125" style="115" customWidth="1"/>
    <col min="11012" max="11012" width="33.44140625" style="115" customWidth="1"/>
    <col min="11013" max="11013" width="18" style="115" customWidth="1"/>
    <col min="11014" max="11014" width="27.6640625" style="115" customWidth="1"/>
    <col min="11015" max="11015" width="28.88671875" style="115" bestFit="1" customWidth="1"/>
    <col min="11016" max="11016" width="3" style="115" customWidth="1"/>
    <col min="11017" max="11017" width="23.44140625" style="115" customWidth="1"/>
    <col min="11018" max="11018" width="8.88671875" style="115"/>
    <col min="11019" max="11019" width="17.88671875" style="115" bestFit="1" customWidth="1"/>
    <col min="11020" max="11264" width="8.88671875" style="115"/>
    <col min="11265" max="11265" width="7.109375" style="115" customWidth="1"/>
    <col min="11266" max="11266" width="2.33203125" style="115" customWidth="1"/>
    <col min="11267" max="11267" width="6.33203125" style="115" customWidth="1"/>
    <col min="11268" max="11268" width="33.44140625" style="115" customWidth="1"/>
    <col min="11269" max="11269" width="18" style="115" customWidth="1"/>
    <col min="11270" max="11270" width="27.6640625" style="115" customWidth="1"/>
    <col min="11271" max="11271" width="28.88671875" style="115" bestFit="1" customWidth="1"/>
    <col min="11272" max="11272" width="3" style="115" customWidth="1"/>
    <col min="11273" max="11273" width="23.44140625" style="115" customWidth="1"/>
    <col min="11274" max="11274" width="8.88671875" style="115"/>
    <col min="11275" max="11275" width="17.88671875" style="115" bestFit="1" customWidth="1"/>
    <col min="11276" max="11520" width="8.88671875" style="115"/>
    <col min="11521" max="11521" width="7.109375" style="115" customWidth="1"/>
    <col min="11522" max="11522" width="2.33203125" style="115" customWidth="1"/>
    <col min="11523" max="11523" width="6.33203125" style="115" customWidth="1"/>
    <col min="11524" max="11524" width="33.44140625" style="115" customWidth="1"/>
    <col min="11525" max="11525" width="18" style="115" customWidth="1"/>
    <col min="11526" max="11526" width="27.6640625" style="115" customWidth="1"/>
    <col min="11527" max="11527" width="28.88671875" style="115" bestFit="1" customWidth="1"/>
    <col min="11528" max="11528" width="3" style="115" customWidth="1"/>
    <col min="11529" max="11529" width="23.44140625" style="115" customWidth="1"/>
    <col min="11530" max="11530" width="8.88671875" style="115"/>
    <col min="11531" max="11531" width="17.88671875" style="115" bestFit="1" customWidth="1"/>
    <col min="11532" max="11776" width="8.88671875" style="115"/>
    <col min="11777" max="11777" width="7.109375" style="115" customWidth="1"/>
    <col min="11778" max="11778" width="2.33203125" style="115" customWidth="1"/>
    <col min="11779" max="11779" width="6.33203125" style="115" customWidth="1"/>
    <col min="11780" max="11780" width="33.44140625" style="115" customWidth="1"/>
    <col min="11781" max="11781" width="18" style="115" customWidth="1"/>
    <col min="11782" max="11782" width="27.6640625" style="115" customWidth="1"/>
    <col min="11783" max="11783" width="28.88671875" style="115" bestFit="1" customWidth="1"/>
    <col min="11784" max="11784" width="3" style="115" customWidth="1"/>
    <col min="11785" max="11785" width="23.44140625" style="115" customWidth="1"/>
    <col min="11786" max="11786" width="8.88671875" style="115"/>
    <col min="11787" max="11787" width="17.88671875" style="115" bestFit="1" customWidth="1"/>
    <col min="11788" max="12032" width="8.88671875" style="115"/>
    <col min="12033" max="12033" width="7.109375" style="115" customWidth="1"/>
    <col min="12034" max="12034" width="2.33203125" style="115" customWidth="1"/>
    <col min="12035" max="12035" width="6.33203125" style="115" customWidth="1"/>
    <col min="12036" max="12036" width="33.44140625" style="115" customWidth="1"/>
    <col min="12037" max="12037" width="18" style="115" customWidth="1"/>
    <col min="12038" max="12038" width="27.6640625" style="115" customWidth="1"/>
    <col min="12039" max="12039" width="28.88671875" style="115" bestFit="1" customWidth="1"/>
    <col min="12040" max="12040" width="3" style="115" customWidth="1"/>
    <col min="12041" max="12041" width="23.44140625" style="115" customWidth="1"/>
    <col min="12042" max="12042" width="8.88671875" style="115"/>
    <col min="12043" max="12043" width="17.88671875" style="115" bestFit="1" customWidth="1"/>
    <col min="12044" max="12288" width="8.88671875" style="115"/>
    <col min="12289" max="12289" width="7.109375" style="115" customWidth="1"/>
    <col min="12290" max="12290" width="2.33203125" style="115" customWidth="1"/>
    <col min="12291" max="12291" width="6.33203125" style="115" customWidth="1"/>
    <col min="12292" max="12292" width="33.44140625" style="115" customWidth="1"/>
    <col min="12293" max="12293" width="18" style="115" customWidth="1"/>
    <col min="12294" max="12294" width="27.6640625" style="115" customWidth="1"/>
    <col min="12295" max="12295" width="28.88671875" style="115" bestFit="1" customWidth="1"/>
    <col min="12296" max="12296" width="3" style="115" customWidth="1"/>
    <col min="12297" max="12297" width="23.44140625" style="115" customWidth="1"/>
    <col min="12298" max="12298" width="8.88671875" style="115"/>
    <col min="12299" max="12299" width="17.88671875" style="115" bestFit="1" customWidth="1"/>
    <col min="12300" max="12544" width="8.88671875" style="115"/>
    <col min="12545" max="12545" width="7.109375" style="115" customWidth="1"/>
    <col min="12546" max="12546" width="2.33203125" style="115" customWidth="1"/>
    <col min="12547" max="12547" width="6.33203125" style="115" customWidth="1"/>
    <col min="12548" max="12548" width="33.44140625" style="115" customWidth="1"/>
    <col min="12549" max="12549" width="18" style="115" customWidth="1"/>
    <col min="12550" max="12550" width="27.6640625" style="115" customWidth="1"/>
    <col min="12551" max="12551" width="28.88671875" style="115" bestFit="1" customWidth="1"/>
    <col min="12552" max="12552" width="3" style="115" customWidth="1"/>
    <col min="12553" max="12553" width="23.44140625" style="115" customWidth="1"/>
    <col min="12554" max="12554" width="8.88671875" style="115"/>
    <col min="12555" max="12555" width="17.88671875" style="115" bestFit="1" customWidth="1"/>
    <col min="12556" max="12800" width="8.88671875" style="115"/>
    <col min="12801" max="12801" width="7.109375" style="115" customWidth="1"/>
    <col min="12802" max="12802" width="2.33203125" style="115" customWidth="1"/>
    <col min="12803" max="12803" width="6.33203125" style="115" customWidth="1"/>
    <col min="12804" max="12804" width="33.44140625" style="115" customWidth="1"/>
    <col min="12805" max="12805" width="18" style="115" customWidth="1"/>
    <col min="12806" max="12806" width="27.6640625" style="115" customWidth="1"/>
    <col min="12807" max="12807" width="28.88671875" style="115" bestFit="1" customWidth="1"/>
    <col min="12808" max="12808" width="3" style="115" customWidth="1"/>
    <col min="12809" max="12809" width="23.44140625" style="115" customWidth="1"/>
    <col min="12810" max="12810" width="8.88671875" style="115"/>
    <col min="12811" max="12811" width="17.88671875" style="115" bestFit="1" customWidth="1"/>
    <col min="12812" max="13056" width="8.88671875" style="115"/>
    <col min="13057" max="13057" width="7.109375" style="115" customWidth="1"/>
    <col min="13058" max="13058" width="2.33203125" style="115" customWidth="1"/>
    <col min="13059" max="13059" width="6.33203125" style="115" customWidth="1"/>
    <col min="13060" max="13060" width="33.44140625" style="115" customWidth="1"/>
    <col min="13061" max="13061" width="18" style="115" customWidth="1"/>
    <col min="13062" max="13062" width="27.6640625" style="115" customWidth="1"/>
    <col min="13063" max="13063" width="28.88671875" style="115" bestFit="1" customWidth="1"/>
    <col min="13064" max="13064" width="3" style="115" customWidth="1"/>
    <col min="13065" max="13065" width="23.44140625" style="115" customWidth="1"/>
    <col min="13066" max="13066" width="8.88671875" style="115"/>
    <col min="13067" max="13067" width="17.88671875" style="115" bestFit="1" customWidth="1"/>
    <col min="13068" max="13312" width="8.88671875" style="115"/>
    <col min="13313" max="13313" width="7.109375" style="115" customWidth="1"/>
    <col min="13314" max="13314" width="2.33203125" style="115" customWidth="1"/>
    <col min="13315" max="13315" width="6.33203125" style="115" customWidth="1"/>
    <col min="13316" max="13316" width="33.44140625" style="115" customWidth="1"/>
    <col min="13317" max="13317" width="18" style="115" customWidth="1"/>
    <col min="13318" max="13318" width="27.6640625" style="115" customWidth="1"/>
    <col min="13319" max="13319" width="28.88671875" style="115" bestFit="1" customWidth="1"/>
    <col min="13320" max="13320" width="3" style="115" customWidth="1"/>
    <col min="13321" max="13321" width="23.44140625" style="115" customWidth="1"/>
    <col min="13322" max="13322" width="8.88671875" style="115"/>
    <col min="13323" max="13323" width="17.88671875" style="115" bestFit="1" customWidth="1"/>
    <col min="13324" max="13568" width="8.88671875" style="115"/>
    <col min="13569" max="13569" width="7.109375" style="115" customWidth="1"/>
    <col min="13570" max="13570" width="2.33203125" style="115" customWidth="1"/>
    <col min="13571" max="13571" width="6.33203125" style="115" customWidth="1"/>
    <col min="13572" max="13572" width="33.44140625" style="115" customWidth="1"/>
    <col min="13573" max="13573" width="18" style="115" customWidth="1"/>
    <col min="13574" max="13574" width="27.6640625" style="115" customWidth="1"/>
    <col min="13575" max="13575" width="28.88671875" style="115" bestFit="1" customWidth="1"/>
    <col min="13576" max="13576" width="3" style="115" customWidth="1"/>
    <col min="13577" max="13577" width="23.44140625" style="115" customWidth="1"/>
    <col min="13578" max="13578" width="8.88671875" style="115"/>
    <col min="13579" max="13579" width="17.88671875" style="115" bestFit="1" customWidth="1"/>
    <col min="13580" max="13824" width="8.88671875" style="115"/>
    <col min="13825" max="13825" width="7.109375" style="115" customWidth="1"/>
    <col min="13826" max="13826" width="2.33203125" style="115" customWidth="1"/>
    <col min="13827" max="13827" width="6.33203125" style="115" customWidth="1"/>
    <col min="13828" max="13828" width="33.44140625" style="115" customWidth="1"/>
    <col min="13829" max="13829" width="18" style="115" customWidth="1"/>
    <col min="13830" max="13830" width="27.6640625" style="115" customWidth="1"/>
    <col min="13831" max="13831" width="28.88671875" style="115" bestFit="1" customWidth="1"/>
    <col min="13832" max="13832" width="3" style="115" customWidth="1"/>
    <col min="13833" max="13833" width="23.44140625" style="115" customWidth="1"/>
    <col min="13834" max="13834" width="8.88671875" style="115"/>
    <col min="13835" max="13835" width="17.88671875" style="115" bestFit="1" customWidth="1"/>
    <col min="13836" max="14080" width="8.88671875" style="115"/>
    <col min="14081" max="14081" width="7.109375" style="115" customWidth="1"/>
    <col min="14082" max="14082" width="2.33203125" style="115" customWidth="1"/>
    <col min="14083" max="14083" width="6.33203125" style="115" customWidth="1"/>
    <col min="14084" max="14084" width="33.44140625" style="115" customWidth="1"/>
    <col min="14085" max="14085" width="18" style="115" customWidth="1"/>
    <col min="14086" max="14086" width="27.6640625" style="115" customWidth="1"/>
    <col min="14087" max="14087" width="28.88671875" style="115" bestFit="1" customWidth="1"/>
    <col min="14088" max="14088" width="3" style="115" customWidth="1"/>
    <col min="14089" max="14089" width="23.44140625" style="115" customWidth="1"/>
    <col min="14090" max="14090" width="8.88671875" style="115"/>
    <col min="14091" max="14091" width="17.88671875" style="115" bestFit="1" customWidth="1"/>
    <col min="14092" max="14336" width="8.88671875" style="115"/>
    <col min="14337" max="14337" width="7.109375" style="115" customWidth="1"/>
    <col min="14338" max="14338" width="2.33203125" style="115" customWidth="1"/>
    <col min="14339" max="14339" width="6.33203125" style="115" customWidth="1"/>
    <col min="14340" max="14340" width="33.44140625" style="115" customWidth="1"/>
    <col min="14341" max="14341" width="18" style="115" customWidth="1"/>
    <col min="14342" max="14342" width="27.6640625" style="115" customWidth="1"/>
    <col min="14343" max="14343" width="28.88671875" style="115" bestFit="1" customWidth="1"/>
    <col min="14344" max="14344" width="3" style="115" customWidth="1"/>
    <col min="14345" max="14345" width="23.44140625" style="115" customWidth="1"/>
    <col min="14346" max="14346" width="8.88671875" style="115"/>
    <col min="14347" max="14347" width="17.88671875" style="115" bestFit="1" customWidth="1"/>
    <col min="14348" max="14592" width="8.88671875" style="115"/>
    <col min="14593" max="14593" width="7.109375" style="115" customWidth="1"/>
    <col min="14594" max="14594" width="2.33203125" style="115" customWidth="1"/>
    <col min="14595" max="14595" width="6.33203125" style="115" customWidth="1"/>
    <col min="14596" max="14596" width="33.44140625" style="115" customWidth="1"/>
    <col min="14597" max="14597" width="18" style="115" customWidth="1"/>
    <col min="14598" max="14598" width="27.6640625" style="115" customWidth="1"/>
    <col min="14599" max="14599" width="28.88671875" style="115" bestFit="1" customWidth="1"/>
    <col min="14600" max="14600" width="3" style="115" customWidth="1"/>
    <col min="14601" max="14601" width="23.44140625" style="115" customWidth="1"/>
    <col min="14602" max="14602" width="8.88671875" style="115"/>
    <col min="14603" max="14603" width="17.88671875" style="115" bestFit="1" customWidth="1"/>
    <col min="14604" max="14848" width="8.88671875" style="115"/>
    <col min="14849" max="14849" width="7.109375" style="115" customWidth="1"/>
    <col min="14850" max="14850" width="2.33203125" style="115" customWidth="1"/>
    <col min="14851" max="14851" width="6.33203125" style="115" customWidth="1"/>
    <col min="14852" max="14852" width="33.44140625" style="115" customWidth="1"/>
    <col min="14853" max="14853" width="18" style="115" customWidth="1"/>
    <col min="14854" max="14854" width="27.6640625" style="115" customWidth="1"/>
    <col min="14855" max="14855" width="28.88671875" style="115" bestFit="1" customWidth="1"/>
    <col min="14856" max="14856" width="3" style="115" customWidth="1"/>
    <col min="14857" max="14857" width="23.44140625" style="115" customWidth="1"/>
    <col min="14858" max="14858" width="8.88671875" style="115"/>
    <col min="14859" max="14859" width="17.88671875" style="115" bestFit="1" customWidth="1"/>
    <col min="14860" max="15104" width="8.88671875" style="115"/>
    <col min="15105" max="15105" width="7.109375" style="115" customWidth="1"/>
    <col min="15106" max="15106" width="2.33203125" style="115" customWidth="1"/>
    <col min="15107" max="15107" width="6.33203125" style="115" customWidth="1"/>
    <col min="15108" max="15108" width="33.44140625" style="115" customWidth="1"/>
    <col min="15109" max="15109" width="18" style="115" customWidth="1"/>
    <col min="15110" max="15110" width="27.6640625" style="115" customWidth="1"/>
    <col min="15111" max="15111" width="28.88671875" style="115" bestFit="1" customWidth="1"/>
    <col min="15112" max="15112" width="3" style="115" customWidth="1"/>
    <col min="15113" max="15113" width="23.44140625" style="115" customWidth="1"/>
    <col min="15114" max="15114" width="8.88671875" style="115"/>
    <col min="15115" max="15115" width="17.88671875" style="115" bestFit="1" customWidth="1"/>
    <col min="15116" max="15360" width="8.88671875" style="115"/>
    <col min="15361" max="15361" width="7.109375" style="115" customWidth="1"/>
    <col min="15362" max="15362" width="2.33203125" style="115" customWidth="1"/>
    <col min="15363" max="15363" width="6.33203125" style="115" customWidth="1"/>
    <col min="15364" max="15364" width="33.44140625" style="115" customWidth="1"/>
    <col min="15365" max="15365" width="18" style="115" customWidth="1"/>
    <col min="15366" max="15366" width="27.6640625" style="115" customWidth="1"/>
    <col min="15367" max="15367" width="28.88671875" style="115" bestFit="1" customWidth="1"/>
    <col min="15368" max="15368" width="3" style="115" customWidth="1"/>
    <col min="15369" max="15369" width="23.44140625" style="115" customWidth="1"/>
    <col min="15370" max="15370" width="8.88671875" style="115"/>
    <col min="15371" max="15371" width="17.88671875" style="115" bestFit="1" customWidth="1"/>
    <col min="15372" max="15616" width="8.88671875" style="115"/>
    <col min="15617" max="15617" width="7.109375" style="115" customWidth="1"/>
    <col min="15618" max="15618" width="2.33203125" style="115" customWidth="1"/>
    <col min="15619" max="15619" width="6.33203125" style="115" customWidth="1"/>
    <col min="15620" max="15620" width="33.44140625" style="115" customWidth="1"/>
    <col min="15621" max="15621" width="18" style="115" customWidth="1"/>
    <col min="15622" max="15622" width="27.6640625" style="115" customWidth="1"/>
    <col min="15623" max="15623" width="28.88671875" style="115" bestFit="1" customWidth="1"/>
    <col min="15624" max="15624" width="3" style="115" customWidth="1"/>
    <col min="15625" max="15625" width="23.44140625" style="115" customWidth="1"/>
    <col min="15626" max="15626" width="8.88671875" style="115"/>
    <col min="15627" max="15627" width="17.88671875" style="115" bestFit="1" customWidth="1"/>
    <col min="15628" max="15872" width="8.88671875" style="115"/>
    <col min="15873" max="15873" width="7.109375" style="115" customWidth="1"/>
    <col min="15874" max="15874" width="2.33203125" style="115" customWidth="1"/>
    <col min="15875" max="15875" width="6.33203125" style="115" customWidth="1"/>
    <col min="15876" max="15876" width="33.44140625" style="115" customWidth="1"/>
    <col min="15877" max="15877" width="18" style="115" customWidth="1"/>
    <col min="15878" max="15878" width="27.6640625" style="115" customWidth="1"/>
    <col min="15879" max="15879" width="28.88671875" style="115" bestFit="1" customWidth="1"/>
    <col min="15880" max="15880" width="3" style="115" customWidth="1"/>
    <col min="15881" max="15881" width="23.44140625" style="115" customWidth="1"/>
    <col min="15882" max="15882" width="8.88671875" style="115"/>
    <col min="15883" max="15883" width="17.88671875" style="115" bestFit="1" customWidth="1"/>
    <col min="15884" max="16128" width="8.88671875" style="115"/>
    <col min="16129" max="16129" width="7.109375" style="115" customWidth="1"/>
    <col min="16130" max="16130" width="2.33203125" style="115" customWidth="1"/>
    <col min="16131" max="16131" width="6.33203125" style="115" customWidth="1"/>
    <col min="16132" max="16132" width="33.44140625" style="115" customWidth="1"/>
    <col min="16133" max="16133" width="18" style="115" customWidth="1"/>
    <col min="16134" max="16134" width="27.6640625" style="115" customWidth="1"/>
    <col min="16135" max="16135" width="28.88671875" style="115" bestFit="1" customWidth="1"/>
    <col min="16136" max="16136" width="3" style="115" customWidth="1"/>
    <col min="16137" max="16137" width="23.44140625" style="115" customWidth="1"/>
    <col min="16138" max="16138" width="8.88671875" style="115"/>
    <col min="16139" max="16139" width="17.88671875" style="115" bestFit="1" customWidth="1"/>
    <col min="16140" max="16384" width="8.88671875" style="115"/>
  </cols>
  <sheetData>
    <row r="1" spans="1:12" ht="18">
      <c r="A1" s="1098"/>
      <c r="B1" s="1099"/>
      <c r="C1" s="1099"/>
      <c r="D1" s="1099"/>
      <c r="E1" s="1099"/>
      <c r="F1" s="1099"/>
      <c r="G1" s="1099"/>
      <c r="H1" s="1099"/>
      <c r="I1" s="1099"/>
      <c r="J1" s="1102" t="str">
        <f>'Attachment H-11A '!K1&amp;""&amp;", Attachment 2a"</f>
        <v>Attachment H -11A, Attachment 2a</v>
      </c>
      <c r="K1" s="1102"/>
      <c r="L1" s="1102"/>
    </row>
    <row r="2" spans="1:12" ht="18">
      <c r="A2" s="1100" t="s">
        <v>495</v>
      </c>
      <c r="B2" s="1100"/>
      <c r="C2" s="1100"/>
      <c r="D2" s="1100"/>
      <c r="E2" s="1100"/>
      <c r="F2" s="1100"/>
      <c r="G2" s="1100"/>
      <c r="H2" s="1100"/>
      <c r="I2" s="1100"/>
      <c r="J2" s="700"/>
      <c r="K2" s="1102" t="s">
        <v>168</v>
      </c>
      <c r="L2" s="1102"/>
    </row>
    <row r="3" spans="1:12" ht="18">
      <c r="A3" s="174"/>
      <c r="B3" s="174"/>
      <c r="C3" s="174"/>
      <c r="D3" s="174"/>
      <c r="E3" s="174"/>
      <c r="F3" s="174"/>
      <c r="G3" s="174"/>
      <c r="H3" s="174"/>
      <c r="I3" s="174"/>
      <c r="J3" s="1102" t="str">
        <f>'Attachment H-11A '!K4</f>
        <v>For the 12 months ended 12/31/2023</v>
      </c>
      <c r="K3" s="1102"/>
      <c r="L3" s="1102"/>
    </row>
    <row r="4" spans="1:12" s="117" customFormat="1" ht="15">
      <c r="A4" s="118"/>
      <c r="B4" s="118"/>
    </row>
    <row r="5" spans="1:12" s="117" customFormat="1" ht="15.75">
      <c r="A5" s="121" t="s">
        <v>278</v>
      </c>
      <c r="B5" s="122"/>
      <c r="C5" s="122"/>
      <c r="D5" s="122"/>
      <c r="E5" s="122"/>
      <c r="F5" s="122"/>
      <c r="G5" s="122"/>
      <c r="H5" s="122"/>
      <c r="I5" s="122"/>
    </row>
    <row r="6" spans="1:12" s="117" customFormat="1" ht="15.75">
      <c r="A6" s="123"/>
      <c r="G6" s="124" t="s">
        <v>951</v>
      </c>
    </row>
    <row r="7" spans="1:12" s="117" customFormat="1" ht="15">
      <c r="I7" s="125"/>
    </row>
    <row r="8" spans="1:12" s="117" customFormat="1" ht="15">
      <c r="A8" s="118">
        <v>1</v>
      </c>
      <c r="C8" s="126" t="s">
        <v>481</v>
      </c>
      <c r="D8" s="126"/>
      <c r="F8" s="126"/>
      <c r="G8" s="127" t="s">
        <v>885</v>
      </c>
      <c r="H8" s="126"/>
      <c r="I8" s="120">
        <f>'Attachment H-11A '!I85</f>
        <v>337423350.17693532</v>
      </c>
    </row>
    <row r="9" spans="1:12" s="117" customFormat="1" ht="15">
      <c r="G9" s="126"/>
      <c r="I9" s="125"/>
    </row>
    <row r="10" spans="1:12" s="117" customFormat="1" ht="15">
      <c r="A10" s="118"/>
      <c r="B10" s="126"/>
      <c r="C10" s="126"/>
      <c r="D10" s="126"/>
      <c r="F10" s="119"/>
      <c r="G10" s="126"/>
      <c r="H10" s="119"/>
      <c r="I10" s="119"/>
    </row>
    <row r="11" spans="1:12" s="117" customFormat="1" ht="15.75">
      <c r="A11" s="118">
        <f>A8+1</f>
        <v>2</v>
      </c>
      <c r="B11" s="126"/>
      <c r="C11" s="126" t="s">
        <v>482</v>
      </c>
      <c r="D11" s="128"/>
      <c r="F11" s="117" t="s">
        <v>483</v>
      </c>
      <c r="G11" s="127" t="s">
        <v>886</v>
      </c>
      <c r="H11" s="119"/>
      <c r="I11" s="119">
        <f>'Attachment H-11A '!I240</f>
        <v>0</v>
      </c>
    </row>
    <row r="12" spans="1:12" s="117" customFormat="1" ht="15">
      <c r="A12" s="118"/>
      <c r="B12" s="126"/>
      <c r="C12" s="126"/>
      <c r="D12" s="126"/>
      <c r="G12" s="127"/>
      <c r="H12" s="119"/>
      <c r="I12" s="119"/>
    </row>
    <row r="13" spans="1:12" s="117" customFormat="1" ht="15.75">
      <c r="A13" s="118"/>
      <c r="B13" s="126"/>
      <c r="C13" s="126" t="s">
        <v>88</v>
      </c>
      <c r="D13" s="129"/>
      <c r="G13" s="127"/>
      <c r="H13" s="119"/>
      <c r="I13" s="119"/>
    </row>
    <row r="14" spans="1:12" s="117" customFormat="1" ht="15">
      <c r="A14" s="118">
        <f>A11+1</f>
        <v>3</v>
      </c>
      <c r="B14" s="126"/>
      <c r="C14" s="126"/>
      <c r="D14" s="126" t="s">
        <v>484</v>
      </c>
      <c r="E14" s="119"/>
      <c r="F14" s="119"/>
      <c r="G14" s="127" t="s">
        <v>505</v>
      </c>
      <c r="H14" s="119"/>
      <c r="I14" s="119">
        <f>'Attachment 8 - Cap Structure'!E23</f>
        <v>1652301016.1730776</v>
      </c>
    </row>
    <row r="15" spans="1:12" s="117" customFormat="1" ht="15">
      <c r="A15" s="118">
        <f>A14+1</f>
        <v>4</v>
      </c>
      <c r="B15" s="126"/>
      <c r="C15" s="126"/>
      <c r="D15" s="126" t="s">
        <v>283</v>
      </c>
      <c r="E15" s="119"/>
      <c r="F15" s="119"/>
      <c r="G15" s="127" t="s">
        <v>932</v>
      </c>
      <c r="H15" s="119"/>
      <c r="I15" s="119">
        <f>'Attachment 8 - Cap Structure'!G23</f>
        <v>0</v>
      </c>
    </row>
    <row r="16" spans="1:12" s="117" customFormat="1" ht="15">
      <c r="A16" s="118">
        <f>A15+1</f>
        <v>5</v>
      </c>
      <c r="B16" s="126"/>
      <c r="C16" s="126"/>
      <c r="D16" s="126" t="s">
        <v>284</v>
      </c>
      <c r="E16" s="119"/>
      <c r="F16" s="119"/>
      <c r="G16" s="127" t="s">
        <v>506</v>
      </c>
      <c r="H16" s="119"/>
      <c r="I16" s="119">
        <f>'Attachment 8 - Cap Structure'!J23</f>
        <v>-233713.87769230775</v>
      </c>
    </row>
    <row r="17" spans="1:11" s="117" customFormat="1" ht="15">
      <c r="A17" s="118">
        <f>+A16+1</f>
        <v>6</v>
      </c>
      <c r="B17" s="126"/>
      <c r="C17" s="126"/>
      <c r="D17" s="126" t="s">
        <v>933</v>
      </c>
      <c r="E17" s="130"/>
      <c r="F17" s="130"/>
      <c r="G17" s="131" t="s">
        <v>934</v>
      </c>
      <c r="H17" s="130"/>
      <c r="I17" s="130">
        <f>'Attachment 8 - Cap Structure'!H23+'Attachment 8 - Cap Structure'!K23+'Attachment 8 - Cap Structure'!F23+'Attachment 8 - Cap Structure'!I23</f>
        <v>52599554.768461525</v>
      </c>
    </row>
    <row r="18" spans="1:11" s="117" customFormat="1" ht="15">
      <c r="A18" s="118">
        <f>A17+1</f>
        <v>7</v>
      </c>
      <c r="B18" s="126"/>
      <c r="C18" s="126"/>
      <c r="D18" s="126" t="s">
        <v>88</v>
      </c>
      <c r="E18" s="119"/>
      <c r="F18" s="119"/>
      <c r="G18" s="127" t="s">
        <v>935</v>
      </c>
      <c r="H18" s="119"/>
      <c r="I18" s="119">
        <f>'Attachment 8 - Cap Structure'!L23</f>
        <v>1599935175.2823083</v>
      </c>
    </row>
    <row r="19" spans="1:11" s="117" customFormat="1" ht="15">
      <c r="A19" s="118"/>
      <c r="B19" s="126"/>
      <c r="C19" s="126"/>
      <c r="D19" s="126"/>
      <c r="E19" s="119"/>
      <c r="F19" s="119"/>
      <c r="G19" s="127"/>
      <c r="H19" s="119"/>
      <c r="I19" s="119"/>
    </row>
    <row r="20" spans="1:11" s="117" customFormat="1" ht="15">
      <c r="A20" s="118"/>
      <c r="B20" s="126"/>
      <c r="C20" s="126"/>
      <c r="D20" s="126"/>
      <c r="E20" s="119"/>
      <c r="F20" s="119"/>
      <c r="G20" s="127"/>
      <c r="H20" s="119"/>
      <c r="I20" s="119"/>
    </row>
    <row r="21" spans="1:11" s="117" customFormat="1" ht="15.75">
      <c r="A21" s="118"/>
      <c r="B21" s="126"/>
      <c r="C21" s="126" t="s">
        <v>485</v>
      </c>
      <c r="D21" s="129"/>
      <c r="G21" s="127"/>
      <c r="I21" s="119"/>
    </row>
    <row r="22" spans="1:11" s="117" customFormat="1" ht="15">
      <c r="A22" s="118">
        <f>+A18+1</f>
        <v>8</v>
      </c>
      <c r="B22" s="126"/>
      <c r="C22" s="126"/>
      <c r="D22" s="126" t="s">
        <v>229</v>
      </c>
      <c r="G22" s="127" t="s">
        <v>887</v>
      </c>
      <c r="I22" s="119">
        <f>'Attachment H-11A '!D245</f>
        <v>1773076923.0769217</v>
      </c>
    </row>
    <row r="23" spans="1:11" s="117" customFormat="1" ht="15">
      <c r="A23" s="118">
        <f>A22+1</f>
        <v>9</v>
      </c>
      <c r="B23" s="126"/>
      <c r="C23" s="126"/>
      <c r="D23" s="126" t="s">
        <v>227</v>
      </c>
      <c r="G23" s="127" t="s">
        <v>888</v>
      </c>
      <c r="I23" s="119">
        <f>'Attachment H-11A '!D246</f>
        <v>0</v>
      </c>
    </row>
    <row r="24" spans="1:11" s="117" customFormat="1" ht="15">
      <c r="A24" s="118">
        <f t="shared" ref="A24:A25" si="0">A23+1</f>
        <v>10</v>
      </c>
      <c r="B24" s="126"/>
      <c r="C24" s="126"/>
      <c r="D24" s="126" t="s">
        <v>88</v>
      </c>
      <c r="G24" s="131" t="s">
        <v>889</v>
      </c>
      <c r="I24" s="119">
        <f>'Attachment H-11A '!D247</f>
        <v>1599935175.2823083</v>
      </c>
    </row>
    <row r="25" spans="1:11" s="117" customFormat="1" ht="15.75">
      <c r="A25" s="118">
        <f t="shared" si="0"/>
        <v>11</v>
      </c>
      <c r="B25" s="126"/>
      <c r="C25" s="126"/>
      <c r="D25" s="126" t="s">
        <v>952</v>
      </c>
      <c r="E25" s="132"/>
      <c r="F25" s="133"/>
      <c r="G25" s="127" t="s">
        <v>890</v>
      </c>
      <c r="H25" s="134"/>
      <c r="I25" s="134">
        <f>'Attachment H-11A '!D248</f>
        <v>3373012098.35923</v>
      </c>
    </row>
    <row r="26" spans="1:11" s="117" customFormat="1" ht="15">
      <c r="A26" s="118"/>
      <c r="B26" s="126"/>
      <c r="C26" s="126"/>
      <c r="D26" s="126"/>
      <c r="G26" s="126"/>
      <c r="H26" s="119"/>
      <c r="I26" s="135"/>
    </row>
    <row r="27" spans="1:11" s="117" customFormat="1" ht="15">
      <c r="A27" s="118">
        <f>A25+1</f>
        <v>12</v>
      </c>
      <c r="B27" s="126"/>
      <c r="C27" s="126"/>
      <c r="D27" s="126" t="s">
        <v>486</v>
      </c>
      <c r="F27" s="126" t="s">
        <v>955</v>
      </c>
      <c r="G27" s="127" t="s">
        <v>891</v>
      </c>
      <c r="H27" s="119"/>
      <c r="I27" s="136">
        <f>'Attachment H-11A '!E245</f>
        <v>0.52566574663026511</v>
      </c>
    </row>
    <row r="28" spans="1:11" s="117" customFormat="1" ht="15">
      <c r="A28" s="118">
        <f>A27+1</f>
        <v>13</v>
      </c>
      <c r="B28" s="126"/>
      <c r="C28" s="126"/>
      <c r="D28" s="126" t="s">
        <v>487</v>
      </c>
      <c r="F28" s="126" t="s">
        <v>227</v>
      </c>
      <c r="G28" s="127" t="s">
        <v>892</v>
      </c>
      <c r="H28" s="119"/>
      <c r="I28" s="136">
        <f>'Attachment H-11A '!E246</f>
        <v>0</v>
      </c>
    </row>
    <row r="29" spans="1:11" s="117" customFormat="1" ht="15">
      <c r="A29" s="118">
        <f>A28+1</f>
        <v>14</v>
      </c>
      <c r="B29" s="126"/>
      <c r="C29" s="126"/>
      <c r="D29" s="126" t="s">
        <v>488</v>
      </c>
      <c r="F29" s="126" t="s">
        <v>88</v>
      </c>
      <c r="G29" s="127" t="s">
        <v>893</v>
      </c>
      <c r="H29" s="119"/>
      <c r="I29" s="136">
        <f>'Attachment H-11A '!E247</f>
        <v>0.47433425336973495</v>
      </c>
    </row>
    <row r="30" spans="1:11" s="117" customFormat="1" ht="15">
      <c r="A30" s="118"/>
      <c r="B30" s="126"/>
      <c r="C30" s="126"/>
      <c r="D30" s="126"/>
      <c r="F30" s="127"/>
      <c r="G30" s="126"/>
      <c r="H30" s="119"/>
      <c r="I30" s="135"/>
    </row>
    <row r="31" spans="1:11" s="117" customFormat="1" ht="15">
      <c r="A31" s="118">
        <f>A29+1</f>
        <v>15</v>
      </c>
      <c r="B31" s="126"/>
      <c r="C31" s="126"/>
      <c r="D31" s="126" t="s">
        <v>361</v>
      </c>
      <c r="F31" s="127" t="s">
        <v>955</v>
      </c>
      <c r="G31" s="127" t="s">
        <v>894</v>
      </c>
      <c r="H31" s="119"/>
      <c r="I31" s="137">
        <f>'Attachment H-11A '!G245</f>
        <v>4.3700000000000003E-2</v>
      </c>
      <c r="K31" s="137"/>
    </row>
    <row r="32" spans="1:11" s="117" customFormat="1" ht="15">
      <c r="A32" s="118">
        <f>A31+1</f>
        <v>16</v>
      </c>
      <c r="B32" s="126"/>
      <c r="C32" s="126"/>
      <c r="D32" s="126" t="s">
        <v>489</v>
      </c>
      <c r="F32" s="127" t="s">
        <v>227</v>
      </c>
      <c r="G32" s="127" t="s">
        <v>895</v>
      </c>
      <c r="H32" s="119"/>
      <c r="I32" s="137">
        <f>'Attachment H-11A '!G246</f>
        <v>0</v>
      </c>
    </row>
    <row r="33" spans="1:11" s="117" customFormat="1" ht="15">
      <c r="A33" s="118">
        <f>A32+1</f>
        <v>17</v>
      </c>
      <c r="B33" s="126"/>
      <c r="C33" s="126"/>
      <c r="D33" s="126" t="s">
        <v>490</v>
      </c>
      <c r="F33" s="127" t="s">
        <v>88</v>
      </c>
      <c r="G33" s="127" t="s">
        <v>898</v>
      </c>
      <c r="H33" s="119"/>
      <c r="I33" s="884">
        <f>'Attachment H-11A '!G247+0.01</f>
        <v>0.11449999999999999</v>
      </c>
      <c r="K33" s="137"/>
    </row>
    <row r="34" spans="1:11" s="117" customFormat="1" ht="15">
      <c r="A34" s="118"/>
      <c r="B34" s="126"/>
      <c r="C34" s="126"/>
      <c r="D34" s="126"/>
      <c r="F34" s="127"/>
      <c r="G34" s="126"/>
      <c r="H34" s="119"/>
    </row>
    <row r="35" spans="1:11" s="117" customFormat="1" ht="15">
      <c r="A35" s="118">
        <f>A33+1</f>
        <v>18</v>
      </c>
      <c r="B35" s="126"/>
      <c r="C35" s="126"/>
      <c r="D35" s="126" t="s">
        <v>491</v>
      </c>
      <c r="F35" s="126" t="s">
        <v>956</v>
      </c>
      <c r="G35" s="126" t="s">
        <v>301</v>
      </c>
      <c r="H35" s="138"/>
      <c r="I35" s="137">
        <f>I31*I27</f>
        <v>2.2971593127742586E-2</v>
      </c>
    </row>
    <row r="36" spans="1:11" s="117" customFormat="1" ht="15">
      <c r="A36" s="118">
        <f>A35+1</f>
        <v>19</v>
      </c>
      <c r="B36" s="126"/>
      <c r="C36" s="126"/>
      <c r="D36" s="126" t="s">
        <v>492</v>
      </c>
      <c r="F36" s="126" t="s">
        <v>227</v>
      </c>
      <c r="G36" s="126" t="s">
        <v>302</v>
      </c>
      <c r="H36" s="139"/>
      <c r="I36" s="137">
        <f>I32*I28</f>
        <v>0</v>
      </c>
    </row>
    <row r="37" spans="1:11" s="117" customFormat="1" ht="15">
      <c r="A37" s="118">
        <f>A36+1</f>
        <v>20</v>
      </c>
      <c r="B37" s="126"/>
      <c r="C37" s="126"/>
      <c r="D37" s="140" t="s">
        <v>493</v>
      </c>
      <c r="E37" s="141"/>
      <c r="F37" s="140" t="s">
        <v>88</v>
      </c>
      <c r="G37" s="140" t="s">
        <v>303</v>
      </c>
      <c r="H37" s="142"/>
      <c r="I37" s="143">
        <f>I33*I29</f>
        <v>5.4311272010834646E-2</v>
      </c>
    </row>
    <row r="38" spans="1:11" s="117" customFormat="1" ht="15.75">
      <c r="A38" s="118">
        <f>A37+1</f>
        <v>21</v>
      </c>
      <c r="B38" s="126"/>
      <c r="C38" s="126" t="s">
        <v>954</v>
      </c>
      <c r="D38" s="126"/>
      <c r="E38" s="144"/>
      <c r="F38" s="144"/>
      <c r="G38" s="126" t="str">
        <f>"(Sum Lines "&amp;A35&amp;" to "&amp;A37&amp;")"</f>
        <v>(Sum Lines 18 to 20)</v>
      </c>
      <c r="H38" s="145"/>
      <c r="I38" s="146">
        <f>SUM(I35:I37)</f>
        <v>7.7282865138577239E-2</v>
      </c>
    </row>
    <row r="39" spans="1:11" s="117" customFormat="1" ht="15.75">
      <c r="A39" s="124"/>
      <c r="B39" s="126"/>
      <c r="C39" s="126"/>
      <c r="D39" s="126"/>
      <c r="E39" s="144"/>
      <c r="F39" s="144"/>
      <c r="G39" s="129"/>
      <c r="H39" s="145"/>
      <c r="I39" s="146"/>
    </row>
    <row r="40" spans="1:11" s="117" customFormat="1" ht="16.5" thickBot="1">
      <c r="A40" s="118">
        <f>A38+1</f>
        <v>22</v>
      </c>
      <c r="B40" s="126"/>
      <c r="C40" s="126" t="s">
        <v>494</v>
      </c>
      <c r="D40" s="126"/>
      <c r="E40" s="147"/>
      <c r="F40" s="148"/>
      <c r="G40" s="149" t="str">
        <f>"(Line "&amp;A8&amp;" * Line "&amp;A38&amp;")"</f>
        <v>(Line 1 * Line 21)</v>
      </c>
      <c r="H40" s="150"/>
      <c r="I40" s="151">
        <f>+I38*I8</f>
        <v>26077043.266331013</v>
      </c>
    </row>
    <row r="41" spans="1:11" s="117" customFormat="1" ht="15.75" thickTop="1">
      <c r="A41" s="118"/>
      <c r="B41" s="118"/>
      <c r="C41" s="118"/>
      <c r="F41" s="118"/>
      <c r="G41" s="119"/>
      <c r="H41" s="119"/>
      <c r="I41" s="137"/>
    </row>
    <row r="42" spans="1:11" s="117" customFormat="1" ht="15.75">
      <c r="A42" s="152" t="s">
        <v>285</v>
      </c>
      <c r="B42" s="152"/>
      <c r="C42" s="153"/>
      <c r="D42" s="154"/>
      <c r="E42" s="122"/>
      <c r="F42" s="155"/>
      <c r="G42" s="122"/>
      <c r="H42" s="122"/>
      <c r="I42" s="156"/>
    </row>
    <row r="43" spans="1:11" s="117" customFormat="1" ht="15.75">
      <c r="A43" s="126"/>
      <c r="B43" s="126"/>
      <c r="C43" s="118"/>
      <c r="D43" s="144"/>
      <c r="F43" s="135"/>
      <c r="I43" s="157"/>
      <c r="K43" s="119"/>
    </row>
    <row r="44" spans="1:11" s="117" customFormat="1" ht="15.75">
      <c r="A44" s="118" t="s">
        <v>3</v>
      </c>
      <c r="B44" s="118"/>
      <c r="C44" s="158" t="s">
        <v>279</v>
      </c>
      <c r="F44" s="135"/>
      <c r="G44" s="119"/>
      <c r="H44" s="159"/>
    </row>
    <row r="45" spans="1:11" s="117" customFormat="1" ht="15">
      <c r="A45" s="118">
        <f>+A40+1</f>
        <v>23</v>
      </c>
      <c r="B45" s="118"/>
      <c r="C45" s="118"/>
      <c r="D45" s="203" t="s">
        <v>62</v>
      </c>
      <c r="F45" s="118"/>
      <c r="G45" s="127" t="s">
        <v>1134</v>
      </c>
      <c r="H45" s="160"/>
      <c r="I45" s="161">
        <f>'Attachment H-11A '!D144</f>
        <v>0.25800151784999992</v>
      </c>
    </row>
    <row r="46" spans="1:11" s="117" customFormat="1" ht="15">
      <c r="A46" s="118">
        <f>+A45+1</f>
        <v>24</v>
      </c>
      <c r="B46" s="118"/>
      <c r="C46" s="118"/>
      <c r="D46" s="80" t="s">
        <v>820</v>
      </c>
      <c r="E46" s="162"/>
      <c r="F46" s="118"/>
      <c r="G46" s="127" t="s">
        <v>291</v>
      </c>
      <c r="H46" s="160"/>
      <c r="I46" s="177">
        <f>(I45/(1-I45)*(1-I35/I38))</f>
        <v>0.2443576861124972</v>
      </c>
    </row>
    <row r="47" spans="1:11" s="117" customFormat="1" ht="15">
      <c r="A47" s="118"/>
      <c r="B47" s="118"/>
      <c r="C47" s="118"/>
      <c r="D47" s="204"/>
      <c r="E47" s="160"/>
      <c r="F47" s="118"/>
      <c r="G47" s="127"/>
      <c r="H47" s="160"/>
      <c r="I47" s="163"/>
    </row>
    <row r="48" spans="1:11" s="117" customFormat="1" ht="15">
      <c r="A48" s="118"/>
      <c r="B48" s="118"/>
      <c r="C48" s="118"/>
      <c r="D48" s="204"/>
      <c r="E48" s="164"/>
      <c r="F48" s="118"/>
      <c r="G48" s="127"/>
      <c r="H48" s="160"/>
      <c r="I48" s="161"/>
    </row>
    <row r="49" spans="1:11" s="117" customFormat="1" ht="15.75">
      <c r="A49" s="118">
        <v>25</v>
      </c>
      <c r="B49" s="118"/>
      <c r="C49" s="118"/>
      <c r="D49" s="203" t="s">
        <v>821</v>
      </c>
      <c r="E49" s="162"/>
      <c r="F49" s="118"/>
      <c r="G49" s="1028" t="s">
        <v>1135</v>
      </c>
      <c r="H49" s="160"/>
      <c r="I49" s="94">
        <f>'Attachment H-11A '!D148</f>
        <v>1.3477116517845424</v>
      </c>
      <c r="K49" s="165"/>
    </row>
    <row r="50" spans="1:11" s="117" customFormat="1" ht="15">
      <c r="A50" s="118">
        <v>26</v>
      </c>
      <c r="B50" s="118"/>
      <c r="C50" s="118"/>
      <c r="D50" s="204" t="s">
        <v>248</v>
      </c>
      <c r="F50" s="166"/>
      <c r="G50" s="127" t="s">
        <v>1136</v>
      </c>
      <c r="H50" s="159"/>
      <c r="I50" s="175">
        <f>'Attachment H-11A '!D149</f>
        <v>0</v>
      </c>
    </row>
    <row r="51" spans="1:11" s="117" customFormat="1" ht="15">
      <c r="A51" s="118">
        <v>27</v>
      </c>
      <c r="B51" s="118"/>
      <c r="C51" s="118"/>
      <c r="D51" s="204" t="s">
        <v>282</v>
      </c>
      <c r="F51" s="166"/>
      <c r="G51" s="127" t="s">
        <v>1137</v>
      </c>
      <c r="H51" s="159"/>
      <c r="I51" s="175">
        <f>'Attachment H-11A '!D150</f>
        <v>112255.94441349927</v>
      </c>
    </row>
    <row r="52" spans="1:11" s="117" customFormat="1" ht="15">
      <c r="A52" s="118">
        <v>28</v>
      </c>
      <c r="B52" s="118"/>
      <c r="C52" s="118"/>
      <c r="D52" s="204" t="s">
        <v>289</v>
      </c>
      <c r="F52" s="166"/>
      <c r="G52" s="127" t="s">
        <v>1138</v>
      </c>
      <c r="H52" s="159"/>
      <c r="I52" s="175">
        <f>'Attachment H-11A '!D151</f>
        <v>-382026.03627970727</v>
      </c>
    </row>
    <row r="53" spans="1:11" s="117" customFormat="1" ht="15">
      <c r="A53" s="118">
        <v>29</v>
      </c>
      <c r="B53" s="118"/>
      <c r="C53" s="118"/>
      <c r="D53" s="203" t="s">
        <v>286</v>
      </c>
      <c r="F53" s="166"/>
      <c r="G53" s="164" t="s">
        <v>305</v>
      </c>
      <c r="H53" s="159"/>
      <c r="I53" s="175">
        <f>I46*I40</f>
        <v>6372125.9532161225</v>
      </c>
    </row>
    <row r="54" spans="1:11" s="117" customFormat="1" ht="15">
      <c r="A54" s="118">
        <v>30</v>
      </c>
      <c r="B54" s="118"/>
      <c r="C54" s="118"/>
      <c r="D54" s="80" t="s">
        <v>287</v>
      </c>
      <c r="F54" s="166"/>
      <c r="G54" s="127" t="s">
        <v>1144</v>
      </c>
      <c r="H54" s="159"/>
      <c r="I54" s="175">
        <f>'Attachment H-11A '!I153</f>
        <v>0</v>
      </c>
    </row>
    <row r="55" spans="1:11" s="117" customFormat="1" ht="15">
      <c r="A55" s="118">
        <v>31</v>
      </c>
      <c r="B55" s="118"/>
      <c r="C55" s="118"/>
      <c r="D55" s="80" t="s">
        <v>288</v>
      </c>
      <c r="F55" s="166"/>
      <c r="G55" s="127" t="s">
        <v>1140</v>
      </c>
      <c r="H55" s="159"/>
      <c r="I55" s="175">
        <f>'Attachment H-11A '!I154</f>
        <v>151288.64426815088</v>
      </c>
    </row>
    <row r="56" spans="1:11" s="117" customFormat="1" ht="15.75" thickBot="1">
      <c r="A56" s="118">
        <v>32</v>
      </c>
      <c r="B56" s="118"/>
      <c r="C56" s="118"/>
      <c r="D56" s="80" t="s">
        <v>290</v>
      </c>
      <c r="F56" s="166"/>
      <c r="G56" s="127" t="s">
        <v>1141</v>
      </c>
      <c r="H56" s="159"/>
      <c r="I56" s="176">
        <f>'Attachment H-11A '!D155</f>
        <v>-514860.94037922582</v>
      </c>
    </row>
    <row r="57" spans="1:11" s="117" customFormat="1" ht="15">
      <c r="A57" s="118">
        <v>33</v>
      </c>
      <c r="B57" s="118"/>
      <c r="C57" s="118"/>
      <c r="D57" s="203" t="s">
        <v>64</v>
      </c>
      <c r="F57" s="166"/>
      <c r="G57" s="164" t="s">
        <v>304</v>
      </c>
      <c r="H57" s="159"/>
      <c r="I57" s="202">
        <f>SUM(I53:I56)</f>
        <v>6008553.6571050473</v>
      </c>
    </row>
    <row r="58" spans="1:11" s="117" customFormat="1" ht="15">
      <c r="A58" s="118"/>
      <c r="B58" s="118"/>
      <c r="C58" s="118"/>
      <c r="F58" s="166"/>
      <c r="G58" s="164"/>
      <c r="H58" s="159"/>
      <c r="I58" s="167"/>
    </row>
    <row r="59" spans="1:11" s="117" customFormat="1" ht="15.75">
      <c r="A59" s="152" t="s">
        <v>793</v>
      </c>
      <c r="B59" s="152"/>
      <c r="C59" s="153"/>
      <c r="D59" s="154"/>
      <c r="E59" s="122"/>
      <c r="F59" s="155"/>
      <c r="G59" s="122"/>
      <c r="H59" s="122"/>
      <c r="I59" s="156"/>
    </row>
    <row r="60" spans="1:11" s="117" customFormat="1" ht="15.75">
      <c r="A60" s="197"/>
      <c r="B60" s="197"/>
      <c r="C60" s="198"/>
      <c r="D60" s="199"/>
      <c r="F60" s="200"/>
      <c r="I60" s="201"/>
    </row>
    <row r="61" spans="1:11" s="117" customFormat="1" ht="15">
      <c r="A61" s="118">
        <v>34</v>
      </c>
      <c r="B61" s="118"/>
      <c r="C61" s="118"/>
      <c r="D61" s="117" t="s">
        <v>860</v>
      </c>
      <c r="F61" s="166"/>
      <c r="G61" s="164" t="s">
        <v>306</v>
      </c>
      <c r="H61" s="159"/>
      <c r="I61" s="175">
        <f>I40+I57</f>
        <v>32085596.923436061</v>
      </c>
    </row>
    <row r="62" spans="1:11" s="117" customFormat="1" ht="15">
      <c r="A62" s="118"/>
      <c r="B62" s="118"/>
      <c r="C62" s="118"/>
      <c r="F62" s="166"/>
      <c r="G62" s="164"/>
      <c r="H62" s="159"/>
      <c r="I62" s="175"/>
    </row>
    <row r="63" spans="1:11" s="117" customFormat="1" ht="15">
      <c r="A63" s="118">
        <v>35</v>
      </c>
      <c r="B63" s="118"/>
      <c r="C63" s="118"/>
      <c r="D63" s="117" t="s">
        <v>693</v>
      </c>
      <c r="F63" s="166"/>
      <c r="G63" s="164" t="s">
        <v>695</v>
      </c>
      <c r="H63" s="159"/>
      <c r="I63" s="175">
        <f>I40</f>
        <v>26077043.266331013</v>
      </c>
    </row>
    <row r="64" spans="1:11" s="117" customFormat="1" ht="15">
      <c r="A64" s="118">
        <v>36</v>
      </c>
      <c r="B64" s="118"/>
      <c r="C64" s="118"/>
      <c r="D64" s="117" t="s">
        <v>694</v>
      </c>
      <c r="F64" s="166"/>
      <c r="G64" s="164" t="s">
        <v>696</v>
      </c>
      <c r="H64" s="159"/>
      <c r="I64" s="175">
        <f>I57</f>
        <v>6008553.6571050473</v>
      </c>
    </row>
    <row r="65" spans="1:11" s="117" customFormat="1" ht="15">
      <c r="A65" s="118">
        <v>37</v>
      </c>
      <c r="B65" s="118"/>
      <c r="C65" s="118"/>
      <c r="D65" s="117" t="s">
        <v>514</v>
      </c>
      <c r="F65" s="166"/>
      <c r="G65" s="164" t="s">
        <v>854</v>
      </c>
      <c r="H65" s="159"/>
      <c r="I65" s="175">
        <f>I61-'Attachment 2 - ROE Calcs'!I61</f>
        <v>2157032.0792561322</v>
      </c>
      <c r="J65" s="235"/>
    </row>
    <row r="66" spans="1:11" s="117" customFormat="1" ht="15">
      <c r="A66" s="118">
        <v>38</v>
      </c>
      <c r="B66" s="118"/>
      <c r="C66" s="118"/>
      <c r="D66" s="117" t="s">
        <v>308</v>
      </c>
      <c r="F66" s="166"/>
      <c r="G66" s="164" t="s">
        <v>307</v>
      </c>
      <c r="H66" s="159"/>
      <c r="I66" s="175">
        <f>I8</f>
        <v>337423350.17693532</v>
      </c>
    </row>
    <row r="67" spans="1:11" s="117" customFormat="1" ht="15">
      <c r="A67" s="118">
        <v>39</v>
      </c>
      <c r="B67" s="118"/>
      <c r="C67" s="118"/>
      <c r="D67" s="117" t="s">
        <v>515</v>
      </c>
      <c r="F67" s="166"/>
      <c r="G67" s="164" t="s">
        <v>764</v>
      </c>
      <c r="H67" s="159"/>
      <c r="I67" s="196">
        <f>I65/I66</f>
        <v>6.3926580010691177E-3</v>
      </c>
      <c r="J67" s="235"/>
    </row>
    <row r="68" spans="1:11" s="117" customFormat="1" ht="15">
      <c r="A68" s="118"/>
      <c r="B68" s="118"/>
      <c r="C68" s="118"/>
      <c r="F68" s="166"/>
      <c r="G68" s="164"/>
      <c r="H68" s="159"/>
      <c r="I68" s="175"/>
    </row>
    <row r="69" spans="1:11" s="117" customFormat="1" ht="15.75">
      <c r="A69" s="118" t="s">
        <v>206</v>
      </c>
      <c r="B69" s="118"/>
      <c r="C69" s="118"/>
      <c r="F69" s="166"/>
      <c r="G69" s="164"/>
      <c r="H69" s="159"/>
      <c r="I69" s="168"/>
    </row>
    <row r="70" spans="1:11" s="117" customFormat="1" ht="31.5" customHeight="1">
      <c r="A70" s="118" t="s">
        <v>205</v>
      </c>
      <c r="B70" s="1104" t="s">
        <v>953</v>
      </c>
      <c r="C70" s="1104"/>
      <c r="D70" s="1104"/>
      <c r="E70" s="1104"/>
      <c r="F70" s="1104"/>
      <c r="G70" s="1104"/>
      <c r="H70" s="1104"/>
      <c r="I70" s="1104"/>
      <c r="J70" s="1104"/>
      <c r="K70" s="1104"/>
    </row>
    <row r="71" spans="1:11" s="117" customFormat="1" ht="16.5" thickBot="1">
      <c r="A71" s="118"/>
      <c r="B71" s="118"/>
      <c r="C71" s="178"/>
      <c r="D71" s="178"/>
      <c r="E71" s="179"/>
      <c r="F71" s="180"/>
      <c r="G71" s="181"/>
      <c r="H71" s="182"/>
      <c r="I71" s="183"/>
      <c r="K71" s="119" t="s">
        <v>3</v>
      </c>
    </row>
    <row r="72" spans="1:11" s="117" customFormat="1" ht="15.75" thickTop="1">
      <c r="A72" s="118"/>
      <c r="B72" s="118"/>
      <c r="C72" s="118"/>
      <c r="D72" s="164"/>
      <c r="F72" s="118"/>
      <c r="G72" s="171"/>
      <c r="H72" s="172"/>
      <c r="I72" s="173"/>
    </row>
  </sheetData>
  <mergeCells count="6">
    <mergeCell ref="A1:I1"/>
    <mergeCell ref="A2:I2"/>
    <mergeCell ref="B70:K70"/>
    <mergeCell ref="J3:L3"/>
    <mergeCell ref="K2:L2"/>
    <mergeCell ref="J1:L1"/>
  </mergeCells>
  <pageMargins left="0.7" right="0.7" top="0.75" bottom="0.75" header="0.3" footer="0.3"/>
  <pageSetup scale="36" orientation="portrait" r:id="rId1"/>
  <ignoredErrors>
    <ignoredError sqref="I4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sheetPr codeName="Sheet12"/>
  <dimension ref="A1:AV42"/>
  <sheetViews>
    <sheetView view="pageBreakPreview" zoomScale="60" zoomScaleNormal="100" workbookViewId="0">
      <selection sqref="A1:N1"/>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1093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5.44140625" customWidth="1"/>
    <col min="30" max="30" width="14.88671875" customWidth="1"/>
    <col min="31" max="31" width="12.88671875" bestFit="1" customWidth="1"/>
    <col min="32" max="32" width="13.6640625" bestFit="1" customWidth="1"/>
    <col min="33" max="33" width="13.109375" bestFit="1" customWidth="1"/>
    <col min="34" max="34" width="3.88671875" customWidth="1"/>
    <col min="35" max="35" width="13.88671875" customWidth="1"/>
    <col min="36" max="36" width="11" bestFit="1" customWidth="1"/>
    <col min="37" max="37" width="15.6640625" bestFit="1" customWidth="1"/>
    <col min="38" max="38" width="17.33203125" bestFit="1" customWidth="1"/>
    <col min="39" max="39" width="15.33203125" bestFit="1" customWidth="1"/>
  </cols>
  <sheetData>
    <row r="1" spans="1:48" ht="15.75">
      <c r="A1" s="1105" t="s">
        <v>747</v>
      </c>
      <c r="B1" s="1105"/>
      <c r="C1" s="1105"/>
      <c r="D1" s="1105"/>
      <c r="E1" s="1105"/>
      <c r="F1" s="1105"/>
      <c r="G1" s="1105"/>
      <c r="H1" s="1105"/>
      <c r="I1" s="1105"/>
      <c r="J1" s="1105"/>
      <c r="K1" s="1105"/>
      <c r="L1" s="1105"/>
      <c r="M1" s="1105"/>
      <c r="N1" s="1105"/>
      <c r="O1" s="18"/>
      <c r="R1" s="3"/>
      <c r="S1" s="3" t="str">
        <f>'Attachment H-11A '!K1&amp;""&amp;", Attachment 2b"</f>
        <v>Attachment H -11A, Attachment 2b</v>
      </c>
      <c r="T1" s="1105" t="str">
        <f>A1</f>
        <v>Incentive ROE NITS Worksheet Support</v>
      </c>
      <c r="U1" s="1105"/>
      <c r="V1" s="1105"/>
      <c r="W1" s="1105"/>
      <c r="X1" s="1105"/>
      <c r="Y1" s="1105"/>
      <c r="Z1" s="1105"/>
      <c r="AA1" s="1105"/>
      <c r="AB1" s="1105"/>
      <c r="AC1" s="1105"/>
      <c r="AD1" s="1105"/>
      <c r="AE1" s="1105"/>
      <c r="AF1" s="18"/>
      <c r="AK1" s="18"/>
      <c r="AL1" s="18"/>
      <c r="AM1" s="3" t="str">
        <f>S1</f>
        <v>Attachment H -11A, Attachment 2b</v>
      </c>
    </row>
    <row r="2" spans="1:48" ht="15.75">
      <c r="A2" s="1106" t="s">
        <v>347</v>
      </c>
      <c r="B2" s="1106"/>
      <c r="C2" s="1106"/>
      <c r="D2" s="1106"/>
      <c r="E2" s="1106"/>
      <c r="F2" s="1106"/>
      <c r="G2" s="1106"/>
      <c r="H2" s="1106"/>
      <c r="I2" s="1106"/>
      <c r="J2" s="1106"/>
      <c r="K2" s="1106"/>
      <c r="L2" s="1106"/>
      <c r="M2" s="1106"/>
      <c r="N2" s="1106"/>
      <c r="O2" s="237"/>
      <c r="R2" s="3"/>
      <c r="S2" s="3" t="s">
        <v>171</v>
      </c>
      <c r="T2" s="1106" t="s">
        <v>347</v>
      </c>
      <c r="U2" s="1106"/>
      <c r="V2" s="1106"/>
      <c r="W2" s="1106"/>
      <c r="X2" s="1106"/>
      <c r="Y2" s="1106"/>
      <c r="Z2" s="1106"/>
      <c r="AA2" s="1106"/>
      <c r="AB2" s="1106"/>
      <c r="AC2" s="1106"/>
      <c r="AD2" s="1106"/>
      <c r="AE2" s="1106"/>
      <c r="AF2" s="237"/>
      <c r="AK2" s="237"/>
      <c r="AL2" s="237"/>
      <c r="AM2" s="3" t="s">
        <v>174</v>
      </c>
    </row>
    <row r="3" spans="1:48" ht="15.75">
      <c r="A3" s="237"/>
      <c r="B3" s="238"/>
      <c r="C3" s="238"/>
      <c r="D3" s="238"/>
      <c r="E3" s="238"/>
      <c r="F3" s="238"/>
      <c r="G3" s="238"/>
      <c r="H3" s="238"/>
      <c r="I3" s="238"/>
      <c r="J3" s="238"/>
      <c r="K3" s="238"/>
      <c r="L3" s="238"/>
      <c r="M3" s="3"/>
      <c r="R3" s="3"/>
      <c r="S3" s="3" t="str">
        <f>'Attachment H-11A '!K4</f>
        <v>For the 12 months ended 12/31/2023</v>
      </c>
      <c r="AM3" s="3" t="str">
        <f>'Attachment H-11A '!K4</f>
        <v>For the 12 months ended 12/31/2023</v>
      </c>
    </row>
    <row r="4" spans="1:48" ht="15.75">
      <c r="A4" s="237"/>
      <c r="B4" s="238"/>
      <c r="C4" s="238"/>
      <c r="D4" s="238"/>
      <c r="E4" s="238"/>
      <c r="F4" s="238"/>
      <c r="G4" s="238"/>
      <c r="H4" s="238"/>
      <c r="I4" s="238"/>
      <c r="J4" s="238"/>
      <c r="K4" s="238"/>
      <c r="L4" s="238"/>
      <c r="M4" s="3"/>
    </row>
    <row r="5" spans="1:48" ht="15.75">
      <c r="A5" s="237"/>
      <c r="B5" s="238"/>
      <c r="C5" s="238"/>
      <c r="D5" s="238"/>
      <c r="E5" s="238"/>
      <c r="F5" s="238"/>
      <c r="G5" s="238"/>
      <c r="H5" s="238"/>
      <c r="I5" s="238"/>
      <c r="J5" s="238"/>
      <c r="K5" s="238"/>
      <c r="L5" s="238"/>
      <c r="M5" s="3"/>
    </row>
    <row r="6" spans="1:48" ht="15.75">
      <c r="A6" s="237"/>
      <c r="B6" s="238"/>
      <c r="C6" s="238"/>
      <c r="D6" s="238"/>
      <c r="E6" s="238"/>
      <c r="F6" s="238"/>
      <c r="G6" s="238"/>
      <c r="H6" s="238"/>
      <c r="I6" s="238"/>
      <c r="J6" s="238"/>
      <c r="K6" s="238"/>
      <c r="L6" s="238"/>
      <c r="M6" s="3"/>
      <c r="AI6" s="856" t="s">
        <v>688</v>
      </c>
      <c r="AJ6" s="856" t="s">
        <v>812</v>
      </c>
      <c r="AK6" s="856" t="s">
        <v>813</v>
      </c>
      <c r="AL6" s="856" t="s">
        <v>814</v>
      </c>
      <c r="AM6" s="856" t="s">
        <v>808</v>
      </c>
    </row>
    <row r="7" spans="1:48" ht="15.75">
      <c r="A7" s="237"/>
      <c r="B7" s="238"/>
      <c r="C7" s="238"/>
      <c r="D7" s="238"/>
      <c r="E7" s="238"/>
      <c r="F7" s="238"/>
      <c r="G7" s="238"/>
      <c r="H7" s="238"/>
      <c r="I7" s="238"/>
      <c r="J7" s="238"/>
      <c r="K7" s="238"/>
      <c r="L7" s="238"/>
      <c r="M7" s="3"/>
    </row>
    <row r="8" spans="1:48" ht="50.25" customHeight="1">
      <c r="A8" s="19" t="s">
        <v>159</v>
      </c>
      <c r="B8" s="20"/>
      <c r="C8" s="30" t="s">
        <v>160</v>
      </c>
      <c r="D8" s="21" t="s">
        <v>175</v>
      </c>
      <c r="E8" s="22" t="s">
        <v>255</v>
      </c>
      <c r="F8" s="494">
        <v>44915</v>
      </c>
      <c r="G8" s="239">
        <f>F8+31</f>
        <v>44946</v>
      </c>
      <c r="H8" s="239">
        <f>G8+31</f>
        <v>44977</v>
      </c>
      <c r="I8" s="239">
        <f>H8+31</f>
        <v>45008</v>
      </c>
      <c r="J8" s="239">
        <f>I8+31</f>
        <v>45039</v>
      </c>
      <c r="K8" s="239">
        <f t="shared" ref="K8:R8" si="0">J8+31</f>
        <v>45070</v>
      </c>
      <c r="L8" s="239">
        <f t="shared" si="0"/>
        <v>45101</v>
      </c>
      <c r="M8" s="239">
        <f t="shared" si="0"/>
        <v>45132</v>
      </c>
      <c r="N8" s="239">
        <f t="shared" si="0"/>
        <v>45163</v>
      </c>
      <c r="O8" s="239">
        <f t="shared" si="0"/>
        <v>45194</v>
      </c>
      <c r="P8" s="239">
        <f t="shared" si="0"/>
        <v>45225</v>
      </c>
      <c r="Q8" s="239">
        <f t="shared" si="0"/>
        <v>45256</v>
      </c>
      <c r="R8" s="239">
        <f t="shared" si="0"/>
        <v>45287</v>
      </c>
      <c r="S8" s="239"/>
      <c r="T8" s="22" t="s">
        <v>345</v>
      </c>
      <c r="U8" s="239">
        <f>F8</f>
        <v>44915</v>
      </c>
      <c r="V8" s="239">
        <f t="shared" ref="V8:AG8" si="1">G8</f>
        <v>44946</v>
      </c>
      <c r="W8" s="239">
        <f t="shared" si="1"/>
        <v>44977</v>
      </c>
      <c r="X8" s="239">
        <f t="shared" si="1"/>
        <v>45008</v>
      </c>
      <c r="Y8" s="239">
        <f t="shared" si="1"/>
        <v>45039</v>
      </c>
      <c r="Z8" s="239">
        <f t="shared" si="1"/>
        <v>45070</v>
      </c>
      <c r="AA8" s="239">
        <f t="shared" si="1"/>
        <v>45101</v>
      </c>
      <c r="AB8" s="239">
        <f t="shared" si="1"/>
        <v>45132</v>
      </c>
      <c r="AC8" s="239">
        <f t="shared" si="1"/>
        <v>45163</v>
      </c>
      <c r="AD8" s="239">
        <f t="shared" si="1"/>
        <v>45194</v>
      </c>
      <c r="AE8" s="239">
        <f t="shared" si="1"/>
        <v>45225</v>
      </c>
      <c r="AF8" s="239">
        <f t="shared" si="1"/>
        <v>45256</v>
      </c>
      <c r="AG8" s="239">
        <f t="shared" si="1"/>
        <v>45287</v>
      </c>
      <c r="AH8" s="240"/>
      <c r="AI8" s="22" t="s">
        <v>346</v>
      </c>
      <c r="AJ8" s="239" t="s">
        <v>754</v>
      </c>
      <c r="AK8" s="243" t="s">
        <v>697</v>
      </c>
      <c r="AL8" s="243" t="s">
        <v>749</v>
      </c>
      <c r="AM8" s="243" t="s">
        <v>756</v>
      </c>
      <c r="AN8" s="242"/>
      <c r="AO8" s="242"/>
      <c r="AP8" s="242"/>
      <c r="AQ8" s="242"/>
      <c r="AR8" s="242"/>
      <c r="AS8" s="242"/>
      <c r="AT8" s="242"/>
      <c r="AU8" s="242"/>
      <c r="AV8" s="242"/>
    </row>
    <row r="9" spans="1:48" ht="15.75">
      <c r="A9" s="23"/>
      <c r="B9" s="24"/>
      <c r="C9" s="25" t="s">
        <v>13</v>
      </c>
      <c r="D9" s="24"/>
      <c r="E9" s="25" t="s">
        <v>14</v>
      </c>
      <c r="F9" s="25" t="s">
        <v>15</v>
      </c>
      <c r="G9" s="25" t="s">
        <v>15</v>
      </c>
      <c r="H9" s="25" t="s">
        <v>15</v>
      </c>
      <c r="I9" s="25" t="s">
        <v>15</v>
      </c>
      <c r="J9" s="25" t="s">
        <v>15</v>
      </c>
      <c r="K9" s="25" t="s">
        <v>15</v>
      </c>
      <c r="L9" s="25" t="s">
        <v>15</v>
      </c>
      <c r="M9" s="25" t="s">
        <v>15</v>
      </c>
      <c r="N9" s="25" t="s">
        <v>15</v>
      </c>
      <c r="O9" s="25" t="s">
        <v>15</v>
      </c>
      <c r="P9" s="25" t="s">
        <v>15</v>
      </c>
      <c r="Q9" s="25" t="s">
        <v>15</v>
      </c>
      <c r="R9" s="25" t="s">
        <v>15</v>
      </c>
      <c r="S9" s="25"/>
      <c r="T9" s="25" t="s">
        <v>921</v>
      </c>
      <c r="U9" s="25" t="s">
        <v>15</v>
      </c>
      <c r="V9" s="25" t="s">
        <v>15</v>
      </c>
      <c r="W9" s="25" t="s">
        <v>15</v>
      </c>
      <c r="X9" s="25" t="s">
        <v>15</v>
      </c>
      <c r="Y9" s="25" t="s">
        <v>15</v>
      </c>
      <c r="Z9" s="25" t="s">
        <v>15</v>
      </c>
      <c r="AA9" s="25" t="s">
        <v>15</v>
      </c>
      <c r="AB9" s="25" t="s">
        <v>15</v>
      </c>
      <c r="AC9" s="25" t="s">
        <v>15</v>
      </c>
      <c r="AD9" s="25" t="s">
        <v>15</v>
      </c>
      <c r="AE9" s="25" t="s">
        <v>15</v>
      </c>
      <c r="AF9" s="25" t="s">
        <v>15</v>
      </c>
      <c r="AG9" s="25" t="s">
        <v>15</v>
      </c>
      <c r="AH9" s="241"/>
      <c r="AI9" s="25" t="s">
        <v>921</v>
      </c>
      <c r="AJ9" s="885" t="s">
        <v>16</v>
      </c>
      <c r="AK9" s="886" t="s">
        <v>131</v>
      </c>
      <c r="AL9" s="886" t="s">
        <v>539</v>
      </c>
      <c r="AM9" s="886" t="s">
        <v>309</v>
      </c>
    </row>
    <row r="10" spans="1:48" ht="15.75">
      <c r="A10" s="26"/>
      <c r="B10" s="2"/>
      <c r="C10" s="2"/>
      <c r="D10" s="2"/>
      <c r="E10" s="2"/>
      <c r="F10" s="2"/>
      <c r="G10" s="2"/>
      <c r="H10" s="2"/>
      <c r="I10" s="2"/>
      <c r="J10" s="2"/>
      <c r="K10" s="2"/>
      <c r="L10" s="2"/>
      <c r="M10" s="2"/>
      <c r="N10" s="2"/>
      <c r="O10" s="2"/>
      <c r="P10" s="2"/>
      <c r="Q10" s="2"/>
      <c r="R10" s="2"/>
      <c r="S10" s="2"/>
      <c r="AH10" s="244"/>
      <c r="AM10" s="245"/>
    </row>
    <row r="11" spans="1:48" ht="15.75">
      <c r="A11" s="275"/>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244"/>
      <c r="AM11" s="245"/>
    </row>
    <row r="12" spans="1:48" ht="15.75">
      <c r="A12" s="795" t="s">
        <v>464</v>
      </c>
      <c r="B12" s="693"/>
      <c r="C12" s="796"/>
      <c r="D12" s="797"/>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244"/>
      <c r="AI12" s="793">
        <f t="shared" ref="AI12:AI17" si="2">E12-T12</f>
        <v>0</v>
      </c>
      <c r="AJ12" s="400"/>
      <c r="AK12" s="793">
        <f>AI12*'Attachment H-11A '!$I$227</f>
        <v>0</v>
      </c>
      <c r="AL12" s="713">
        <f>AI12*(('Attachment H-11A '!$I$234)*AJ12/100+'Attachment H-11A '!$I$227)</f>
        <v>0</v>
      </c>
      <c r="AM12" s="245">
        <f>AL12-AK12</f>
        <v>0</v>
      </c>
    </row>
    <row r="13" spans="1:48" ht="15.75">
      <c r="A13" s="795" t="s">
        <v>465</v>
      </c>
      <c r="B13" s="693"/>
      <c r="C13" s="796"/>
      <c r="D13" s="797"/>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244"/>
      <c r="AI13" s="793">
        <f t="shared" si="2"/>
        <v>0</v>
      </c>
      <c r="AJ13" s="400"/>
      <c r="AK13" s="713">
        <f>AI13*'Attachment H-11A '!$I$227</f>
        <v>0</v>
      </c>
      <c r="AL13" s="713">
        <f>AI13*(('Attachment H-11A '!$I$234)*AJ13/100+'Attachment H-11A '!$I$227)</f>
        <v>0</v>
      </c>
      <c r="AM13" s="245">
        <f t="shared" ref="AM13:AM17" si="5">AL13-AK13</f>
        <v>0</v>
      </c>
    </row>
    <row r="14" spans="1:48" ht="15.75">
      <c r="A14" s="795" t="s">
        <v>466</v>
      </c>
      <c r="B14" s="693"/>
      <c r="C14" s="796"/>
      <c r="D14" s="797"/>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244"/>
      <c r="AI14" s="793">
        <f t="shared" si="2"/>
        <v>0</v>
      </c>
      <c r="AJ14" s="400"/>
      <c r="AK14" s="713">
        <f>AI14*'Attachment H-11A '!$I$227</f>
        <v>0</v>
      </c>
      <c r="AL14" s="713">
        <f>AI14*(('Attachment H-11A '!$I$234)*AJ14/100+'Attachment H-11A '!$I$227)</f>
        <v>0</v>
      </c>
      <c r="AM14" s="245">
        <f t="shared" si="5"/>
        <v>0</v>
      </c>
    </row>
    <row r="15" spans="1:48" ht="15.75">
      <c r="A15" s="795" t="s">
        <v>509</v>
      </c>
      <c r="B15" s="693"/>
      <c r="C15" s="796"/>
      <c r="D15" s="797"/>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244"/>
      <c r="AI15" s="793">
        <f t="shared" si="2"/>
        <v>0</v>
      </c>
      <c r="AJ15" s="400"/>
      <c r="AK15" s="713">
        <f>AI15*'Attachment H-11A '!$I$227</f>
        <v>0</v>
      </c>
      <c r="AL15" s="713">
        <f>AI15*(('Attachment H-11A '!$I$234)*AJ15/100+'Attachment H-11A '!$I$227)</f>
        <v>0</v>
      </c>
      <c r="AM15" s="245">
        <f t="shared" si="5"/>
        <v>0</v>
      </c>
    </row>
    <row r="16" spans="1:48" ht="15.75">
      <c r="A16" s="795" t="s">
        <v>769</v>
      </c>
      <c r="B16" s="693"/>
      <c r="C16" s="796"/>
      <c r="D16" s="797"/>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244"/>
      <c r="AI16" s="793">
        <f t="shared" si="2"/>
        <v>0</v>
      </c>
      <c r="AJ16" s="400"/>
      <c r="AK16" s="713">
        <f>AI16*'Attachment H-11A '!$I$227</f>
        <v>0</v>
      </c>
      <c r="AL16" s="713">
        <f>AI16*(('Attachment H-11A '!$I$234)*AJ16/100+'Attachment H-11A '!$I$227)</f>
        <v>0</v>
      </c>
      <c r="AM16" s="245">
        <f t="shared" si="5"/>
        <v>0</v>
      </c>
    </row>
    <row r="17" spans="1:39" ht="15.75">
      <c r="A17" s="795" t="s">
        <v>770</v>
      </c>
      <c r="B17" s="693"/>
      <c r="C17" s="796"/>
      <c r="D17" s="797"/>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244"/>
      <c r="AI17" s="793">
        <f t="shared" si="2"/>
        <v>0</v>
      </c>
      <c r="AJ17" s="400"/>
      <c r="AK17" s="713">
        <f>AI17*'Attachment H-11A '!$I$227</f>
        <v>0</v>
      </c>
      <c r="AL17" s="713">
        <f>AI17*(('Attachment H-11A '!$I$234)*AJ17/100+'Attachment H-11A '!$I$227)</f>
        <v>0</v>
      </c>
      <c r="AM17" s="245">
        <f t="shared" si="5"/>
        <v>0</v>
      </c>
    </row>
    <row r="18" spans="1:39">
      <c r="A18" s="246"/>
      <c r="AM18" s="245"/>
    </row>
    <row r="19" spans="1:39">
      <c r="A19" s="246"/>
      <c r="AM19" s="245"/>
    </row>
    <row r="20" spans="1:39" ht="15.6" customHeight="1">
      <c r="A20" s="246"/>
      <c r="U20" s="507"/>
      <c r="X20" s="687"/>
      <c r="Y20" s="687"/>
      <c r="Z20" s="687"/>
      <c r="AA20" s="687"/>
      <c r="AB20" s="687"/>
      <c r="AM20" s="245"/>
    </row>
    <row r="21" spans="1:39" ht="15.75">
      <c r="A21" s="246"/>
      <c r="X21" s="687"/>
      <c r="Y21" s="687"/>
      <c r="Z21" s="687"/>
      <c r="AA21" s="687"/>
      <c r="AB21" s="687"/>
      <c r="AM21" s="245"/>
    </row>
    <row r="22" spans="1:39" ht="15.75">
      <c r="A22" s="246"/>
      <c r="X22" s="687"/>
      <c r="Y22" s="687"/>
      <c r="Z22" s="687"/>
      <c r="AA22" s="687"/>
      <c r="AB22" s="687"/>
      <c r="AM22" s="245"/>
    </row>
    <row r="23" spans="1:39" ht="15.75">
      <c r="A23" s="246"/>
      <c r="X23" s="687"/>
      <c r="Y23" s="687"/>
      <c r="Z23" s="687"/>
      <c r="AA23" s="687"/>
      <c r="AB23" s="687"/>
      <c r="AM23" s="245"/>
    </row>
    <row r="24" spans="1:39">
      <c r="A24" s="246"/>
      <c r="AM24" s="245"/>
    </row>
    <row r="25" spans="1:39">
      <c r="A25" s="246"/>
      <c r="AM25" s="245"/>
    </row>
    <row r="26" spans="1:39">
      <c r="A26" s="246"/>
      <c r="AM26" s="245"/>
    </row>
    <row r="27" spans="1:39">
      <c r="A27" s="246"/>
      <c r="AM27" s="245"/>
    </row>
    <row r="28" spans="1:39">
      <c r="A28" s="246"/>
      <c r="AM28" s="245"/>
    </row>
    <row r="29" spans="1:39">
      <c r="A29" s="246"/>
      <c r="AM29" s="245"/>
    </row>
    <row r="30" spans="1:39">
      <c r="A30" s="247"/>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row>
    <row r="31" spans="1:39">
      <c r="A31" s="860" t="s">
        <v>467</v>
      </c>
      <c r="C31" t="s">
        <v>236</v>
      </c>
      <c r="AM31">
        <f>SUM(AM12:AM26)</f>
        <v>0</v>
      </c>
    </row>
    <row r="32" spans="1:39" ht="15.75">
      <c r="A32" s="1" t="s">
        <v>247</v>
      </c>
      <c r="B32" s="1"/>
      <c r="C32" s="1"/>
      <c r="S32" s="28"/>
      <c r="T32" s="1" t="s">
        <v>815</v>
      </c>
      <c r="U32" s="1"/>
    </row>
    <row r="33" spans="1:32" ht="15.75" customHeight="1">
      <c r="A33" s="29"/>
      <c r="B33" s="1" t="s">
        <v>205</v>
      </c>
      <c r="C33" s="1" t="s">
        <v>878</v>
      </c>
      <c r="D33" s="1"/>
      <c r="E33" s="1"/>
      <c r="F33" s="1"/>
      <c r="G33" s="1"/>
      <c r="H33" s="1"/>
      <c r="I33" s="1"/>
      <c r="J33" s="1"/>
      <c r="K33" s="1"/>
      <c r="M33" s="1" t="s">
        <v>829</v>
      </c>
      <c r="S33" s="29"/>
      <c r="T33" s="16" t="s">
        <v>257</v>
      </c>
      <c r="U33" s="1" t="s">
        <v>822</v>
      </c>
      <c r="V33" s="1"/>
      <c r="W33" s="1"/>
      <c r="X33" s="1"/>
      <c r="Y33" s="1"/>
      <c r="Z33" s="1"/>
      <c r="AA33" s="1"/>
      <c r="AB33" s="1"/>
      <c r="AC33" s="1"/>
      <c r="AD33" s="898" t="s">
        <v>631</v>
      </c>
      <c r="AE33" t="s">
        <v>899</v>
      </c>
    </row>
    <row r="34" spans="1:32" ht="33.75" customHeight="1">
      <c r="B34" s="1" t="s">
        <v>218</v>
      </c>
      <c r="C34" s="1" t="s">
        <v>799</v>
      </c>
      <c r="D34" s="1"/>
      <c r="E34" s="1"/>
      <c r="F34" s="1"/>
      <c r="G34" s="1"/>
      <c r="H34" s="1"/>
      <c r="I34" s="1"/>
      <c r="J34" s="1"/>
      <c r="K34" s="1"/>
      <c r="T34" s="16" t="s">
        <v>267</v>
      </c>
      <c r="U34" s="1109" t="s">
        <v>918</v>
      </c>
      <c r="V34" s="1109"/>
      <c r="W34" s="1109"/>
      <c r="X34" s="1109"/>
      <c r="Y34" s="1109"/>
      <c r="Z34" s="1109"/>
      <c r="AA34" s="1109"/>
      <c r="AB34" s="1109"/>
      <c r="AC34" s="1109"/>
      <c r="AD34" s="898" t="s">
        <v>512</v>
      </c>
      <c r="AE34" t="s">
        <v>1145</v>
      </c>
    </row>
    <row r="35" spans="1:32" ht="15.75">
      <c r="T35" s="16" t="s">
        <v>268</v>
      </c>
      <c r="U35" t="s">
        <v>922</v>
      </c>
      <c r="AB35" s="1"/>
      <c r="AC35" s="1"/>
      <c r="AD35" s="898" t="s">
        <v>686</v>
      </c>
      <c r="AE35" t="s">
        <v>923</v>
      </c>
    </row>
    <row r="40" spans="1:32" ht="15.75">
      <c r="T40" s="16"/>
      <c r="U40" s="1"/>
      <c r="V40" s="1"/>
      <c r="W40" s="1"/>
      <c r="X40" s="1"/>
      <c r="Y40" s="1"/>
      <c r="Z40" s="1"/>
      <c r="AA40" s="1"/>
      <c r="AD40" s="1107"/>
      <c r="AE40" s="1108"/>
      <c r="AF40" s="1"/>
    </row>
    <row r="41" spans="1:32" ht="15.75">
      <c r="AD41" s="1"/>
      <c r="AE41" s="1"/>
      <c r="AF41" s="1"/>
    </row>
    <row r="42" spans="1:32" ht="15.75">
      <c r="AD42" s="1"/>
      <c r="AE42" s="1"/>
      <c r="AF42" s="1"/>
    </row>
  </sheetData>
  <mergeCells count="6">
    <mergeCell ref="A1:N1"/>
    <mergeCell ref="T1:AE1"/>
    <mergeCell ref="A2:N2"/>
    <mergeCell ref="T2:AE2"/>
    <mergeCell ref="AD40:AE40"/>
    <mergeCell ref="U34:AC34"/>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70"/>
  <sheetViews>
    <sheetView view="pageBreakPreview" zoomScale="60" zoomScaleNormal="90" workbookViewId="0"/>
  </sheetViews>
  <sheetFormatPr defaultColWidth="8.88671875" defaultRowHeight="20.100000000000001" customHeight="1"/>
  <cols>
    <col min="1" max="1" width="6.109375" style="39" bestFit="1" customWidth="1"/>
    <col min="2" max="2" width="15.109375" style="33" customWidth="1"/>
    <col min="3" max="3" width="8.88671875" style="33"/>
    <col min="4" max="4" width="2.88671875" style="33" customWidth="1"/>
    <col min="5" max="5" width="14.88671875" style="39" bestFit="1" customWidth="1"/>
    <col min="6" max="6" width="23.109375" style="39" customWidth="1"/>
    <col min="7" max="7" width="19.109375" style="39" customWidth="1"/>
    <col min="8" max="8" width="17.109375" style="39" customWidth="1"/>
    <col min="9" max="9" width="12.88671875" style="39" customWidth="1"/>
    <col min="10" max="11" width="15" style="39" bestFit="1" customWidth="1"/>
    <col min="12" max="12" width="3.5546875" style="39" customWidth="1"/>
    <col min="13" max="13" width="18.21875" style="33" customWidth="1"/>
    <col min="14" max="14" width="23" style="33" customWidth="1"/>
    <col min="15" max="15" width="15" style="33" bestFit="1" customWidth="1"/>
    <col min="16" max="16" width="15.5546875" style="33" bestFit="1" customWidth="1"/>
    <col min="17" max="16384" width="8.88671875" style="33"/>
  </cols>
  <sheetData>
    <row r="1" spans="1:13" ht="20.100000000000001" customHeight="1">
      <c r="E1" s="33"/>
      <c r="F1" s="33"/>
      <c r="G1" s="33"/>
      <c r="M1" s="3" t="str">
        <f>'Attachment H-11A '!K1&amp;""&amp;", Attachment 3"</f>
        <v>Attachment H -11A, Attachment 3</v>
      </c>
    </row>
    <row r="2" spans="1:13" ht="20.100000000000001" customHeight="1">
      <c r="M2" s="3" t="s">
        <v>168</v>
      </c>
    </row>
    <row r="3" spans="1:13" ht="20.100000000000001" customHeight="1">
      <c r="H3" s="41" t="s">
        <v>496</v>
      </c>
      <c r="M3" s="3" t="str">
        <f>'Attachment H-11A '!K4</f>
        <v>For the 12 months ended 12/31/2023</v>
      </c>
    </row>
    <row r="4" spans="1:13" ht="20.100000000000001" customHeight="1">
      <c r="A4" s="42"/>
    </row>
    <row r="5" spans="1:13" ht="20.100000000000001" customHeight="1">
      <c r="E5" s="377" t="s">
        <v>457</v>
      </c>
      <c r="F5" s="377" t="s">
        <v>458</v>
      </c>
      <c r="G5" s="377" t="s">
        <v>459</v>
      </c>
      <c r="H5" s="377" t="s">
        <v>460</v>
      </c>
      <c r="I5" s="377" t="s">
        <v>461</v>
      </c>
      <c r="J5" s="377" t="s">
        <v>462</v>
      </c>
      <c r="K5" s="377" t="s">
        <v>463</v>
      </c>
      <c r="L5" s="378"/>
      <c r="M5" s="39" t="s">
        <v>765</v>
      </c>
    </row>
    <row r="6" spans="1:13" ht="20.100000000000001" customHeight="1">
      <c r="E6" s="41" t="s">
        <v>196</v>
      </c>
      <c r="F6" s="41" t="s">
        <v>755</v>
      </c>
      <c r="G6" s="41" t="s">
        <v>794</v>
      </c>
      <c r="H6" s="41" t="s">
        <v>795</v>
      </c>
      <c r="I6" s="41" t="s">
        <v>199</v>
      </c>
      <c r="J6" s="41" t="s">
        <v>198</v>
      </c>
      <c r="K6" s="41" t="s">
        <v>200</v>
      </c>
      <c r="L6" s="33"/>
      <c r="M6" s="41" t="s">
        <v>9</v>
      </c>
    </row>
    <row r="7" spans="1:13" ht="20.100000000000001" customHeight="1">
      <c r="D7" s="37"/>
      <c r="E7" s="40"/>
      <c r="F7" s="40"/>
      <c r="G7" s="40"/>
      <c r="H7" s="40"/>
      <c r="I7" s="40"/>
      <c r="J7" s="40"/>
      <c r="K7" s="43"/>
      <c r="L7" s="33"/>
    </row>
    <row r="8" spans="1:13" ht="20.100000000000001" customHeight="1">
      <c r="A8" s="43">
        <v>1</v>
      </c>
      <c r="B8" s="33" t="s">
        <v>180</v>
      </c>
      <c r="C8" s="36">
        <v>2022</v>
      </c>
      <c r="E8" s="93">
        <f>E27-E48</f>
        <v>3044092131.4400005</v>
      </c>
      <c r="F8" s="86">
        <v>14413965.260000002</v>
      </c>
      <c r="G8" s="93">
        <f>F27-F48-F8</f>
        <v>634280732.330742</v>
      </c>
      <c r="H8" s="93">
        <f>G27-G48+F8</f>
        <v>2224224008.3917603</v>
      </c>
      <c r="I8" s="93">
        <f t="shared" ref="I8:K20" si="0">H27-H48</f>
        <v>54927042.080000006</v>
      </c>
      <c r="J8" s="93">
        <f>I27-I48</f>
        <v>126250012.16000001</v>
      </c>
      <c r="K8" s="93">
        <f t="shared" si="0"/>
        <v>0</v>
      </c>
      <c r="L8" s="403"/>
      <c r="M8" s="403">
        <f>SUM(E8,G8,H8,I8,J8,K8)</f>
        <v>6083773926.4025021</v>
      </c>
    </row>
    <row r="9" spans="1:13" ht="20.100000000000001" customHeight="1">
      <c r="A9" s="43">
        <v>2</v>
      </c>
      <c r="B9" s="33" t="s">
        <v>181</v>
      </c>
      <c r="C9" s="35">
        <f>C8+1</f>
        <v>2023</v>
      </c>
      <c r="E9" s="93">
        <f t="shared" ref="E9" si="1">E28-E49</f>
        <v>3024263918.2300005</v>
      </c>
      <c r="F9" s="86">
        <v>14521061.320000002</v>
      </c>
      <c r="G9" s="93">
        <f>F28-F49-F9</f>
        <v>635570413.22074199</v>
      </c>
      <c r="H9" s="93">
        <f>G28-G49+F9</f>
        <v>2230998642.9917603</v>
      </c>
      <c r="I9" s="93">
        <f t="shared" si="0"/>
        <v>54969044.240000002</v>
      </c>
      <c r="J9" s="93">
        <f t="shared" si="0"/>
        <v>126935183.22000001</v>
      </c>
      <c r="K9" s="93">
        <f t="shared" si="0"/>
        <v>0</v>
      </c>
      <c r="L9" s="403"/>
      <c r="M9" s="403">
        <f t="shared" ref="M9:M20" si="2">SUM(E9,G9,H9,I9,J9,K9)</f>
        <v>6072737201.902503</v>
      </c>
    </row>
    <row r="10" spans="1:13" ht="20.100000000000001" customHeight="1">
      <c r="A10" s="43">
        <v>3</v>
      </c>
      <c r="B10" s="33" t="s">
        <v>182</v>
      </c>
      <c r="C10" s="35">
        <f>C9</f>
        <v>2023</v>
      </c>
      <c r="E10" s="93">
        <f t="shared" ref="E10" si="3">E29-E50</f>
        <v>3029797337.8500009</v>
      </c>
      <c r="F10" s="86">
        <v>14654187.490000002</v>
      </c>
      <c r="G10" s="93">
        <f t="shared" ref="G10:G20" si="4">F29-F50-F10</f>
        <v>634520734.55074203</v>
      </c>
      <c r="H10" s="93">
        <f t="shared" ref="H10:H20" si="5">G29-G50+F10</f>
        <v>2233311345.4917598</v>
      </c>
      <c r="I10" s="93">
        <f t="shared" si="0"/>
        <v>56515845.810000002</v>
      </c>
      <c r="J10" s="93">
        <f t="shared" si="0"/>
        <v>126825657.98000002</v>
      </c>
      <c r="K10" s="93">
        <f t="shared" si="0"/>
        <v>0</v>
      </c>
      <c r="L10" s="403"/>
      <c r="M10" s="403">
        <f t="shared" si="2"/>
        <v>6080970921.6825027</v>
      </c>
    </row>
    <row r="11" spans="1:13" ht="20.100000000000001" customHeight="1">
      <c r="A11" s="43">
        <v>4</v>
      </c>
      <c r="B11" s="33" t="s">
        <v>183</v>
      </c>
      <c r="C11" s="35">
        <f t="shared" ref="C11:C20" si="6">C10</f>
        <v>2023</v>
      </c>
      <c r="E11" s="93">
        <f t="shared" ref="E11" si="7">E30-E51</f>
        <v>3029248284.5500011</v>
      </c>
      <c r="F11" s="86">
        <v>14703716.010000002</v>
      </c>
      <c r="G11" s="93">
        <f t="shared" si="4"/>
        <v>637191225.39074206</v>
      </c>
      <c r="H11" s="93">
        <f t="shared" si="5"/>
        <v>2239520024.9717603</v>
      </c>
      <c r="I11" s="93">
        <f t="shared" si="0"/>
        <v>61830467.560000002</v>
      </c>
      <c r="J11" s="93">
        <f t="shared" si="0"/>
        <v>127612872.78000002</v>
      </c>
      <c r="K11" s="93">
        <f t="shared" si="0"/>
        <v>0</v>
      </c>
      <c r="L11" s="403"/>
      <c r="M11" s="403">
        <f t="shared" si="2"/>
        <v>6095402875.2525043</v>
      </c>
    </row>
    <row r="12" spans="1:13" ht="20.100000000000001" customHeight="1">
      <c r="A12" s="43">
        <v>5</v>
      </c>
      <c r="B12" s="33" t="s">
        <v>184</v>
      </c>
      <c r="C12" s="35">
        <f t="shared" si="6"/>
        <v>2023</v>
      </c>
      <c r="E12" s="93">
        <f t="shared" ref="E12" si="8">E31-E52</f>
        <v>3027670781.8900008</v>
      </c>
      <c r="F12" s="86">
        <v>14718942.330000002</v>
      </c>
      <c r="G12" s="93">
        <f t="shared" si="4"/>
        <v>641732465.09074199</v>
      </c>
      <c r="H12" s="93">
        <f t="shared" si="5"/>
        <v>2244844358.23176</v>
      </c>
      <c r="I12" s="93">
        <f t="shared" si="0"/>
        <v>62029869.590000004</v>
      </c>
      <c r="J12" s="93">
        <f t="shared" si="0"/>
        <v>127695483.28000002</v>
      </c>
      <c r="K12" s="93">
        <f t="shared" si="0"/>
        <v>0</v>
      </c>
      <c r="L12" s="403"/>
      <c r="M12" s="403">
        <f t="shared" si="2"/>
        <v>6103972958.0825033</v>
      </c>
    </row>
    <row r="13" spans="1:13" ht="20.100000000000001" customHeight="1">
      <c r="A13" s="43">
        <v>6</v>
      </c>
      <c r="B13" s="33" t="s">
        <v>185</v>
      </c>
      <c r="C13" s="35">
        <f t="shared" si="6"/>
        <v>2023</v>
      </c>
      <c r="E13" s="93">
        <f t="shared" ref="E13" si="9">E32-E53</f>
        <v>3028561157.1100011</v>
      </c>
      <c r="F13" s="86">
        <v>15118729.700000001</v>
      </c>
      <c r="G13" s="93">
        <f t="shared" si="4"/>
        <v>652717993.57074201</v>
      </c>
      <c r="H13" s="93">
        <f t="shared" si="5"/>
        <v>2256370463.6317601</v>
      </c>
      <c r="I13" s="93">
        <f t="shared" si="0"/>
        <v>62271531.150000006</v>
      </c>
      <c r="J13" s="93">
        <f t="shared" si="0"/>
        <v>128609674.44000001</v>
      </c>
      <c r="K13" s="93">
        <f t="shared" si="0"/>
        <v>0</v>
      </c>
      <c r="L13" s="403"/>
      <c r="M13" s="403">
        <f t="shared" si="2"/>
        <v>6128530819.902503</v>
      </c>
    </row>
    <row r="14" spans="1:13" ht="20.100000000000001" customHeight="1">
      <c r="A14" s="43">
        <v>7</v>
      </c>
      <c r="B14" s="33" t="s">
        <v>195</v>
      </c>
      <c r="C14" s="35">
        <f t="shared" si="6"/>
        <v>2023</v>
      </c>
      <c r="E14" s="93">
        <f t="shared" ref="E14" si="10">E33-E54</f>
        <v>3040030321.5100012</v>
      </c>
      <c r="F14" s="86">
        <v>15079882.23</v>
      </c>
      <c r="G14" s="93">
        <f t="shared" si="4"/>
        <v>651381230.66074204</v>
      </c>
      <c r="H14" s="93">
        <f t="shared" si="5"/>
        <v>2265267622.7117605</v>
      </c>
      <c r="I14" s="93">
        <f t="shared" si="0"/>
        <v>62926031.180000007</v>
      </c>
      <c r="J14" s="93">
        <f t="shared" si="0"/>
        <v>131702598.10000001</v>
      </c>
      <c r="K14" s="93">
        <f t="shared" si="0"/>
        <v>0</v>
      </c>
      <c r="L14" s="403"/>
      <c r="M14" s="403">
        <f t="shared" si="2"/>
        <v>6151307804.1625042</v>
      </c>
    </row>
    <row r="15" spans="1:13" ht="20.100000000000001" customHeight="1">
      <c r="A15" s="43">
        <v>8</v>
      </c>
      <c r="B15" s="33" t="s">
        <v>186</v>
      </c>
      <c r="C15" s="35">
        <f t="shared" si="6"/>
        <v>2023</v>
      </c>
      <c r="E15" s="93">
        <f t="shared" ref="E15" si="11">E34-E55</f>
        <v>3040096557.5400009</v>
      </c>
      <c r="F15" s="86">
        <v>14382913.5</v>
      </c>
      <c r="G15" s="93">
        <f t="shared" si="4"/>
        <v>650950991.99074209</v>
      </c>
      <c r="H15" s="93">
        <f t="shared" si="5"/>
        <v>2268321201.6417603</v>
      </c>
      <c r="I15" s="93">
        <f t="shared" si="0"/>
        <v>62632850.56000001</v>
      </c>
      <c r="J15" s="93">
        <f t="shared" si="0"/>
        <v>130307515.52000001</v>
      </c>
      <c r="K15" s="93">
        <f t="shared" si="0"/>
        <v>0</v>
      </c>
      <c r="L15" s="403"/>
      <c r="M15" s="403">
        <f t="shared" si="2"/>
        <v>6152309117.2525043</v>
      </c>
    </row>
    <row r="16" spans="1:13" ht="20.100000000000001" customHeight="1">
      <c r="A16" s="43">
        <v>9</v>
      </c>
      <c r="B16" s="33" t="s">
        <v>187</v>
      </c>
      <c r="C16" s="35">
        <f t="shared" si="6"/>
        <v>2023</v>
      </c>
      <c r="E16" s="93">
        <f t="shared" ref="E16" si="12">E35-E56</f>
        <v>3040571711.2600012</v>
      </c>
      <c r="F16" s="86">
        <v>15411314.870000001</v>
      </c>
      <c r="G16" s="93">
        <f t="shared" si="4"/>
        <v>648274308.30074203</v>
      </c>
      <c r="H16" s="93">
        <f t="shared" si="5"/>
        <v>2273084389.3917603</v>
      </c>
      <c r="I16" s="93">
        <f t="shared" si="0"/>
        <v>62817616.730000012</v>
      </c>
      <c r="J16" s="93">
        <f t="shared" si="0"/>
        <v>130672773.38000001</v>
      </c>
      <c r="K16" s="93">
        <f t="shared" si="0"/>
        <v>0</v>
      </c>
      <c r="L16" s="403"/>
      <c r="M16" s="403">
        <f t="shared" si="2"/>
        <v>6155420799.0625029</v>
      </c>
    </row>
    <row r="17" spans="1:13" ht="20.100000000000001" customHeight="1">
      <c r="A17" s="43">
        <v>10</v>
      </c>
      <c r="B17" s="33" t="s">
        <v>188</v>
      </c>
      <c r="C17" s="35">
        <f t="shared" si="6"/>
        <v>2023</v>
      </c>
      <c r="E17" s="93">
        <f t="shared" ref="E17" si="13">E36-E57</f>
        <v>3043804141.8800011</v>
      </c>
      <c r="F17" s="86">
        <v>15577752.24</v>
      </c>
      <c r="G17" s="93">
        <f t="shared" si="4"/>
        <v>652127961.99074197</v>
      </c>
      <c r="H17" s="93">
        <f t="shared" si="5"/>
        <v>2281717993.8717604</v>
      </c>
      <c r="I17" s="93">
        <f t="shared" si="0"/>
        <v>63664635.520000011</v>
      </c>
      <c r="J17" s="93">
        <f t="shared" si="0"/>
        <v>131039512.16000001</v>
      </c>
      <c r="K17" s="93">
        <f t="shared" si="0"/>
        <v>0</v>
      </c>
      <c r="L17" s="403"/>
      <c r="M17" s="403">
        <f t="shared" si="2"/>
        <v>6172354245.4225035</v>
      </c>
    </row>
    <row r="18" spans="1:13" ht="20.100000000000001" customHeight="1">
      <c r="A18" s="43">
        <v>11</v>
      </c>
      <c r="B18" s="33" t="s">
        <v>190</v>
      </c>
      <c r="C18" s="35">
        <f t="shared" si="6"/>
        <v>2023</v>
      </c>
      <c r="E18" s="93">
        <f t="shared" ref="E18" si="14">E37-E58</f>
        <v>3042940954.6000013</v>
      </c>
      <c r="F18" s="86">
        <v>15606707.790000001</v>
      </c>
      <c r="G18" s="93">
        <f t="shared" si="4"/>
        <v>657547822.57074201</v>
      </c>
      <c r="H18" s="93">
        <f t="shared" si="5"/>
        <v>2288998558.0417604</v>
      </c>
      <c r="I18" s="93">
        <f t="shared" si="0"/>
        <v>63691193.160000011</v>
      </c>
      <c r="J18" s="93">
        <f t="shared" si="0"/>
        <v>131653283.78000002</v>
      </c>
      <c r="K18" s="93">
        <f t="shared" si="0"/>
        <v>0</v>
      </c>
      <c r="L18" s="403"/>
      <c r="M18" s="403">
        <f t="shared" si="2"/>
        <v>6184831812.152503</v>
      </c>
    </row>
    <row r="19" spans="1:13" ht="20.100000000000001" customHeight="1">
      <c r="A19" s="43">
        <v>12</v>
      </c>
      <c r="B19" s="33" t="s">
        <v>189</v>
      </c>
      <c r="C19" s="35">
        <f t="shared" si="6"/>
        <v>2023</v>
      </c>
      <c r="E19" s="93">
        <f t="shared" ref="E19" si="15">E38-E59</f>
        <v>3046013663.5700011</v>
      </c>
      <c r="F19" s="86">
        <v>16616948.470000001</v>
      </c>
      <c r="G19" s="93">
        <f t="shared" si="4"/>
        <v>658910795.98074198</v>
      </c>
      <c r="H19" s="93">
        <f t="shared" si="5"/>
        <v>2297373719.0317602</v>
      </c>
      <c r="I19" s="93">
        <f t="shared" si="0"/>
        <v>63685348.110000014</v>
      </c>
      <c r="J19" s="93">
        <f t="shared" si="0"/>
        <v>133835533.12000002</v>
      </c>
      <c r="K19" s="93">
        <f t="shared" si="0"/>
        <v>0</v>
      </c>
      <c r="L19" s="403"/>
      <c r="M19" s="403">
        <f t="shared" si="2"/>
        <v>6199819059.8125029</v>
      </c>
    </row>
    <row r="20" spans="1:13" ht="20.100000000000001" customHeight="1">
      <c r="A20" s="43">
        <v>13</v>
      </c>
      <c r="B20" s="33" t="s">
        <v>180</v>
      </c>
      <c r="C20" s="35">
        <f t="shared" si="6"/>
        <v>2023</v>
      </c>
      <c r="E20" s="93">
        <f t="shared" ref="E20" si="16">E39-E60</f>
        <v>3053583366.8500013</v>
      </c>
      <c r="F20" s="86">
        <v>16435248.790000001</v>
      </c>
      <c r="G20" s="93">
        <f t="shared" si="4"/>
        <v>691333968.25074208</v>
      </c>
      <c r="H20" s="93">
        <f t="shared" si="5"/>
        <v>2306706855.1717606</v>
      </c>
      <c r="I20" s="93">
        <f t="shared" si="0"/>
        <v>56711847.99000001</v>
      </c>
      <c r="J20" s="93">
        <f t="shared" si="0"/>
        <v>138108552.37000003</v>
      </c>
      <c r="K20" s="93">
        <f t="shared" si="0"/>
        <v>0</v>
      </c>
      <c r="L20" s="403"/>
      <c r="M20" s="403">
        <f t="shared" si="2"/>
        <v>6246444590.6325035</v>
      </c>
    </row>
    <row r="21" spans="1:13" ht="20.100000000000001" customHeight="1">
      <c r="E21" s="93"/>
      <c r="F21" s="93"/>
      <c r="G21" s="93"/>
      <c r="H21" s="93"/>
      <c r="I21" s="93"/>
      <c r="J21" s="93"/>
      <c r="K21" s="93"/>
      <c r="L21" s="403"/>
      <c r="M21" s="403"/>
    </row>
    <row r="22" spans="1:13" s="44" customFormat="1" ht="20.100000000000001" customHeight="1">
      <c r="A22" s="184">
        <v>14</v>
      </c>
      <c r="B22" s="44" t="s">
        <v>204</v>
      </c>
      <c r="D22" s="49" t="s">
        <v>776</v>
      </c>
      <c r="E22" s="402">
        <f>SUM(E8:E20)/13</f>
        <v>3037744179.0984626</v>
      </c>
      <c r="F22" s="402">
        <f>SUM(F8:F20)/13</f>
        <v>15172413.076923076</v>
      </c>
      <c r="G22" s="402">
        <f>SUM(G8:G20)/13</f>
        <v>649733895.68458819</v>
      </c>
      <c r="H22" s="402">
        <f t="shared" ref="H22:K22" si="17">SUM(H8:H20)/13</f>
        <v>2262364552.58253</v>
      </c>
      <c r="I22" s="402">
        <f>SUM(I8:I20)/13</f>
        <v>60667178.744615383</v>
      </c>
      <c r="J22" s="402">
        <f t="shared" si="17"/>
        <v>130096050.17615388</v>
      </c>
      <c r="K22" s="402">
        <f t="shared" si="17"/>
        <v>0</v>
      </c>
      <c r="L22" s="402"/>
      <c r="M22" s="402">
        <f>SUM(M8:M20)/13</f>
        <v>6140605856.2863503</v>
      </c>
    </row>
    <row r="24" spans="1:13" ht="20.100000000000001" customHeight="1">
      <c r="E24" s="41" t="s">
        <v>196</v>
      </c>
      <c r="F24" s="41" t="s">
        <v>24</v>
      </c>
      <c r="G24" s="41" t="s">
        <v>197</v>
      </c>
      <c r="H24" s="41" t="s">
        <v>199</v>
      </c>
      <c r="I24" s="41" t="s">
        <v>198</v>
      </c>
      <c r="J24" s="41" t="s">
        <v>200</v>
      </c>
      <c r="K24" s="33"/>
      <c r="M24" s="41" t="s">
        <v>9</v>
      </c>
    </row>
    <row r="25" spans="1:13" ht="20.100000000000001" customHeight="1">
      <c r="E25" s="41"/>
      <c r="F25" s="42"/>
      <c r="G25" s="1081"/>
      <c r="H25" s="1081"/>
      <c r="I25" s="41"/>
      <c r="J25" s="41"/>
      <c r="K25" s="33"/>
    </row>
    <row r="26" spans="1:13" ht="20.100000000000001" customHeight="1">
      <c r="D26" s="37" t="s">
        <v>218</v>
      </c>
      <c r="E26" s="40" t="s">
        <v>124</v>
      </c>
      <c r="F26" s="40" t="s">
        <v>201</v>
      </c>
      <c r="G26" s="40" t="s">
        <v>125</v>
      </c>
      <c r="H26" s="40" t="s">
        <v>202</v>
      </c>
      <c r="I26" s="40" t="s">
        <v>203</v>
      </c>
      <c r="J26" s="43">
        <v>356.1</v>
      </c>
      <c r="K26" s="33"/>
    </row>
    <row r="27" spans="1:13" ht="20.100000000000001" customHeight="1">
      <c r="A27" s="43">
        <v>15</v>
      </c>
      <c r="B27" s="33" t="s">
        <v>180</v>
      </c>
      <c r="C27" s="35">
        <f>C8</f>
        <v>2022</v>
      </c>
      <c r="E27" s="86">
        <v>3045787912.9900007</v>
      </c>
      <c r="F27" s="86">
        <v>648695672.01074195</v>
      </c>
      <c r="G27" s="86">
        <v>2209810043.1317601</v>
      </c>
      <c r="H27" s="86">
        <v>54927042.080000006</v>
      </c>
      <c r="I27" s="86">
        <v>126307756.95000002</v>
      </c>
      <c r="J27" s="86"/>
      <c r="K27" s="87"/>
      <c r="M27" s="87">
        <f t="shared" ref="M27:M39" si="18">SUM(E27:J27)</f>
        <v>6085528427.1625032</v>
      </c>
    </row>
    <row r="28" spans="1:13" ht="20.100000000000001" customHeight="1">
      <c r="A28" s="43">
        <v>16</v>
      </c>
      <c r="B28" s="33" t="s">
        <v>181</v>
      </c>
      <c r="C28" s="35">
        <f>C27+1</f>
        <v>2023</v>
      </c>
      <c r="E28" s="86">
        <v>3025959699.7800007</v>
      </c>
      <c r="F28" s="86">
        <v>650092448.960742</v>
      </c>
      <c r="G28" s="86">
        <v>2216477581.6717601</v>
      </c>
      <c r="H28" s="86">
        <v>54969044.240000002</v>
      </c>
      <c r="I28" s="86">
        <v>126992928.01000002</v>
      </c>
      <c r="J28" s="86"/>
      <c r="K28" s="87"/>
      <c r="M28" s="87">
        <f t="shared" si="18"/>
        <v>6074491702.6625023</v>
      </c>
    </row>
    <row r="29" spans="1:13" ht="20.100000000000001" customHeight="1">
      <c r="A29" s="43">
        <v>17</v>
      </c>
      <c r="B29" s="33" t="s">
        <v>182</v>
      </c>
      <c r="C29" s="35">
        <f>C28</f>
        <v>2023</v>
      </c>
      <c r="E29" s="86">
        <v>3031493119.400001</v>
      </c>
      <c r="F29" s="86">
        <v>649175896.460742</v>
      </c>
      <c r="G29" s="86">
        <v>2218657158.00176</v>
      </c>
      <c r="H29" s="86">
        <v>56515845.810000002</v>
      </c>
      <c r="I29" s="86">
        <v>126883402.77000003</v>
      </c>
      <c r="J29" s="86"/>
      <c r="K29" s="87"/>
      <c r="M29" s="87">
        <f t="shared" si="18"/>
        <v>6082725422.4425039</v>
      </c>
    </row>
    <row r="30" spans="1:13" ht="20.100000000000001" customHeight="1">
      <c r="A30" s="43">
        <v>18</v>
      </c>
      <c r="B30" s="33" t="s">
        <v>183</v>
      </c>
      <c r="C30" s="35">
        <f t="shared" ref="C30:C39" si="19">C29</f>
        <v>2023</v>
      </c>
      <c r="E30" s="86">
        <v>3030944066.1000013</v>
      </c>
      <c r="F30" s="86">
        <v>651895915.82074201</v>
      </c>
      <c r="G30" s="86">
        <v>2224816308.96176</v>
      </c>
      <c r="H30" s="86">
        <v>61830467.560000002</v>
      </c>
      <c r="I30" s="86">
        <v>127670617.57000002</v>
      </c>
      <c r="J30" s="86"/>
      <c r="K30" s="87"/>
      <c r="M30" s="87">
        <f t="shared" si="18"/>
        <v>6097157376.0125036</v>
      </c>
    </row>
    <row r="31" spans="1:13" ht="20.100000000000001" customHeight="1">
      <c r="A31" s="43">
        <v>19</v>
      </c>
      <c r="B31" s="33" t="s">
        <v>184</v>
      </c>
      <c r="C31" s="35">
        <f t="shared" si="19"/>
        <v>2023</v>
      </c>
      <c r="E31" s="86">
        <v>3029366563.440001</v>
      </c>
      <c r="F31" s="86">
        <v>656452381.84074199</v>
      </c>
      <c r="G31" s="86">
        <v>2230125415.9017601</v>
      </c>
      <c r="H31" s="86">
        <v>62029869.590000004</v>
      </c>
      <c r="I31" s="86">
        <v>127753228.07000002</v>
      </c>
      <c r="J31" s="86"/>
      <c r="K31" s="87"/>
      <c r="M31" s="87">
        <f t="shared" si="18"/>
        <v>6105727458.8425026</v>
      </c>
    </row>
    <row r="32" spans="1:13" ht="20.100000000000001" customHeight="1">
      <c r="A32" s="43">
        <v>20</v>
      </c>
      <c r="B32" s="33" t="s">
        <v>185</v>
      </c>
      <c r="C32" s="35">
        <f t="shared" si="19"/>
        <v>2023</v>
      </c>
      <c r="E32" s="86">
        <v>3030256938.6600013</v>
      </c>
      <c r="F32" s="86">
        <v>667837697.69074202</v>
      </c>
      <c r="G32" s="86">
        <v>2241251733.9317603</v>
      </c>
      <c r="H32" s="86">
        <v>62271531.150000006</v>
      </c>
      <c r="I32" s="86">
        <v>128667419.23000002</v>
      </c>
      <c r="J32" s="86"/>
      <c r="K32" s="87"/>
      <c r="M32" s="87">
        <f t="shared" si="18"/>
        <v>6130285320.6625023</v>
      </c>
    </row>
    <row r="33" spans="1:13" ht="20.100000000000001" customHeight="1">
      <c r="A33" s="43">
        <v>21</v>
      </c>
      <c r="B33" s="33" t="s">
        <v>195</v>
      </c>
      <c r="C33" s="35">
        <f t="shared" si="19"/>
        <v>2023</v>
      </c>
      <c r="E33" s="86">
        <v>3041726103.0600014</v>
      </c>
      <c r="F33" s="86">
        <v>666462087.31074202</v>
      </c>
      <c r="G33" s="86">
        <v>2250187740.4817605</v>
      </c>
      <c r="H33" s="86">
        <v>62926031.180000007</v>
      </c>
      <c r="I33" s="86">
        <v>131760342.89000002</v>
      </c>
      <c r="J33" s="86"/>
      <c r="K33" s="87"/>
      <c r="M33" s="87">
        <f t="shared" si="18"/>
        <v>6153062304.9225044</v>
      </c>
    </row>
    <row r="34" spans="1:13" ht="20.100000000000001" customHeight="1">
      <c r="A34" s="43">
        <v>22</v>
      </c>
      <c r="B34" s="33" t="s">
        <v>186</v>
      </c>
      <c r="C34" s="35">
        <f t="shared" si="19"/>
        <v>2023</v>
      </c>
      <c r="E34" s="86">
        <v>3041792339.0900011</v>
      </c>
      <c r="F34" s="86">
        <v>665334879.91074204</v>
      </c>
      <c r="G34" s="86">
        <v>2253938288.1417603</v>
      </c>
      <c r="H34" s="86">
        <v>62632850.56000001</v>
      </c>
      <c r="I34" s="86">
        <v>130365260.31000002</v>
      </c>
      <c r="J34" s="86"/>
      <c r="K34" s="87"/>
      <c r="M34" s="87">
        <f t="shared" si="18"/>
        <v>6154063618.0125046</v>
      </c>
    </row>
    <row r="35" spans="1:13" ht="20.100000000000001" customHeight="1">
      <c r="A35" s="43">
        <v>23</v>
      </c>
      <c r="B35" s="33" t="s">
        <v>187</v>
      </c>
      <c r="C35" s="35">
        <f t="shared" si="19"/>
        <v>2023</v>
      </c>
      <c r="E35" s="86">
        <v>3042267492.8100014</v>
      </c>
      <c r="F35" s="86">
        <v>663686597.59074199</v>
      </c>
      <c r="G35" s="86">
        <v>2257673074.5217605</v>
      </c>
      <c r="H35" s="86">
        <v>62817616.730000012</v>
      </c>
      <c r="I35" s="86">
        <v>130730518.17000002</v>
      </c>
      <c r="J35" s="86"/>
      <c r="K35" s="87"/>
      <c r="M35" s="87">
        <f t="shared" si="18"/>
        <v>6157175299.822504</v>
      </c>
    </row>
    <row r="36" spans="1:13" ht="20.100000000000001" customHeight="1">
      <c r="A36" s="43">
        <v>24</v>
      </c>
      <c r="B36" s="33" t="s">
        <v>188</v>
      </c>
      <c r="C36" s="35">
        <f t="shared" si="19"/>
        <v>2023</v>
      </c>
      <c r="E36" s="86">
        <v>3045499923.4300013</v>
      </c>
      <c r="F36" s="86">
        <v>667706688.65074193</v>
      </c>
      <c r="G36" s="86">
        <v>2266140241.6317606</v>
      </c>
      <c r="H36" s="86">
        <v>63664635.520000011</v>
      </c>
      <c r="I36" s="86">
        <v>131097256.95000002</v>
      </c>
      <c r="J36" s="86"/>
      <c r="K36" s="87"/>
      <c r="M36" s="87">
        <f t="shared" si="18"/>
        <v>6174108746.1825037</v>
      </c>
    </row>
    <row r="37" spans="1:13" ht="20.100000000000001" customHeight="1">
      <c r="A37" s="43">
        <v>25</v>
      </c>
      <c r="B37" s="33" t="s">
        <v>190</v>
      </c>
      <c r="C37" s="35">
        <f t="shared" si="19"/>
        <v>2023</v>
      </c>
      <c r="E37" s="86">
        <v>3044636736.1500015</v>
      </c>
      <c r="F37" s="86">
        <v>673155504.78074193</v>
      </c>
      <c r="G37" s="86">
        <v>2273391850.2517605</v>
      </c>
      <c r="H37" s="86">
        <v>63691193.160000011</v>
      </c>
      <c r="I37" s="86">
        <v>131711028.57000002</v>
      </c>
      <c r="J37" s="86"/>
      <c r="K37" s="87"/>
      <c r="M37" s="87">
        <f t="shared" si="18"/>
        <v>6186586312.9125032</v>
      </c>
    </row>
    <row r="38" spans="1:13" ht="20.100000000000001" customHeight="1">
      <c r="A38" s="43">
        <v>26</v>
      </c>
      <c r="B38" s="33" t="s">
        <v>189</v>
      </c>
      <c r="C38" s="35">
        <f t="shared" si="19"/>
        <v>2023</v>
      </c>
      <c r="E38" s="86">
        <v>3047709445.1200013</v>
      </c>
      <c r="F38" s="86">
        <v>675528718.87074196</v>
      </c>
      <c r="G38" s="86">
        <v>2280756770.5617604</v>
      </c>
      <c r="H38" s="86">
        <v>63685348.110000014</v>
      </c>
      <c r="I38" s="86">
        <v>133893277.91000003</v>
      </c>
      <c r="J38" s="86"/>
      <c r="K38" s="87"/>
      <c r="M38" s="87">
        <f t="shared" si="18"/>
        <v>6201573560.5725031</v>
      </c>
    </row>
    <row r="39" spans="1:13" ht="20.100000000000001" customHeight="1">
      <c r="A39" s="43">
        <v>27</v>
      </c>
      <c r="B39" s="33" t="s">
        <v>180</v>
      </c>
      <c r="C39" s="35">
        <f t="shared" si="19"/>
        <v>2023</v>
      </c>
      <c r="E39" s="86">
        <v>3055279148.4000015</v>
      </c>
      <c r="F39" s="86">
        <v>707770191.460742</v>
      </c>
      <c r="G39" s="86">
        <v>2290271606.3817606</v>
      </c>
      <c r="H39" s="86">
        <v>56711847.99000001</v>
      </c>
      <c r="I39" s="86">
        <v>138166297.16000003</v>
      </c>
      <c r="J39" s="86"/>
      <c r="K39" s="87"/>
      <c r="M39" s="87">
        <f t="shared" si="18"/>
        <v>6248199091.3925037</v>
      </c>
    </row>
    <row r="40" spans="1:13" ht="20.100000000000001" customHeight="1">
      <c r="E40" s="88"/>
      <c r="F40" s="88"/>
      <c r="G40" s="88"/>
      <c r="H40" s="88"/>
      <c r="I40" s="88"/>
      <c r="J40" s="88"/>
      <c r="K40" s="87"/>
      <c r="M40" s="87"/>
    </row>
    <row r="41" spans="1:13" ht="20.100000000000001" customHeight="1">
      <c r="A41" s="43">
        <v>28</v>
      </c>
      <c r="B41" s="33" t="s">
        <v>204</v>
      </c>
      <c r="E41" s="88">
        <f>SUM(E27:E39)/13</f>
        <v>3039439960.6484628</v>
      </c>
      <c r="F41" s="88">
        <f>SUM(F27:F39)/13</f>
        <v>664907283.18151116</v>
      </c>
      <c r="G41" s="88">
        <f t="shared" ref="G41:J41" si="20">SUM(G27:G39)/13</f>
        <v>2247192139.5056067</v>
      </c>
      <c r="H41" s="88">
        <f>SUM(H27:H39)/13</f>
        <v>60667178.744615383</v>
      </c>
      <c r="I41" s="88">
        <f>SUM(I27:I39)/13</f>
        <v>130153794.96615387</v>
      </c>
      <c r="J41" s="88">
        <f t="shared" si="20"/>
        <v>0</v>
      </c>
      <c r="K41" s="88"/>
      <c r="M41" s="88">
        <f>SUM(M27:M39)/13</f>
        <v>6142360357.0463495</v>
      </c>
    </row>
    <row r="44" spans="1:13" ht="20.100000000000001" customHeight="1">
      <c r="B44" s="53" t="s">
        <v>528</v>
      </c>
      <c r="C44" s="54"/>
      <c r="D44" s="54"/>
      <c r="E44" s="55"/>
      <c r="F44" s="55"/>
      <c r="G44" s="56"/>
      <c r="H44" s="384"/>
      <c r="I44" s="384"/>
      <c r="J44" s="389"/>
      <c r="L44" s="33"/>
    </row>
    <row r="45" spans="1:13" ht="20.100000000000001" customHeight="1">
      <c r="B45" s="57"/>
      <c r="E45" s="41" t="s">
        <v>196</v>
      </c>
      <c r="F45" s="41" t="s">
        <v>24</v>
      </c>
      <c r="G45" s="41" t="s">
        <v>197</v>
      </c>
      <c r="H45" s="41" t="s">
        <v>199</v>
      </c>
      <c r="I45" s="41" t="s">
        <v>198</v>
      </c>
      <c r="J45" s="382" t="s">
        <v>200</v>
      </c>
      <c r="L45" s="33"/>
    </row>
    <row r="46" spans="1:13" ht="20.100000000000001" customHeight="1">
      <c r="B46" s="57"/>
      <c r="E46" s="33"/>
      <c r="F46" s="41"/>
      <c r="G46" s="41"/>
      <c r="H46" s="33"/>
      <c r="I46" s="41"/>
      <c r="J46" s="58"/>
      <c r="L46" s="33"/>
    </row>
    <row r="47" spans="1:13" ht="20.100000000000001" customHeight="1">
      <c r="B47" s="57"/>
      <c r="D47" s="37" t="s">
        <v>218</v>
      </c>
      <c r="E47" s="40" t="s">
        <v>568</v>
      </c>
      <c r="F47" s="40" t="s">
        <v>232</v>
      </c>
      <c r="G47" s="40" t="s">
        <v>548</v>
      </c>
      <c r="H47" s="40" t="s">
        <v>300</v>
      </c>
      <c r="I47" s="40" t="s">
        <v>511</v>
      </c>
      <c r="J47" s="498" t="s">
        <v>300</v>
      </c>
      <c r="L47" s="33"/>
    </row>
    <row r="48" spans="1:13" ht="20.100000000000001" customHeight="1">
      <c r="A48" s="43">
        <v>29</v>
      </c>
      <c r="B48" s="57" t="s">
        <v>180</v>
      </c>
      <c r="C48" s="35">
        <f>C8</f>
        <v>2022</v>
      </c>
      <c r="E48" s="89">
        <v>1695781.55</v>
      </c>
      <c r="F48" s="89">
        <v>974.42000000000007</v>
      </c>
      <c r="G48" s="89"/>
      <c r="H48" s="390"/>
      <c r="I48" s="89">
        <v>57744.79</v>
      </c>
      <c r="J48" s="391"/>
      <c r="L48" s="33"/>
    </row>
    <row r="49" spans="1:12" ht="20.100000000000001" customHeight="1">
      <c r="A49" s="43">
        <v>30</v>
      </c>
      <c r="B49" s="57" t="s">
        <v>181</v>
      </c>
      <c r="C49" s="35">
        <f>C48+1</f>
        <v>2023</v>
      </c>
      <c r="E49" s="89">
        <v>1695781.55</v>
      </c>
      <c r="F49" s="89">
        <v>974.42000000000007</v>
      </c>
      <c r="G49" s="89"/>
      <c r="H49" s="390"/>
      <c r="I49" s="89">
        <v>57744.79</v>
      </c>
      <c r="J49" s="391"/>
      <c r="L49" s="33"/>
    </row>
    <row r="50" spans="1:12" ht="20.100000000000001" customHeight="1">
      <c r="A50" s="43">
        <v>31</v>
      </c>
      <c r="B50" s="57" t="s">
        <v>182</v>
      </c>
      <c r="C50" s="35">
        <f>C49</f>
        <v>2023</v>
      </c>
      <c r="E50" s="89">
        <v>1695781.55</v>
      </c>
      <c r="F50" s="89">
        <v>974.42000000000007</v>
      </c>
      <c r="G50" s="89"/>
      <c r="H50" s="390"/>
      <c r="I50" s="89">
        <v>57744.79</v>
      </c>
      <c r="J50" s="391"/>
      <c r="L50" s="33"/>
    </row>
    <row r="51" spans="1:12" ht="20.100000000000001" customHeight="1">
      <c r="A51" s="43">
        <v>32</v>
      </c>
      <c r="B51" s="57" t="s">
        <v>183</v>
      </c>
      <c r="C51" s="35">
        <f t="shared" ref="C51:C60" si="21">C50</f>
        <v>2023</v>
      </c>
      <c r="E51" s="89">
        <v>1695781.55</v>
      </c>
      <c r="F51" s="89">
        <v>974.42000000000007</v>
      </c>
      <c r="G51" s="89"/>
      <c r="H51" s="390"/>
      <c r="I51" s="89">
        <v>57744.79</v>
      </c>
      <c r="J51" s="391"/>
      <c r="L51" s="33"/>
    </row>
    <row r="52" spans="1:12" ht="20.100000000000001" customHeight="1">
      <c r="A52" s="43">
        <v>33</v>
      </c>
      <c r="B52" s="57" t="s">
        <v>184</v>
      </c>
      <c r="C52" s="35">
        <f t="shared" si="21"/>
        <v>2023</v>
      </c>
      <c r="E52" s="89">
        <v>1695781.55</v>
      </c>
      <c r="F52" s="89">
        <v>974.42000000000007</v>
      </c>
      <c r="G52" s="89"/>
      <c r="H52" s="390"/>
      <c r="I52" s="89">
        <v>57744.79</v>
      </c>
      <c r="J52" s="391"/>
      <c r="L52" s="33"/>
    </row>
    <row r="53" spans="1:12" ht="20.100000000000001" customHeight="1">
      <c r="A53" s="43">
        <v>34</v>
      </c>
      <c r="B53" s="57" t="s">
        <v>185</v>
      </c>
      <c r="C53" s="35">
        <f t="shared" si="21"/>
        <v>2023</v>
      </c>
      <c r="E53" s="89">
        <v>1695781.55</v>
      </c>
      <c r="F53" s="89">
        <v>974.42000000000007</v>
      </c>
      <c r="G53" s="89"/>
      <c r="H53" s="390"/>
      <c r="I53" s="89">
        <v>57744.79</v>
      </c>
      <c r="J53" s="391"/>
      <c r="L53" s="33"/>
    </row>
    <row r="54" spans="1:12" ht="20.100000000000001" customHeight="1">
      <c r="A54" s="43">
        <v>35</v>
      </c>
      <c r="B54" s="57" t="s">
        <v>195</v>
      </c>
      <c r="C54" s="35">
        <f t="shared" si="21"/>
        <v>2023</v>
      </c>
      <c r="E54" s="89">
        <v>1695781.55</v>
      </c>
      <c r="F54" s="89">
        <v>974.42000000000007</v>
      </c>
      <c r="G54" s="89"/>
      <c r="H54" s="390"/>
      <c r="I54" s="89">
        <v>57744.79</v>
      </c>
      <c r="J54" s="391"/>
      <c r="L54" s="33"/>
    </row>
    <row r="55" spans="1:12" ht="20.100000000000001" customHeight="1">
      <c r="A55" s="43">
        <v>36</v>
      </c>
      <c r="B55" s="57" t="s">
        <v>186</v>
      </c>
      <c r="C55" s="35">
        <f t="shared" si="21"/>
        <v>2023</v>
      </c>
      <c r="E55" s="89">
        <v>1695781.55</v>
      </c>
      <c r="F55" s="89">
        <v>974.42000000000007</v>
      </c>
      <c r="G55" s="89"/>
      <c r="H55" s="390"/>
      <c r="I55" s="89">
        <v>57744.79</v>
      </c>
      <c r="J55" s="391"/>
      <c r="L55" s="33"/>
    </row>
    <row r="56" spans="1:12" ht="20.100000000000001" customHeight="1">
      <c r="A56" s="43">
        <v>37</v>
      </c>
      <c r="B56" s="57" t="s">
        <v>187</v>
      </c>
      <c r="C56" s="35">
        <f t="shared" si="21"/>
        <v>2023</v>
      </c>
      <c r="E56" s="89">
        <v>1695781.55</v>
      </c>
      <c r="F56" s="89">
        <v>974.42000000000007</v>
      </c>
      <c r="G56" s="89"/>
      <c r="H56" s="390"/>
      <c r="I56" s="89">
        <v>57744.79</v>
      </c>
      <c r="J56" s="391"/>
      <c r="L56" s="33"/>
    </row>
    <row r="57" spans="1:12" ht="20.100000000000001" customHeight="1">
      <c r="A57" s="43">
        <v>38</v>
      </c>
      <c r="B57" s="57" t="s">
        <v>188</v>
      </c>
      <c r="C57" s="35">
        <f t="shared" si="21"/>
        <v>2023</v>
      </c>
      <c r="E57" s="89">
        <v>1695781.55</v>
      </c>
      <c r="F57" s="89">
        <v>974.42000000000007</v>
      </c>
      <c r="G57" s="89"/>
      <c r="H57" s="390"/>
      <c r="I57" s="89">
        <v>57744.79</v>
      </c>
      <c r="J57" s="391"/>
      <c r="L57" s="33"/>
    </row>
    <row r="58" spans="1:12" ht="20.100000000000001" customHeight="1">
      <c r="A58" s="43">
        <v>39</v>
      </c>
      <c r="B58" s="57" t="s">
        <v>190</v>
      </c>
      <c r="C58" s="35">
        <f t="shared" si="21"/>
        <v>2023</v>
      </c>
      <c r="E58" s="89">
        <v>1695781.55</v>
      </c>
      <c r="F58" s="89">
        <v>974.42000000000007</v>
      </c>
      <c r="G58" s="89"/>
      <c r="H58" s="390"/>
      <c r="I58" s="89">
        <v>57744.79</v>
      </c>
      <c r="J58" s="391"/>
      <c r="L58" s="33"/>
    </row>
    <row r="59" spans="1:12" ht="20.100000000000001" customHeight="1">
      <c r="A59" s="43">
        <v>40</v>
      </c>
      <c r="B59" s="57" t="s">
        <v>189</v>
      </c>
      <c r="C59" s="35">
        <f t="shared" si="21"/>
        <v>2023</v>
      </c>
      <c r="E59" s="89">
        <v>1695781.55</v>
      </c>
      <c r="F59" s="89">
        <v>974.42000000000007</v>
      </c>
      <c r="G59" s="89"/>
      <c r="H59" s="390"/>
      <c r="I59" s="89">
        <v>57744.79</v>
      </c>
      <c r="J59" s="391"/>
      <c r="L59" s="33"/>
    </row>
    <row r="60" spans="1:12" ht="20.100000000000001" customHeight="1">
      <c r="A60" s="43">
        <v>41</v>
      </c>
      <c r="B60" s="57" t="s">
        <v>180</v>
      </c>
      <c r="C60" s="35">
        <f t="shared" si="21"/>
        <v>2023</v>
      </c>
      <c r="E60" s="89">
        <v>1695781.55</v>
      </c>
      <c r="F60" s="89">
        <v>974.42000000000007</v>
      </c>
      <c r="G60" s="89"/>
      <c r="H60" s="390"/>
      <c r="I60" s="89">
        <v>57744.79</v>
      </c>
      <c r="J60" s="391"/>
      <c r="L60" s="33"/>
    </row>
    <row r="61" spans="1:12" ht="20.100000000000001" customHeight="1">
      <c r="B61" s="57"/>
      <c r="E61" s="33"/>
      <c r="F61" s="90"/>
      <c r="G61" s="33"/>
      <c r="H61" s="33"/>
      <c r="I61" s="33"/>
      <c r="J61" s="58"/>
      <c r="L61" s="33"/>
    </row>
    <row r="62" spans="1:12" ht="20.100000000000001" customHeight="1">
      <c r="A62" s="43">
        <v>42</v>
      </c>
      <c r="B62" s="59" t="s">
        <v>204</v>
      </c>
      <c r="C62" s="60"/>
      <c r="D62" s="60"/>
      <c r="E62" s="91">
        <f t="shared" ref="E62" si="22">SUM(E48:E60)/13</f>
        <v>1695781.5500000005</v>
      </c>
      <c r="F62" s="91">
        <f>SUM(F48:F60)/13</f>
        <v>974.42000000000007</v>
      </c>
      <c r="G62" s="91">
        <f>SUM(G48:G60)/13</f>
        <v>0</v>
      </c>
      <c r="H62" s="91">
        <f>SUM(H48:H60)/13</f>
        <v>0</v>
      </c>
      <c r="I62" s="91">
        <f>SUM(I48:I60)/13</f>
        <v>57744.79</v>
      </c>
      <c r="J62" s="383">
        <f>SUM(J48:J60)/13</f>
        <v>0</v>
      </c>
      <c r="L62" s="33"/>
    </row>
    <row r="64" spans="1:12" ht="20.100000000000001" customHeight="1">
      <c r="A64" s="33" t="s">
        <v>206</v>
      </c>
    </row>
    <row r="65" spans="1:2" ht="20.100000000000001" customHeight="1">
      <c r="A65" s="39" t="s">
        <v>205</v>
      </c>
      <c r="B65" s="33" t="s">
        <v>900</v>
      </c>
    </row>
    <row r="66" spans="1:2" ht="20.100000000000001" customHeight="1">
      <c r="A66" s="39" t="s">
        <v>218</v>
      </c>
      <c r="B66" s="33" t="s">
        <v>207</v>
      </c>
    </row>
    <row r="67" spans="1:2" ht="20.100000000000001" customHeight="1">
      <c r="A67" s="39" t="s">
        <v>257</v>
      </c>
      <c r="B67" s="33" t="s">
        <v>551</v>
      </c>
    </row>
    <row r="68" spans="1:2" ht="20.100000000000001" customHeight="1">
      <c r="A68" s="39" t="s">
        <v>267</v>
      </c>
      <c r="B68" s="33" t="s">
        <v>752</v>
      </c>
    </row>
    <row r="69" spans="1:2" ht="20.100000000000001" customHeight="1">
      <c r="A69" s="39" t="s">
        <v>268</v>
      </c>
      <c r="B69" s="33" t="s">
        <v>800</v>
      </c>
    </row>
    <row r="70" spans="1:2" ht="20.100000000000001" customHeight="1">
      <c r="A70" s="39" t="s">
        <v>631</v>
      </c>
      <c r="B70" s="33" t="s">
        <v>796</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sheetPr codeName="Sheet13"/>
  <dimension ref="A1:N71"/>
  <sheetViews>
    <sheetView view="pageBreakPreview" zoomScale="60" zoomScaleNormal="80" workbookViewId="0"/>
  </sheetViews>
  <sheetFormatPr defaultColWidth="8.88671875" defaultRowHeight="15.75"/>
  <cols>
    <col min="1" max="1" width="5.88671875" style="39" bestFit="1" customWidth="1"/>
    <col min="2" max="2" width="10.88671875" style="33" customWidth="1"/>
    <col min="3" max="3" width="13" style="33" customWidth="1"/>
    <col min="4" max="4" width="2.88671875" style="33" customWidth="1"/>
    <col min="5" max="5" width="17.109375" style="39" bestFit="1" customWidth="1"/>
    <col min="6" max="6" width="24.109375" style="39" customWidth="1"/>
    <col min="7" max="7" width="18" style="39" customWidth="1"/>
    <col min="8" max="8" width="17.109375" style="39" customWidth="1"/>
    <col min="9" max="9" width="14.6640625" style="39" customWidth="1"/>
    <col min="10" max="10" width="16.6640625" style="39" customWidth="1"/>
    <col min="11" max="11" width="14.6640625" style="39" customWidth="1"/>
    <col min="12" max="12" width="2.109375" style="39" customWidth="1"/>
    <col min="13" max="13" width="17.88671875" style="33" customWidth="1"/>
    <col min="14" max="14" width="19.88671875" style="33" customWidth="1"/>
    <col min="15" max="15" width="17.88671875" style="33" bestFit="1" customWidth="1"/>
    <col min="16" max="16" width="13.88671875" style="33" bestFit="1" customWidth="1"/>
    <col min="17" max="16384" width="8.88671875" style="33"/>
  </cols>
  <sheetData>
    <row r="1" spans="1:14" ht="20.100000000000001" customHeight="1">
      <c r="E1" s="839"/>
      <c r="F1" s="839"/>
      <c r="G1" s="839"/>
      <c r="M1" s="3" t="str">
        <f>'Attachment H-11A '!K1&amp;""&amp;", Attachment 4"</f>
        <v>Attachment H -11A, Attachment 4</v>
      </c>
    </row>
    <row r="2" spans="1:14" ht="20.100000000000001" customHeight="1">
      <c r="M2" s="3" t="s">
        <v>168</v>
      </c>
    </row>
    <row r="3" spans="1:14" ht="20.100000000000001" customHeight="1">
      <c r="H3" s="41" t="s">
        <v>497</v>
      </c>
      <c r="M3" s="3" t="str">
        <f>'Attachment H-11A '!K4</f>
        <v>For the 12 months ended 12/31/2023</v>
      </c>
    </row>
    <row r="4" spans="1:14" ht="20.100000000000001" customHeight="1">
      <c r="A4" s="42"/>
    </row>
    <row r="5" spans="1:14" ht="20.100000000000001" customHeight="1">
      <c r="E5" s="377" t="s">
        <v>457</v>
      </c>
      <c r="F5" s="377" t="s">
        <v>458</v>
      </c>
      <c r="G5" s="377" t="s">
        <v>459</v>
      </c>
      <c r="H5" s="377" t="s">
        <v>460</v>
      </c>
      <c r="I5" s="377" t="s">
        <v>461</v>
      </c>
      <c r="J5" s="377" t="s">
        <v>462</v>
      </c>
      <c r="K5" s="377" t="s">
        <v>463</v>
      </c>
      <c r="L5" s="378"/>
      <c r="M5" s="39" t="s">
        <v>765</v>
      </c>
    </row>
    <row r="6" spans="1:14" ht="20.100000000000001" customHeight="1">
      <c r="E6" s="41" t="s">
        <v>196</v>
      </c>
      <c r="F6" s="41" t="s">
        <v>755</v>
      </c>
      <c r="G6" s="41" t="s">
        <v>794</v>
      </c>
      <c r="H6" s="41" t="s">
        <v>795</v>
      </c>
      <c r="I6" s="41" t="s">
        <v>199</v>
      </c>
      <c r="J6" s="41" t="s">
        <v>198</v>
      </c>
      <c r="K6" s="41" t="s">
        <v>200</v>
      </c>
      <c r="L6" s="33"/>
      <c r="M6" s="41" t="s">
        <v>9</v>
      </c>
    </row>
    <row r="7" spans="1:14" ht="20.100000000000001" customHeight="1">
      <c r="D7" s="37"/>
      <c r="E7" s="40"/>
      <c r="F7" s="40"/>
      <c r="G7" s="40"/>
      <c r="H7" s="40"/>
      <c r="I7" s="40"/>
      <c r="J7" s="40"/>
      <c r="K7" s="43"/>
      <c r="L7" s="33"/>
    </row>
    <row r="8" spans="1:14" ht="20.100000000000001" customHeight="1">
      <c r="A8" s="43">
        <v>1</v>
      </c>
      <c r="B8" s="33" t="s">
        <v>180</v>
      </c>
      <c r="C8" s="36">
        <v>2022</v>
      </c>
      <c r="E8" s="93">
        <f t="shared" ref="E8:E20" si="0">E28-E49</f>
        <v>1250689598.4599998</v>
      </c>
      <c r="F8" s="86">
        <v>-331109.62800479168</v>
      </c>
      <c r="G8" s="93">
        <f>F28-F49-F8</f>
        <v>211890788.99498379</v>
      </c>
      <c r="H8" s="93">
        <f>G28-G49+F8</f>
        <v>724358509.61628616</v>
      </c>
      <c r="I8" s="93">
        <f t="shared" ref="I8:K20" si="1">H28-H49</f>
        <v>34581311.130000003</v>
      </c>
      <c r="J8" s="93">
        <f t="shared" si="1"/>
        <v>61177389.579999998</v>
      </c>
      <c r="K8" s="93">
        <f t="shared" si="1"/>
        <v>0</v>
      </c>
      <c r="L8" s="403"/>
      <c r="M8" s="403">
        <f>SUM(E8,G8,H8,I8,J8,K8)</f>
        <v>2282697597.78127</v>
      </c>
      <c r="N8" s="101"/>
    </row>
    <row r="9" spans="1:14" ht="20.100000000000001" customHeight="1">
      <c r="A9" s="43">
        <v>2</v>
      </c>
      <c r="B9" s="33" t="s">
        <v>181</v>
      </c>
      <c r="C9" s="35">
        <f>C8+1</f>
        <v>2023</v>
      </c>
      <c r="E9" s="93">
        <f t="shared" si="0"/>
        <v>1233030920.4000001</v>
      </c>
      <c r="F9" s="86">
        <v>-432981.06355529168</v>
      </c>
      <c r="G9" s="93">
        <f t="shared" ref="G9:G20" si="2">F29-F50-F9</f>
        <v>212662111.52053428</v>
      </c>
      <c r="H9" s="93">
        <f t="shared" ref="H9:H20" si="3">G29-G50+F9</f>
        <v>726895543.16073573</v>
      </c>
      <c r="I9" s="93">
        <f t="shared" si="1"/>
        <v>34996699.600000001</v>
      </c>
      <c r="J9" s="93">
        <f t="shared" si="1"/>
        <v>61796248.769999996</v>
      </c>
      <c r="K9" s="93">
        <f t="shared" si="1"/>
        <v>0</v>
      </c>
      <c r="L9" s="403"/>
      <c r="M9" s="403">
        <f t="shared" ref="M9:M20" si="4">SUM(E9,G9,H9,I9,J9,K9)</f>
        <v>2269381523.4512701</v>
      </c>
      <c r="N9" s="101"/>
    </row>
    <row r="10" spans="1:14" ht="20.100000000000001" customHeight="1">
      <c r="A10" s="43">
        <v>3</v>
      </c>
      <c r="B10" s="33" t="s">
        <v>182</v>
      </c>
      <c r="C10" s="35">
        <f>C9</f>
        <v>2023</v>
      </c>
      <c r="E10" s="93">
        <f t="shared" si="0"/>
        <v>1236320811.9100001</v>
      </c>
      <c r="F10" s="86">
        <v>-450818.443784</v>
      </c>
      <c r="G10" s="93">
        <f t="shared" si="2"/>
        <v>211794054.49076298</v>
      </c>
      <c r="H10" s="93">
        <f t="shared" si="3"/>
        <v>729157149.99050701</v>
      </c>
      <c r="I10" s="93">
        <f t="shared" si="1"/>
        <v>35405716</v>
      </c>
      <c r="J10" s="93">
        <f t="shared" si="1"/>
        <v>62415222.669999994</v>
      </c>
      <c r="K10" s="93">
        <f t="shared" si="1"/>
        <v>0</v>
      </c>
      <c r="L10" s="403"/>
      <c r="M10" s="403">
        <f t="shared" si="4"/>
        <v>2275092955.0612702</v>
      </c>
      <c r="N10" s="101"/>
    </row>
    <row r="11" spans="1:14" ht="20.100000000000001" customHeight="1">
      <c r="A11" s="43">
        <v>4</v>
      </c>
      <c r="B11" s="33" t="s">
        <v>183</v>
      </c>
      <c r="C11" s="35">
        <f t="shared" ref="C11:C20" si="5">C10</f>
        <v>2023</v>
      </c>
      <c r="E11" s="93">
        <f t="shared" si="0"/>
        <v>1236956525.0899999</v>
      </c>
      <c r="F11" s="86">
        <v>-485028.886336</v>
      </c>
      <c r="G11" s="93">
        <f t="shared" si="2"/>
        <v>212667909.23331496</v>
      </c>
      <c r="H11" s="93">
        <f t="shared" si="3"/>
        <v>730403663.05795503</v>
      </c>
      <c r="I11" s="93">
        <f t="shared" si="1"/>
        <v>35846696.400000006</v>
      </c>
      <c r="J11" s="93">
        <f t="shared" si="1"/>
        <v>63012553.389999993</v>
      </c>
      <c r="K11" s="93">
        <f t="shared" si="1"/>
        <v>0</v>
      </c>
      <c r="L11" s="403"/>
      <c r="M11" s="403">
        <f t="shared" si="4"/>
        <v>2278887347.1712699</v>
      </c>
    </row>
    <row r="12" spans="1:14" ht="20.100000000000001" customHeight="1">
      <c r="A12" s="43">
        <v>5</v>
      </c>
      <c r="B12" s="33" t="s">
        <v>184</v>
      </c>
      <c r="C12" s="35">
        <f t="shared" si="5"/>
        <v>2023</v>
      </c>
      <c r="E12" s="93">
        <f t="shared" si="0"/>
        <v>1239851716.8099997</v>
      </c>
      <c r="F12" s="86">
        <v>-513587.85359595832</v>
      </c>
      <c r="G12" s="93">
        <f t="shared" si="2"/>
        <v>213641641.54057494</v>
      </c>
      <c r="H12" s="93">
        <f t="shared" si="3"/>
        <v>733124773.81069505</v>
      </c>
      <c r="I12" s="93">
        <f t="shared" si="1"/>
        <v>36319691.540000007</v>
      </c>
      <c r="J12" s="93">
        <f t="shared" si="1"/>
        <v>63634739.469999991</v>
      </c>
      <c r="K12" s="93">
        <f t="shared" si="1"/>
        <v>0</v>
      </c>
      <c r="L12" s="403"/>
      <c r="M12" s="403">
        <f t="shared" si="4"/>
        <v>2286572563.1712694</v>
      </c>
    </row>
    <row r="13" spans="1:14" ht="20.100000000000001" customHeight="1">
      <c r="A13" s="43">
        <v>6</v>
      </c>
      <c r="B13" s="33" t="s">
        <v>185</v>
      </c>
      <c r="C13" s="35">
        <f t="shared" si="5"/>
        <v>2023</v>
      </c>
      <c r="E13" s="93">
        <f t="shared" si="0"/>
        <v>1243500166.8899996</v>
      </c>
      <c r="F13" s="86">
        <v>-588071.77763849997</v>
      </c>
      <c r="G13" s="93">
        <f t="shared" si="2"/>
        <v>214234759.34461746</v>
      </c>
      <c r="H13" s="93">
        <f t="shared" si="3"/>
        <v>734255925.16665244</v>
      </c>
      <c r="I13" s="93">
        <f t="shared" si="1"/>
        <v>36794532.080000013</v>
      </c>
      <c r="J13" s="93">
        <f t="shared" si="1"/>
        <v>64172219.75999999</v>
      </c>
      <c r="K13" s="93">
        <f t="shared" si="1"/>
        <v>0</v>
      </c>
      <c r="L13" s="403"/>
      <c r="M13" s="403">
        <f>SUM(E13,G13,H13,I13,J13,K13)</f>
        <v>2292957603.2412691</v>
      </c>
    </row>
    <row r="14" spans="1:14" ht="20.100000000000001" customHeight="1">
      <c r="A14" s="43">
        <v>7</v>
      </c>
      <c r="B14" s="33" t="s">
        <v>195</v>
      </c>
      <c r="C14" s="35">
        <f t="shared" si="5"/>
        <v>2023</v>
      </c>
      <c r="E14" s="93">
        <f t="shared" si="0"/>
        <v>1227975933.1299996</v>
      </c>
      <c r="F14" s="86">
        <v>-767061.60816720827</v>
      </c>
      <c r="G14" s="93">
        <f t="shared" si="2"/>
        <v>214789677.72514617</v>
      </c>
      <c r="H14" s="93">
        <f t="shared" si="3"/>
        <v>737071571.74612379</v>
      </c>
      <c r="I14" s="93">
        <f t="shared" si="1"/>
        <v>37273863.890000001</v>
      </c>
      <c r="J14" s="93">
        <f t="shared" si="1"/>
        <v>64573436.859999992</v>
      </c>
      <c r="K14" s="93">
        <f t="shared" si="1"/>
        <v>0</v>
      </c>
      <c r="L14" s="403"/>
      <c r="M14" s="403">
        <f t="shared" si="4"/>
        <v>2281684483.3512697</v>
      </c>
    </row>
    <row r="15" spans="1:14" ht="20.100000000000001" customHeight="1">
      <c r="A15" s="43">
        <v>8</v>
      </c>
      <c r="B15" s="33" t="s">
        <v>186</v>
      </c>
      <c r="C15" s="35">
        <f t="shared" si="5"/>
        <v>2023</v>
      </c>
      <c r="E15" s="93">
        <f t="shared" si="0"/>
        <v>1231627677.28</v>
      </c>
      <c r="F15" s="86">
        <v>-928300.41812583327</v>
      </c>
      <c r="G15" s="93">
        <f t="shared" si="2"/>
        <v>215549233.81510484</v>
      </c>
      <c r="H15" s="93">
        <f>G35-G56+F15</f>
        <v>739539791.75616515</v>
      </c>
      <c r="I15" s="93">
        <f t="shared" si="1"/>
        <v>37441172.720000014</v>
      </c>
      <c r="J15" s="93">
        <f t="shared" si="1"/>
        <v>63286741.68999999</v>
      </c>
      <c r="K15" s="93">
        <f t="shared" si="1"/>
        <v>0</v>
      </c>
      <c r="L15" s="403"/>
      <c r="M15" s="403">
        <f t="shared" si="4"/>
        <v>2287444617.2612696</v>
      </c>
    </row>
    <row r="16" spans="1:14" ht="20.100000000000001" customHeight="1">
      <c r="A16" s="43">
        <v>9</v>
      </c>
      <c r="B16" s="33" t="s">
        <v>187</v>
      </c>
      <c r="C16" s="35">
        <f t="shared" si="5"/>
        <v>2023</v>
      </c>
      <c r="E16" s="93">
        <f t="shared" si="0"/>
        <v>1233965366.53</v>
      </c>
      <c r="F16" s="86">
        <v>-1047929.0422178332</v>
      </c>
      <c r="G16" s="93">
        <f t="shared" si="2"/>
        <v>212133588.79919681</v>
      </c>
      <c r="H16" s="93">
        <f t="shared" si="3"/>
        <v>742228127.52207315</v>
      </c>
      <c r="I16" s="93">
        <f t="shared" si="1"/>
        <v>37902024.980000004</v>
      </c>
      <c r="J16" s="93">
        <f t="shared" si="1"/>
        <v>63927431.699999988</v>
      </c>
      <c r="K16" s="93">
        <f t="shared" si="1"/>
        <v>0</v>
      </c>
      <c r="L16" s="403"/>
      <c r="M16" s="403">
        <f t="shared" si="4"/>
        <v>2290156539.5312696</v>
      </c>
    </row>
    <row r="17" spans="1:14" ht="20.100000000000001" customHeight="1">
      <c r="A17" s="43">
        <v>10</v>
      </c>
      <c r="B17" s="33" t="s">
        <v>188</v>
      </c>
      <c r="C17" s="35">
        <f t="shared" si="5"/>
        <v>2023</v>
      </c>
      <c r="E17" s="93">
        <f t="shared" si="0"/>
        <v>1236168097.22</v>
      </c>
      <c r="F17" s="86">
        <v>-1059556.1131410415</v>
      </c>
      <c r="G17" s="93">
        <f t="shared" si="2"/>
        <v>212961126.32012004</v>
      </c>
      <c r="H17" s="93">
        <f t="shared" si="3"/>
        <v>744288194.89115</v>
      </c>
      <c r="I17" s="93">
        <f t="shared" si="1"/>
        <v>38369250.910000011</v>
      </c>
      <c r="J17" s="93">
        <f t="shared" si="1"/>
        <v>64554995.79999999</v>
      </c>
      <c r="K17" s="93">
        <f t="shared" si="1"/>
        <v>0</v>
      </c>
      <c r="L17" s="403"/>
      <c r="M17" s="403">
        <f t="shared" si="4"/>
        <v>2296341665.1412702</v>
      </c>
    </row>
    <row r="18" spans="1:14" ht="20.100000000000001" customHeight="1">
      <c r="A18" s="43">
        <v>11</v>
      </c>
      <c r="B18" s="33" t="s">
        <v>190</v>
      </c>
      <c r="C18" s="35">
        <f t="shared" si="5"/>
        <v>2023</v>
      </c>
      <c r="E18" s="93">
        <f t="shared" si="0"/>
        <v>1239385611.5899999</v>
      </c>
      <c r="F18" s="86">
        <v>-1066700.9286950831</v>
      </c>
      <c r="G18" s="93">
        <f t="shared" si="2"/>
        <v>213680771.8756741</v>
      </c>
      <c r="H18" s="93">
        <f t="shared" si="3"/>
        <v>745196503.76559603</v>
      </c>
      <c r="I18" s="93">
        <f t="shared" si="1"/>
        <v>38841125.160000004</v>
      </c>
      <c r="J18" s="93">
        <f t="shared" si="1"/>
        <v>65180340.649999991</v>
      </c>
      <c r="K18" s="93">
        <f t="shared" si="1"/>
        <v>0</v>
      </c>
      <c r="L18" s="403"/>
      <c r="M18" s="403">
        <f t="shared" si="4"/>
        <v>2302284353.0412698</v>
      </c>
    </row>
    <row r="19" spans="1:14" ht="20.100000000000001" customHeight="1">
      <c r="A19" s="43">
        <v>12</v>
      </c>
      <c r="B19" s="33" t="s">
        <v>189</v>
      </c>
      <c r="C19" s="35">
        <f t="shared" si="5"/>
        <v>2023</v>
      </c>
      <c r="E19" s="93">
        <f t="shared" si="0"/>
        <v>1242954402.6899998</v>
      </c>
      <c r="F19" s="86">
        <v>-1112264.7429221247</v>
      </c>
      <c r="G19" s="93">
        <f t="shared" si="2"/>
        <v>210861201.51990113</v>
      </c>
      <c r="H19" s="93">
        <f t="shared" si="3"/>
        <v>749286031.96136904</v>
      </c>
      <c r="I19" s="93">
        <f t="shared" si="1"/>
        <v>39312862.300000004</v>
      </c>
      <c r="J19" s="93">
        <f t="shared" si="1"/>
        <v>65799546.79999999</v>
      </c>
      <c r="K19" s="93">
        <f t="shared" si="1"/>
        <v>0</v>
      </c>
      <c r="L19" s="403"/>
      <c r="M19" s="403">
        <f>SUM(E19,G19,H19,I19,J19,K19)</f>
        <v>2308214045.2712703</v>
      </c>
    </row>
    <row r="20" spans="1:14" ht="20.100000000000001" customHeight="1">
      <c r="A20" s="43">
        <v>13</v>
      </c>
      <c r="B20" s="33" t="s">
        <v>180</v>
      </c>
      <c r="C20" s="35">
        <f t="shared" si="5"/>
        <v>2023</v>
      </c>
      <c r="E20" s="93">
        <f t="shared" si="0"/>
        <v>1247163554.7299998</v>
      </c>
      <c r="F20" s="86">
        <v>-1157022.4271883331</v>
      </c>
      <c r="G20" s="93">
        <f t="shared" si="2"/>
        <v>211863211.68416736</v>
      </c>
      <c r="H20" s="93">
        <f t="shared" si="3"/>
        <v>751333355.85710287</v>
      </c>
      <c r="I20" s="93">
        <f t="shared" si="1"/>
        <v>30604511.509999998</v>
      </c>
      <c r="J20" s="93">
        <f t="shared" si="1"/>
        <v>66069551.609999992</v>
      </c>
      <c r="K20" s="93">
        <f t="shared" si="1"/>
        <v>0</v>
      </c>
      <c r="L20" s="403"/>
      <c r="M20" s="403">
        <f t="shared" si="4"/>
        <v>2307034185.3912702</v>
      </c>
    </row>
    <row r="21" spans="1:14" ht="20.100000000000001" customHeight="1">
      <c r="E21" s="93"/>
      <c r="F21" s="93"/>
      <c r="G21" s="93"/>
      <c r="H21" s="93"/>
      <c r="I21" s="93"/>
      <c r="J21" s="93"/>
      <c r="K21" s="93"/>
      <c r="L21" s="403"/>
      <c r="M21" s="403"/>
    </row>
    <row r="22" spans="1:14" s="44" customFormat="1" ht="20.100000000000001" customHeight="1">
      <c r="A22" s="184">
        <v>14</v>
      </c>
      <c r="B22" s="44" t="s">
        <v>204</v>
      </c>
      <c r="D22" s="49" t="s">
        <v>527</v>
      </c>
      <c r="E22" s="402">
        <f>SUM(E8:E20)/13</f>
        <v>1238430029.4407692</v>
      </c>
      <c r="F22" s="402">
        <f>SUM(F8:F20)/13</f>
        <v>-764648.68718246138</v>
      </c>
      <c r="G22" s="402">
        <f t="shared" ref="G22:K22" si="6">SUM(G8:G20)/13</f>
        <v>212979236.68185377</v>
      </c>
      <c r="H22" s="402">
        <f>SUM(H8:H20)/13</f>
        <v>737472241.71557021</v>
      </c>
      <c r="I22" s="402">
        <f>SUM(I8:I20)/13</f>
        <v>36437650.632307701</v>
      </c>
      <c r="J22" s="402">
        <f>SUM(J8:J20)/13</f>
        <v>63815416.826923057</v>
      </c>
      <c r="K22" s="402">
        <f t="shared" si="6"/>
        <v>0</v>
      </c>
      <c r="L22" s="402"/>
      <c r="M22" s="402">
        <f t="shared" ref="M22" si="7">SUM(M8:M20)/13</f>
        <v>2289134575.2974234</v>
      </c>
    </row>
    <row r="23" spans="1:14" s="44" customFormat="1" ht="20.100000000000001" customHeight="1">
      <c r="A23" s="184"/>
      <c r="D23" s="49"/>
      <c r="E23" s="402"/>
      <c r="F23" s="402"/>
      <c r="G23" s="402"/>
      <c r="H23" s="402"/>
      <c r="I23" s="402"/>
      <c r="J23" s="402"/>
      <c r="K23" s="402"/>
      <c r="L23" s="402"/>
      <c r="M23" s="402"/>
    </row>
    <row r="24" spans="1:14" ht="20.100000000000001" customHeight="1">
      <c r="A24" s="42"/>
    </row>
    <row r="25" spans="1:14" ht="20.100000000000001" customHeight="1">
      <c r="E25" s="41" t="s">
        <v>196</v>
      </c>
      <c r="F25" s="41" t="s">
        <v>24</v>
      </c>
      <c r="G25" s="41" t="s">
        <v>197</v>
      </c>
      <c r="H25" s="41" t="s">
        <v>199</v>
      </c>
      <c r="I25" s="41" t="s">
        <v>198</v>
      </c>
      <c r="J25" s="41" t="s">
        <v>200</v>
      </c>
      <c r="K25" s="33"/>
      <c r="M25" s="41" t="s">
        <v>9</v>
      </c>
    </row>
    <row r="26" spans="1:14" ht="20.100000000000001" customHeight="1">
      <c r="E26" s="33"/>
      <c r="F26" s="33"/>
      <c r="G26" s="386"/>
      <c r="H26" s="386"/>
      <c r="I26" s="386"/>
      <c r="J26" s="41"/>
      <c r="K26" s="33"/>
    </row>
    <row r="27" spans="1:14" ht="20.100000000000001" customHeight="1">
      <c r="D27" s="37" t="s">
        <v>218</v>
      </c>
      <c r="E27" s="40" t="s">
        <v>40</v>
      </c>
      <c r="F27" s="40" t="s">
        <v>208</v>
      </c>
      <c r="G27" s="40" t="s">
        <v>41</v>
      </c>
      <c r="H27" s="40" t="s">
        <v>209</v>
      </c>
      <c r="I27" s="40" t="s">
        <v>210</v>
      </c>
      <c r="J27" s="43">
        <v>356.1</v>
      </c>
      <c r="K27" s="33"/>
    </row>
    <row r="28" spans="1:14" ht="20.100000000000001" customHeight="1">
      <c r="A28" s="43">
        <v>15</v>
      </c>
      <c r="B28" s="33" t="s">
        <v>180</v>
      </c>
      <c r="C28" s="35">
        <f>C8</f>
        <v>2022</v>
      </c>
      <c r="E28" s="86">
        <v>1253866818.0499997</v>
      </c>
      <c r="F28" s="86">
        <v>211560281.466979</v>
      </c>
      <c r="G28" s="86">
        <v>724689619.24429095</v>
      </c>
      <c r="H28" s="86">
        <v>34581311.130000003</v>
      </c>
      <c r="I28" s="86">
        <v>61198265.039999999</v>
      </c>
      <c r="J28" s="86"/>
      <c r="K28" s="87"/>
      <c r="M28" s="87">
        <f t="shared" ref="M28:M40" si="8">SUM(E28:J28)</f>
        <v>2285896294.9312696</v>
      </c>
    </row>
    <row r="29" spans="1:14" ht="20.100000000000001" customHeight="1">
      <c r="A29" s="43">
        <v>16</v>
      </c>
      <c r="B29" s="33" t="s">
        <v>181</v>
      </c>
      <c r="C29" s="35">
        <f>C28+1</f>
        <v>2023</v>
      </c>
      <c r="E29" s="86">
        <v>1236203360.73</v>
      </c>
      <c r="F29" s="86">
        <v>212229734.39697897</v>
      </c>
      <c r="G29" s="86">
        <v>727328524.22429097</v>
      </c>
      <c r="H29" s="86">
        <v>34996699.600000001</v>
      </c>
      <c r="I29" s="86">
        <v>61817235.589999996</v>
      </c>
      <c r="J29" s="86"/>
      <c r="K29" s="87"/>
      <c r="M29" s="87">
        <f t="shared" si="8"/>
        <v>2272575554.5412698</v>
      </c>
      <c r="N29" s="93"/>
    </row>
    <row r="30" spans="1:14" ht="20.100000000000001" customHeight="1">
      <c r="A30" s="43">
        <v>17</v>
      </c>
      <c r="B30" s="33" t="s">
        <v>182</v>
      </c>
      <c r="C30" s="35">
        <f>C29</f>
        <v>2023</v>
      </c>
      <c r="E30" s="86">
        <v>1239488472.96</v>
      </c>
      <c r="F30" s="86">
        <v>211343841.58697897</v>
      </c>
      <c r="G30" s="86">
        <v>729607968.43429101</v>
      </c>
      <c r="H30" s="86">
        <v>35405716</v>
      </c>
      <c r="I30" s="86">
        <v>62436320.979999997</v>
      </c>
      <c r="J30" s="86"/>
      <c r="K30" s="87"/>
      <c r="M30" s="87">
        <f t="shared" si="8"/>
        <v>2278282319.9612699</v>
      </c>
      <c r="N30" s="93"/>
    </row>
    <row r="31" spans="1:14" ht="20.100000000000001" customHeight="1">
      <c r="A31" s="43">
        <v>18</v>
      </c>
      <c r="B31" s="33" t="s">
        <v>183</v>
      </c>
      <c r="C31" s="35">
        <f t="shared" ref="C31:C40" si="9">C30</f>
        <v>2023</v>
      </c>
      <c r="E31" s="86">
        <v>1240119406.8699999</v>
      </c>
      <c r="F31" s="86">
        <v>212183487.46697897</v>
      </c>
      <c r="G31" s="86">
        <v>730888691.944291</v>
      </c>
      <c r="H31" s="86">
        <v>35846696.400000006</v>
      </c>
      <c r="I31" s="86">
        <v>63033763.209999993</v>
      </c>
      <c r="J31" s="86"/>
      <c r="K31" s="87"/>
      <c r="M31" s="87">
        <f>SUM(E31:J31)</f>
        <v>2282072045.8912702</v>
      </c>
      <c r="N31" s="93"/>
    </row>
    <row r="32" spans="1:14" ht="20.100000000000001" customHeight="1">
      <c r="A32" s="43">
        <v>19</v>
      </c>
      <c r="B32" s="33" t="s">
        <v>184</v>
      </c>
      <c r="C32" s="35">
        <f t="shared" si="9"/>
        <v>2023</v>
      </c>
      <c r="E32" s="86">
        <v>1243009819.2899997</v>
      </c>
      <c r="F32" s="86">
        <v>213128662.40697896</v>
      </c>
      <c r="G32" s="86">
        <v>733638361.66429102</v>
      </c>
      <c r="H32" s="86">
        <v>36319691.540000007</v>
      </c>
      <c r="I32" s="86">
        <v>63656060.849999994</v>
      </c>
      <c r="J32" s="86"/>
      <c r="K32" s="87"/>
      <c r="M32" s="87">
        <f t="shared" si="8"/>
        <v>2289752595.7512693</v>
      </c>
      <c r="N32" s="93"/>
    </row>
    <row r="33" spans="1:14" ht="20.100000000000001" customHeight="1">
      <c r="A33" s="43">
        <v>20</v>
      </c>
      <c r="B33" s="33" t="s">
        <v>185</v>
      </c>
      <c r="C33" s="35">
        <f t="shared" si="9"/>
        <v>2023</v>
      </c>
      <c r="E33" s="86">
        <v>1246653490.0799997</v>
      </c>
      <c r="F33" s="86">
        <v>213647297.88697895</v>
      </c>
      <c r="G33" s="86">
        <v>734843996.944291</v>
      </c>
      <c r="H33" s="86">
        <v>36794532.080000013</v>
      </c>
      <c r="I33" s="86">
        <v>64193652.719999991</v>
      </c>
      <c r="J33" s="86"/>
      <c r="K33" s="87"/>
      <c r="M33" s="87">
        <f t="shared" si="8"/>
        <v>2296132969.7112694</v>
      </c>
      <c r="N33" s="93"/>
    </row>
    <row r="34" spans="1:14" ht="20.100000000000001" customHeight="1">
      <c r="A34" s="43">
        <v>21</v>
      </c>
      <c r="B34" s="33" t="s">
        <v>195</v>
      </c>
      <c r="C34" s="35">
        <f t="shared" si="9"/>
        <v>2023</v>
      </c>
      <c r="E34" s="86">
        <v>1231124477.0299997</v>
      </c>
      <c r="F34" s="86">
        <v>214023228.01697898</v>
      </c>
      <c r="G34" s="86">
        <v>737838633.35429096</v>
      </c>
      <c r="H34" s="86">
        <v>37273863.890000001</v>
      </c>
      <c r="I34" s="86">
        <v>64594981.309999995</v>
      </c>
      <c r="J34" s="86"/>
      <c r="K34" s="87"/>
      <c r="M34" s="87">
        <f>SUM(E34:J34)</f>
        <v>2284855183.6012697</v>
      </c>
      <c r="N34" s="93"/>
    </row>
    <row r="35" spans="1:14" ht="20.100000000000001" customHeight="1">
      <c r="A35" s="43">
        <v>22</v>
      </c>
      <c r="B35" s="33" t="s">
        <v>186</v>
      </c>
      <c r="C35" s="35">
        <f t="shared" si="9"/>
        <v>2023</v>
      </c>
      <c r="E35" s="86">
        <v>1234771441.8899999</v>
      </c>
      <c r="F35" s="86">
        <v>214621546.87697899</v>
      </c>
      <c r="G35" s="86">
        <v>740468092.17429101</v>
      </c>
      <c r="H35" s="86">
        <v>37441172.720000014</v>
      </c>
      <c r="I35" s="86">
        <v>63308397.639999993</v>
      </c>
      <c r="J35" s="86"/>
      <c r="K35" s="87"/>
      <c r="M35" s="87">
        <f t="shared" si="8"/>
        <v>2290610651.3012695</v>
      </c>
      <c r="N35" s="93"/>
    </row>
    <row r="36" spans="1:14" ht="20.100000000000001" customHeight="1">
      <c r="A36" s="43">
        <v>23</v>
      </c>
      <c r="B36" s="33" t="s">
        <v>187</v>
      </c>
      <c r="C36" s="35">
        <f t="shared" si="9"/>
        <v>2023</v>
      </c>
      <c r="E36" s="86">
        <v>1237104351.8599999</v>
      </c>
      <c r="F36" s="86">
        <v>211086274.836979</v>
      </c>
      <c r="G36" s="86">
        <v>743276056.564291</v>
      </c>
      <c r="H36" s="86">
        <v>37902024.980000004</v>
      </c>
      <c r="I36" s="86">
        <v>63949199.219999991</v>
      </c>
      <c r="J36" s="86"/>
      <c r="K36" s="87"/>
      <c r="M36" s="87">
        <f t="shared" si="8"/>
        <v>2293317907.4612694</v>
      </c>
      <c r="N36" s="93"/>
    </row>
    <row r="37" spans="1:14" ht="20.100000000000001" customHeight="1">
      <c r="A37" s="43">
        <v>24</v>
      </c>
      <c r="B37" s="33" t="s">
        <v>188</v>
      </c>
      <c r="C37" s="35">
        <f t="shared" si="9"/>
        <v>2023</v>
      </c>
      <c r="E37" s="86">
        <v>1239302303.25</v>
      </c>
      <c r="F37" s="86">
        <v>211902186.88697901</v>
      </c>
      <c r="G37" s="86">
        <v>745347751.00429106</v>
      </c>
      <c r="H37" s="86">
        <v>38369250.910000011</v>
      </c>
      <c r="I37" s="86">
        <v>64576874.859999992</v>
      </c>
      <c r="J37" s="86"/>
      <c r="K37" s="87"/>
      <c r="M37" s="87">
        <f>SUM(E37:J37)</f>
        <v>2299498366.9112701</v>
      </c>
      <c r="N37" s="93"/>
    </row>
    <row r="38" spans="1:14" ht="20.100000000000001" customHeight="1">
      <c r="A38" s="43">
        <v>25</v>
      </c>
      <c r="B38" s="33" t="s">
        <v>190</v>
      </c>
      <c r="C38" s="35">
        <f t="shared" si="9"/>
        <v>2023</v>
      </c>
      <c r="E38" s="86">
        <v>1242515038.3399999</v>
      </c>
      <c r="F38" s="86">
        <v>212614689.20697901</v>
      </c>
      <c r="G38" s="86">
        <v>746263204.69429111</v>
      </c>
      <c r="H38" s="86">
        <v>38841125.160000004</v>
      </c>
      <c r="I38" s="86">
        <v>65202331.219999991</v>
      </c>
      <c r="J38" s="86"/>
      <c r="K38" s="87"/>
      <c r="M38" s="87">
        <f t="shared" si="8"/>
        <v>2305436388.6212697</v>
      </c>
      <c r="N38" s="93"/>
    </row>
    <row r="39" spans="1:14" ht="20.100000000000001" customHeight="1">
      <c r="A39" s="43">
        <v>26</v>
      </c>
      <c r="B39" s="33" t="s">
        <v>189</v>
      </c>
      <c r="C39" s="35">
        <f t="shared" si="9"/>
        <v>2023</v>
      </c>
      <c r="E39" s="86">
        <v>1246079050.1399999</v>
      </c>
      <c r="F39" s="86">
        <v>209749556.63697901</v>
      </c>
      <c r="G39" s="86">
        <v>750398296.70429111</v>
      </c>
      <c r="H39" s="86">
        <v>39312862.300000004</v>
      </c>
      <c r="I39" s="86">
        <v>65821648.979999989</v>
      </c>
      <c r="J39" s="86"/>
      <c r="K39" s="87"/>
      <c r="M39" s="87">
        <f t="shared" si="8"/>
        <v>2311361414.76127</v>
      </c>
      <c r="N39" s="93"/>
    </row>
    <row r="40" spans="1:14" ht="20.100000000000001" customHeight="1">
      <c r="A40" s="43">
        <v>27</v>
      </c>
      <c r="B40" s="33" t="s">
        <v>180</v>
      </c>
      <c r="C40" s="35">
        <f t="shared" si="9"/>
        <v>2023</v>
      </c>
      <c r="E40" s="86">
        <v>1250283422.9099998</v>
      </c>
      <c r="F40" s="86">
        <v>210706810.69697902</v>
      </c>
      <c r="G40" s="86">
        <v>752490378.28429115</v>
      </c>
      <c r="H40" s="86">
        <v>30604511.509999998</v>
      </c>
      <c r="I40" s="86">
        <v>66091765.249999993</v>
      </c>
      <c r="J40" s="86"/>
      <c r="K40" s="87"/>
      <c r="M40" s="87">
        <f t="shared" si="8"/>
        <v>2310176888.6512704</v>
      </c>
      <c r="N40" s="93"/>
    </row>
    <row r="41" spans="1:14" ht="20.100000000000001" customHeight="1">
      <c r="E41" s="88"/>
      <c r="F41" s="88"/>
      <c r="G41" s="88"/>
      <c r="H41" s="88"/>
      <c r="I41" s="88"/>
      <c r="J41" s="88"/>
      <c r="K41" s="87"/>
      <c r="M41" s="87"/>
    </row>
    <row r="42" spans="1:14" ht="20.100000000000001" customHeight="1">
      <c r="A42" s="43">
        <v>28</v>
      </c>
      <c r="B42" s="33" t="s">
        <v>204</v>
      </c>
      <c r="E42" s="88">
        <f t="shared" ref="E42:I42" si="10">SUM(E28:E40)/13</f>
        <v>1241578573.3384614</v>
      </c>
      <c r="F42" s="88">
        <f t="shared" si="10"/>
        <v>212215199.87467131</v>
      </c>
      <c r="G42" s="88">
        <f t="shared" si="10"/>
        <v>738236890.40275252</v>
      </c>
      <c r="H42" s="88">
        <f t="shared" si="10"/>
        <v>36437650.632307701</v>
      </c>
      <c r="I42" s="88">
        <f t="shared" si="10"/>
        <v>63836961.297692306</v>
      </c>
      <c r="J42" s="88">
        <f>SUM(J28:J40)/13</f>
        <v>0</v>
      </c>
      <c r="K42" s="88"/>
      <c r="M42" s="88">
        <f>SUM(M28:M40)/13</f>
        <v>2292305275.5458851</v>
      </c>
    </row>
    <row r="43" spans="1:14" ht="20.100000000000001" customHeight="1"/>
    <row r="44" spans="1:14" ht="20.100000000000001" customHeight="1"/>
    <row r="45" spans="1:14" ht="20.100000000000001" customHeight="1">
      <c r="B45" s="53" t="s">
        <v>550</v>
      </c>
      <c r="C45" s="840"/>
      <c r="D45" s="840"/>
      <c r="E45" s="841"/>
      <c r="F45" s="841"/>
      <c r="G45" s="56"/>
      <c r="H45" s="384"/>
      <c r="I45" s="384"/>
      <c r="J45" s="389"/>
      <c r="L45" s="842"/>
      <c r="M45" s="843"/>
      <c r="N45" s="843"/>
    </row>
    <row r="46" spans="1:14" ht="20.100000000000001" customHeight="1">
      <c r="B46" s="57"/>
      <c r="E46" s="41" t="s">
        <v>196</v>
      </c>
      <c r="F46" s="41" t="s">
        <v>24</v>
      </c>
      <c r="G46" s="41" t="s">
        <v>197</v>
      </c>
      <c r="H46" s="41" t="s">
        <v>199</v>
      </c>
      <c r="I46" s="41" t="s">
        <v>198</v>
      </c>
      <c r="J46" s="382" t="s">
        <v>200</v>
      </c>
      <c r="L46" s="33"/>
    </row>
    <row r="47" spans="1:14" ht="20.100000000000001" customHeight="1">
      <c r="B47" s="57"/>
      <c r="E47" s="33"/>
      <c r="F47" s="41"/>
      <c r="G47" s="41"/>
      <c r="H47" s="33"/>
      <c r="I47" s="41"/>
      <c r="J47" s="58"/>
      <c r="L47" s="33"/>
    </row>
    <row r="48" spans="1:14" ht="20.100000000000001" customHeight="1">
      <c r="B48" s="57"/>
      <c r="D48" s="37" t="s">
        <v>218</v>
      </c>
      <c r="E48" s="33" t="s">
        <v>547</v>
      </c>
      <c r="F48" s="40" t="s">
        <v>547</v>
      </c>
      <c r="G48" s="40" t="s">
        <v>547</v>
      </c>
      <c r="H48" s="33" t="s">
        <v>547</v>
      </c>
      <c r="I48" s="40" t="s">
        <v>547</v>
      </c>
      <c r="J48" s="58" t="s">
        <v>547</v>
      </c>
      <c r="L48" s="33"/>
    </row>
    <row r="49" spans="1:12" ht="20.100000000000001" customHeight="1">
      <c r="A49" s="43">
        <v>29</v>
      </c>
      <c r="B49" s="57" t="s">
        <v>180</v>
      </c>
      <c r="C49" s="35">
        <f>C8</f>
        <v>2022</v>
      </c>
      <c r="E49" s="86">
        <v>3177219.5900000008</v>
      </c>
      <c r="F49" s="86">
        <v>602.10000000000036</v>
      </c>
      <c r="G49" s="86"/>
      <c r="H49" s="390"/>
      <c r="I49" s="86">
        <v>20875.46</v>
      </c>
      <c r="J49" s="391"/>
      <c r="L49" s="33"/>
    </row>
    <row r="50" spans="1:12" ht="20.100000000000001" customHeight="1">
      <c r="A50" s="43">
        <v>30</v>
      </c>
      <c r="B50" s="57" t="s">
        <v>181</v>
      </c>
      <c r="C50" s="35">
        <f>C49+1</f>
        <v>2023</v>
      </c>
      <c r="E50" s="86">
        <v>3172440.3299999996</v>
      </c>
      <c r="F50" s="86">
        <v>603.94000000000005</v>
      </c>
      <c r="G50" s="86"/>
      <c r="H50" s="390"/>
      <c r="I50" s="86">
        <v>20986.82</v>
      </c>
      <c r="J50" s="391"/>
      <c r="L50" s="33"/>
    </row>
    <row r="51" spans="1:12" ht="20.100000000000001" customHeight="1">
      <c r="A51" s="43">
        <v>31</v>
      </c>
      <c r="B51" s="57" t="s">
        <v>182</v>
      </c>
      <c r="C51" s="35">
        <f>C50</f>
        <v>2023</v>
      </c>
      <c r="E51" s="86">
        <v>3167661.0500000003</v>
      </c>
      <c r="F51" s="86">
        <v>605.54</v>
      </c>
      <c r="G51" s="86"/>
      <c r="H51" s="390"/>
      <c r="I51" s="86">
        <v>21098.31</v>
      </c>
      <c r="J51" s="391"/>
      <c r="L51" s="33"/>
    </row>
    <row r="52" spans="1:12" ht="20.100000000000001" customHeight="1">
      <c r="A52" s="43">
        <v>32</v>
      </c>
      <c r="B52" s="57" t="s">
        <v>183</v>
      </c>
      <c r="C52" s="35">
        <f t="shared" ref="C52:C61" si="11">C51</f>
        <v>2023</v>
      </c>
      <c r="E52" s="86">
        <v>3162881.78</v>
      </c>
      <c r="F52" s="86">
        <v>607.12</v>
      </c>
      <c r="G52" s="86"/>
      <c r="H52" s="390"/>
      <c r="I52" s="86">
        <v>21209.82</v>
      </c>
      <c r="J52" s="391"/>
      <c r="L52" s="33"/>
    </row>
    <row r="53" spans="1:12" ht="20.100000000000001" customHeight="1">
      <c r="A53" s="43">
        <v>33</v>
      </c>
      <c r="B53" s="57" t="s">
        <v>184</v>
      </c>
      <c r="C53" s="35">
        <f t="shared" si="11"/>
        <v>2023</v>
      </c>
      <c r="E53" s="86">
        <v>3158102.48</v>
      </c>
      <c r="F53" s="86">
        <v>608.72</v>
      </c>
      <c r="G53" s="86"/>
      <c r="H53" s="390"/>
      <c r="I53" s="86">
        <v>21321.38</v>
      </c>
      <c r="J53" s="391"/>
      <c r="L53" s="33"/>
    </row>
    <row r="54" spans="1:12" ht="20.100000000000001" customHeight="1">
      <c r="A54" s="43">
        <v>34</v>
      </c>
      <c r="B54" s="57" t="s">
        <v>185</v>
      </c>
      <c r="C54" s="35">
        <f t="shared" si="11"/>
        <v>2023</v>
      </c>
      <c r="E54" s="86">
        <v>3153323.19</v>
      </c>
      <c r="F54" s="86">
        <v>610.32000000000005</v>
      </c>
      <c r="G54" s="86"/>
      <c r="H54" s="390"/>
      <c r="I54" s="86">
        <v>21432.959999999999</v>
      </c>
      <c r="J54" s="391"/>
      <c r="L54" s="33"/>
    </row>
    <row r="55" spans="1:12" ht="20.100000000000001" customHeight="1">
      <c r="A55" s="43">
        <v>35</v>
      </c>
      <c r="B55" s="57" t="s">
        <v>195</v>
      </c>
      <c r="C55" s="35">
        <f t="shared" si="11"/>
        <v>2023</v>
      </c>
      <c r="E55" s="86">
        <v>3148543.9000000004</v>
      </c>
      <c r="F55" s="86">
        <v>611.9</v>
      </c>
      <c r="G55" s="86"/>
      <c r="H55" s="390"/>
      <c r="I55" s="86">
        <v>21544.45</v>
      </c>
      <c r="J55" s="391"/>
      <c r="L55" s="33"/>
    </row>
    <row r="56" spans="1:12" ht="20.100000000000001" customHeight="1">
      <c r="A56" s="43">
        <v>36</v>
      </c>
      <c r="B56" s="57" t="s">
        <v>186</v>
      </c>
      <c r="C56" s="35">
        <f t="shared" si="11"/>
        <v>2023</v>
      </c>
      <c r="E56" s="86">
        <v>3143764.6100000003</v>
      </c>
      <c r="F56" s="86">
        <v>613.48</v>
      </c>
      <c r="G56" s="86"/>
      <c r="H56" s="390"/>
      <c r="I56" s="86">
        <v>21655.95</v>
      </c>
      <c r="J56" s="391"/>
      <c r="L56" s="33"/>
    </row>
    <row r="57" spans="1:12" ht="20.100000000000001" customHeight="1">
      <c r="A57" s="43">
        <v>37</v>
      </c>
      <c r="B57" s="57" t="s">
        <v>187</v>
      </c>
      <c r="C57" s="35">
        <f t="shared" si="11"/>
        <v>2023</v>
      </c>
      <c r="E57" s="86">
        <v>3138985.3299999996</v>
      </c>
      <c r="F57" s="86">
        <v>615.08000000000004</v>
      </c>
      <c r="G57" s="86"/>
      <c r="H57" s="390"/>
      <c r="I57" s="86">
        <v>21767.52</v>
      </c>
      <c r="J57" s="391"/>
      <c r="L57" s="33"/>
    </row>
    <row r="58" spans="1:12" ht="20.100000000000001" customHeight="1">
      <c r="A58" s="43">
        <v>38</v>
      </c>
      <c r="B58" s="57" t="s">
        <v>188</v>
      </c>
      <c r="C58" s="35">
        <f t="shared" si="11"/>
        <v>2023</v>
      </c>
      <c r="E58" s="86">
        <v>3134206.03</v>
      </c>
      <c r="F58" s="86">
        <v>616.68000000000006</v>
      </c>
      <c r="G58" s="86"/>
      <c r="H58" s="390"/>
      <c r="I58" s="86">
        <v>21879.06</v>
      </c>
      <c r="J58" s="391"/>
      <c r="L58" s="33"/>
    </row>
    <row r="59" spans="1:12" ht="20.100000000000001" customHeight="1">
      <c r="A59" s="43">
        <v>39</v>
      </c>
      <c r="B59" s="57" t="s">
        <v>190</v>
      </c>
      <c r="C59" s="35">
        <f t="shared" si="11"/>
        <v>2023</v>
      </c>
      <c r="E59" s="86">
        <v>3129426.7499999995</v>
      </c>
      <c r="F59" s="86">
        <v>618.26</v>
      </c>
      <c r="G59" s="86"/>
      <c r="H59" s="390"/>
      <c r="I59" s="86">
        <v>21990.57</v>
      </c>
      <c r="J59" s="391"/>
      <c r="L59" s="33"/>
    </row>
    <row r="60" spans="1:12" ht="20.100000000000001" customHeight="1">
      <c r="A60" s="43">
        <v>40</v>
      </c>
      <c r="B60" s="57" t="s">
        <v>189</v>
      </c>
      <c r="C60" s="35">
        <f t="shared" si="11"/>
        <v>2023</v>
      </c>
      <c r="E60" s="86">
        <v>3124647.45</v>
      </c>
      <c r="F60" s="86">
        <v>619.86</v>
      </c>
      <c r="G60" s="86"/>
      <c r="H60" s="390"/>
      <c r="I60" s="86">
        <v>22102.18</v>
      </c>
      <c r="J60" s="391"/>
      <c r="L60" s="33"/>
    </row>
    <row r="61" spans="1:12" ht="20.100000000000001" customHeight="1">
      <c r="A61" s="43">
        <v>41</v>
      </c>
      <c r="B61" s="57" t="s">
        <v>180</v>
      </c>
      <c r="C61" s="35">
        <f t="shared" si="11"/>
        <v>2023</v>
      </c>
      <c r="E61" s="86">
        <v>3119868.1799999997</v>
      </c>
      <c r="F61" s="86">
        <v>621.44000000000005</v>
      </c>
      <c r="G61" s="86"/>
      <c r="H61" s="390"/>
      <c r="I61" s="86">
        <v>22213.64</v>
      </c>
      <c r="J61" s="391"/>
      <c r="L61" s="33"/>
    </row>
    <row r="62" spans="1:12" ht="20.100000000000001" customHeight="1">
      <c r="B62" s="57"/>
      <c r="E62" s="33"/>
      <c r="F62" s="90"/>
      <c r="G62" s="33"/>
      <c r="H62" s="33"/>
      <c r="I62" s="33"/>
      <c r="J62" s="58"/>
      <c r="L62" s="33"/>
    </row>
    <row r="63" spans="1:12" ht="20.100000000000001" customHeight="1">
      <c r="A63" s="43">
        <v>42</v>
      </c>
      <c r="B63" s="59" t="s">
        <v>204</v>
      </c>
      <c r="C63" s="60"/>
      <c r="D63" s="60"/>
      <c r="E63" s="91">
        <f t="shared" ref="E63" si="12">SUM(E49:E61)/13</f>
        <v>3148543.8976923078</v>
      </c>
      <c r="F63" s="91">
        <f>SUM(F49:F61)/13</f>
        <v>611.88</v>
      </c>
      <c r="G63" s="91">
        <f>SUM(G49:G61)/13</f>
        <v>0</v>
      </c>
      <c r="H63" s="91">
        <f>SUM(H49:H61)/13</f>
        <v>0</v>
      </c>
      <c r="I63" s="91">
        <f>SUM(I49:I61)/13</f>
        <v>21544.470769230767</v>
      </c>
      <c r="J63" s="383">
        <f>SUM(J49:J61)/13</f>
        <v>0</v>
      </c>
      <c r="L63" s="33"/>
    </row>
    <row r="65" spans="1:2" ht="20.100000000000001" customHeight="1">
      <c r="A65" s="33" t="s">
        <v>206</v>
      </c>
    </row>
    <row r="66" spans="1:2" ht="20.100000000000001" customHeight="1">
      <c r="A66" s="39" t="s">
        <v>205</v>
      </c>
      <c r="B66" s="33" t="s">
        <v>901</v>
      </c>
    </row>
    <row r="67" spans="1:2" ht="20.100000000000001" customHeight="1">
      <c r="A67" s="39" t="s">
        <v>218</v>
      </c>
      <c r="B67" s="33" t="s">
        <v>207</v>
      </c>
    </row>
    <row r="68" spans="1:2" ht="20.100000000000001" customHeight="1">
      <c r="A68" s="39" t="s">
        <v>257</v>
      </c>
      <c r="B68" s="33" t="s">
        <v>552</v>
      </c>
    </row>
    <row r="69" spans="1:2" ht="20.100000000000001" customHeight="1">
      <c r="A69" s="39" t="s">
        <v>267</v>
      </c>
      <c r="B69" s="33" t="s">
        <v>752</v>
      </c>
    </row>
    <row r="70" spans="1:2">
      <c r="A70" s="39" t="s">
        <v>268</v>
      </c>
      <c r="B70" s="33" t="s">
        <v>800</v>
      </c>
    </row>
    <row r="71" spans="1:2" ht="20.100000000000001" customHeight="1">
      <c r="A71" s="39" t="s">
        <v>631</v>
      </c>
      <c r="B71" s="33" t="s">
        <v>796</v>
      </c>
    </row>
  </sheetData>
  <pageMargins left="0.7" right="0.7" top="0.75" bottom="0.75" header="0.3" footer="0.3"/>
  <pageSetup scale="43"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O36"/>
  <sheetViews>
    <sheetView view="pageBreakPreview" zoomScale="60" zoomScaleNormal="80" workbookViewId="0"/>
  </sheetViews>
  <sheetFormatPr defaultColWidth="8.88671875" defaultRowHeight="20.100000000000001" customHeight="1"/>
  <cols>
    <col min="1" max="1" width="3.5546875" style="39" customWidth="1"/>
    <col min="2" max="2" width="17.33203125" style="33" customWidth="1"/>
    <col min="3" max="3" width="10" style="33" customWidth="1"/>
    <col min="4" max="4" width="5.6640625" style="33" customWidth="1"/>
    <col min="5" max="5" width="15.109375" style="39" customWidth="1"/>
    <col min="6" max="6" width="15.5546875" style="39" customWidth="1"/>
    <col min="7" max="7" width="15" style="39" customWidth="1"/>
    <col min="8" max="8" width="16" style="39" customWidth="1"/>
    <col min="9" max="10" width="16.33203125" style="39" customWidth="1"/>
    <col min="11" max="11" width="18.109375" style="33" customWidth="1"/>
    <col min="12" max="12" width="15.88671875" style="33" customWidth="1"/>
    <col min="13" max="14" width="8.88671875" style="33"/>
    <col min="15" max="15" width="12.5546875" style="33" bestFit="1" customWidth="1"/>
    <col min="16" max="16384" width="8.88671875" style="33"/>
  </cols>
  <sheetData>
    <row r="1" spans="1:13" ht="20.100000000000001" customHeight="1">
      <c r="M1" s="3" t="str">
        <f>'Attachment H-11A '!K1&amp;""&amp;", Attachment 5"</f>
        <v>Attachment H -11A, Attachment 5</v>
      </c>
    </row>
    <row r="2" spans="1:13" ht="20.100000000000001" customHeight="1">
      <c r="M2" s="3" t="s">
        <v>168</v>
      </c>
    </row>
    <row r="3" spans="1:13" ht="20.100000000000001" customHeight="1">
      <c r="M3" s="3" t="str">
        <f>'Attachment H-11A '!K4</f>
        <v>For the 12 months ended 12/31/2023</v>
      </c>
    </row>
    <row r="4" spans="1:13" ht="20.100000000000001" customHeight="1">
      <c r="A4" s="42"/>
    </row>
    <row r="5" spans="1:13" ht="20.100000000000001" customHeight="1">
      <c r="A5" s="42"/>
      <c r="E5" s="377" t="s">
        <v>457</v>
      </c>
      <c r="F5" s="377" t="s">
        <v>458</v>
      </c>
      <c r="G5" s="377" t="s">
        <v>459</v>
      </c>
      <c r="H5" s="377" t="s">
        <v>460</v>
      </c>
      <c r="I5" s="377" t="s">
        <v>461</v>
      </c>
      <c r="J5" s="377"/>
      <c r="L5" s="377" t="s">
        <v>462</v>
      </c>
    </row>
    <row r="6" spans="1:13" ht="20.100000000000001" customHeight="1">
      <c r="E6" s="1111" t="s">
        <v>541</v>
      </c>
      <c r="F6" s="1111"/>
      <c r="G6" s="1111"/>
      <c r="H6" s="1111"/>
      <c r="I6" s="1111"/>
      <c r="J6" s="1111"/>
      <c r="K6" s="1111"/>
      <c r="L6" s="1111"/>
    </row>
    <row r="7" spans="1:13" ht="20.100000000000001" customHeight="1">
      <c r="E7" s="41" t="s">
        <v>211</v>
      </c>
      <c r="F7" s="41" t="s">
        <v>212</v>
      </c>
      <c r="G7" s="41" t="s">
        <v>213</v>
      </c>
      <c r="H7" s="41" t="s">
        <v>214</v>
      </c>
      <c r="I7" s="41" t="s">
        <v>215</v>
      </c>
      <c r="J7" s="41"/>
      <c r="L7" s="41" t="s">
        <v>9</v>
      </c>
    </row>
    <row r="8" spans="1:13" ht="20.100000000000001" customHeight="1">
      <c r="E8" s="47" t="s">
        <v>217</v>
      </c>
      <c r="F8" s="47" t="s">
        <v>217</v>
      </c>
      <c r="G8" s="47" t="s">
        <v>217</v>
      </c>
      <c r="H8" s="41"/>
      <c r="I8" s="47" t="s">
        <v>217</v>
      </c>
      <c r="J8" s="47"/>
    </row>
    <row r="9" spans="1:13" ht="20.100000000000001" customHeight="1">
      <c r="D9" s="37"/>
      <c r="E9" s="40"/>
      <c r="F9" s="40" t="s">
        <v>218</v>
      </c>
      <c r="G9" s="40" t="s">
        <v>257</v>
      </c>
      <c r="H9" s="40" t="s">
        <v>267</v>
      </c>
      <c r="I9" s="40" t="s">
        <v>268</v>
      </c>
      <c r="J9" s="40"/>
    </row>
    <row r="10" spans="1:13" ht="20.100000000000001" customHeight="1">
      <c r="A10" s="43">
        <v>1</v>
      </c>
      <c r="B10" s="46" t="s">
        <v>216</v>
      </c>
      <c r="C10" s="35" t="str">
        <f>MID(M3:M3,25,10)</f>
        <v>12/31/2023</v>
      </c>
      <c r="D10" s="48" t="s">
        <v>205</v>
      </c>
      <c r="E10" s="402">
        <f>-(E15)</f>
        <v>0</v>
      </c>
      <c r="F10" s="93">
        <f>-(F15-F24-G24-H24-I24-K24-J24)</f>
        <v>-109100670.0956136</v>
      </c>
      <c r="G10" s="93">
        <f>-(G15-F28-G28-H28-I28-K28-J28)</f>
        <v>-2662547.0963887684</v>
      </c>
      <c r="H10" s="93">
        <f>H15-F32-G32-H32-I32-K32-J32</f>
        <v>25488902.904745258</v>
      </c>
      <c r="I10" s="93">
        <v>0</v>
      </c>
      <c r="J10" s="93"/>
      <c r="L10" s="93">
        <f>SUM(E10:I10)</f>
        <v>-86274314.287257105</v>
      </c>
    </row>
    <row r="11" spans="1:13" ht="20.100000000000001" customHeight="1">
      <c r="D11" s="37"/>
      <c r="E11" s="40"/>
      <c r="F11" s="40"/>
      <c r="G11" s="40"/>
      <c r="H11" s="40"/>
      <c r="I11" s="40"/>
      <c r="J11" s="40"/>
    </row>
    <row r="13" spans="1:13" ht="20.100000000000001" customHeight="1">
      <c r="E13" s="1111" t="s">
        <v>879</v>
      </c>
      <c r="F13" s="1111"/>
      <c r="G13" s="1111"/>
      <c r="H13" s="1111"/>
      <c r="I13" s="1111"/>
      <c r="J13" s="1111"/>
      <c r="K13" s="1111"/>
      <c r="L13" s="1111"/>
    </row>
    <row r="14" spans="1:13" ht="20.100000000000001" customHeight="1">
      <c r="E14" s="41" t="s">
        <v>211</v>
      </c>
      <c r="F14" s="41" t="s">
        <v>212</v>
      </c>
      <c r="G14" s="41" t="s">
        <v>213</v>
      </c>
      <c r="H14" s="41" t="s">
        <v>214</v>
      </c>
      <c r="I14" s="41" t="s">
        <v>215</v>
      </c>
      <c r="J14" s="41"/>
      <c r="L14" s="41" t="s">
        <v>9</v>
      </c>
    </row>
    <row r="15" spans="1:13" ht="20.100000000000001" customHeight="1">
      <c r="A15" s="43">
        <v>2</v>
      </c>
      <c r="B15" s="46" t="s">
        <v>216</v>
      </c>
      <c r="C15" s="35" t="str">
        <f>C10</f>
        <v>12/31/2023</v>
      </c>
      <c r="D15" s="48" t="s">
        <v>512</v>
      </c>
      <c r="E15" s="88">
        <f>'Attachment 5a - ADIT Detail'!E13</f>
        <v>0</v>
      </c>
      <c r="F15" s="88">
        <f>'Attachment 5a - ADIT Detail'!E10</f>
        <v>94757611.549086094</v>
      </c>
      <c r="G15" s="88">
        <f>'Attachment 5a - ADIT Detail'!E11</f>
        <v>-3803590.8209697763</v>
      </c>
      <c r="H15" s="88">
        <f>'Attachment 5a - ADIT Detail'!E12</f>
        <v>25830190.002220109</v>
      </c>
      <c r="I15" s="88">
        <f>'Attachment 5a - ADIT Detail'!E14</f>
        <v>0</v>
      </c>
      <c r="J15" s="88"/>
      <c r="L15" s="88">
        <f t="shared" ref="L15" si="0">SUM(E15:I15)</f>
        <v>116784210.73033643</v>
      </c>
    </row>
    <row r="16" spans="1:13" ht="20.100000000000001" customHeight="1">
      <c r="B16" s="46"/>
      <c r="C16" s="35"/>
      <c r="E16" s="47"/>
      <c r="F16" s="47"/>
      <c r="G16" s="47"/>
      <c r="H16" s="41"/>
      <c r="I16" s="47"/>
      <c r="J16" s="47"/>
    </row>
    <row r="18" spans="1:14" ht="20.100000000000001" customHeight="1">
      <c r="A18" s="33" t="s">
        <v>206</v>
      </c>
      <c r="D18" s="39"/>
      <c r="I18" s="33"/>
      <c r="J18" s="33"/>
    </row>
    <row r="19" spans="1:14" ht="33.75" customHeight="1">
      <c r="A19" s="112" t="s">
        <v>205</v>
      </c>
      <c r="B19" s="1110" t="s">
        <v>902</v>
      </c>
      <c r="C19" s="1110"/>
      <c r="D19" s="1110"/>
      <c r="E19" s="1110"/>
      <c r="F19" s="1110"/>
      <c r="G19" s="1110"/>
      <c r="H19" s="1110"/>
      <c r="I19" s="1110"/>
      <c r="J19" s="1110"/>
      <c r="K19" s="1110"/>
      <c r="L19" s="1110"/>
      <c r="M19" s="1110"/>
    </row>
    <row r="20" spans="1:14" ht="20.100000000000001" customHeight="1">
      <c r="B20" s="1112"/>
      <c r="C20" s="1112"/>
      <c r="D20" s="1112"/>
      <c r="E20" s="1112"/>
      <c r="F20" s="1112"/>
      <c r="G20" s="1112"/>
      <c r="H20" s="1112"/>
      <c r="I20" s="1112"/>
      <c r="J20" s="1112"/>
      <c r="K20" s="1112"/>
      <c r="L20" s="1112"/>
    </row>
    <row r="21" spans="1:14" ht="20.100000000000001" customHeight="1">
      <c r="A21" s="39" t="s">
        <v>218</v>
      </c>
      <c r="B21" s="1112" t="s">
        <v>269</v>
      </c>
      <c r="C21" s="1112"/>
      <c r="D21" s="1112"/>
      <c r="E21" s="1112"/>
      <c r="F21" s="1112"/>
      <c r="G21" s="1112"/>
      <c r="H21" s="1112"/>
      <c r="I21" s="1112"/>
      <c r="J21" s="1112"/>
      <c r="K21" s="1112"/>
      <c r="L21" s="1112"/>
    </row>
    <row r="22" spans="1:14" ht="20.100000000000001" customHeight="1">
      <c r="B22" s="236"/>
      <c r="C22" s="236"/>
      <c r="D22" s="236"/>
      <c r="E22" s="236"/>
      <c r="F22" s="236"/>
      <c r="I22" s="236"/>
      <c r="J22" s="236"/>
      <c r="K22" s="236"/>
    </row>
    <row r="23" spans="1:14" ht="50.25" customHeight="1">
      <c r="B23" s="236"/>
      <c r="C23" s="236"/>
      <c r="D23" s="236"/>
      <c r="E23" s="236"/>
      <c r="F23" s="102" t="s">
        <v>263</v>
      </c>
      <c r="G23" s="102" t="s">
        <v>264</v>
      </c>
      <c r="H23" s="102" t="s">
        <v>265</v>
      </c>
      <c r="I23" s="102" t="s">
        <v>513</v>
      </c>
      <c r="J23" s="701" t="s">
        <v>685</v>
      </c>
      <c r="K23" s="102" t="s">
        <v>630</v>
      </c>
      <c r="L23" s="255"/>
      <c r="M23" s="255"/>
    </row>
    <row r="24" spans="1:14" s="101" customFormat="1" ht="20.100000000000001" customHeight="1">
      <c r="A24" s="43">
        <v>3</v>
      </c>
      <c r="B24" s="236"/>
      <c r="C24" s="236"/>
      <c r="D24" s="236"/>
      <c r="E24" s="103" t="str">
        <f>C10</f>
        <v>12/31/2023</v>
      </c>
      <c r="F24" s="113"/>
      <c r="G24" s="113"/>
      <c r="H24" s="113">
        <v>-17386037.450913899</v>
      </c>
      <c r="I24" s="113"/>
      <c r="J24" s="113"/>
      <c r="K24" s="374">
        <f>'Attachment 5c - ADIT Norm ATRR'!L67</f>
        <v>3042978.9043864049</v>
      </c>
      <c r="L24" s="88"/>
      <c r="M24" s="88"/>
      <c r="N24" s="386"/>
    </row>
    <row r="25" spans="1:14" s="101" customFormat="1" ht="20.100000000000001" customHeight="1">
      <c r="A25" s="39" t="s">
        <v>257</v>
      </c>
      <c r="B25" s="33" t="s">
        <v>266</v>
      </c>
      <c r="C25" s="33"/>
      <c r="D25" s="33"/>
      <c r="E25" s="33"/>
      <c r="F25" s="33"/>
      <c r="G25" s="33"/>
      <c r="H25" s="33"/>
      <c r="I25" s="33"/>
      <c r="J25" s="33"/>
      <c r="K25" s="33"/>
      <c r="L25" s="33"/>
      <c r="M25" s="33"/>
    </row>
    <row r="26" spans="1:14" ht="20.100000000000001" customHeight="1">
      <c r="B26" s="236"/>
      <c r="C26" s="236"/>
      <c r="D26" s="236"/>
      <c r="E26" s="236"/>
      <c r="F26" s="236"/>
      <c r="H26" s="236"/>
      <c r="I26" s="236"/>
      <c r="J26" s="236"/>
      <c r="K26" s="236"/>
      <c r="L26" s="236"/>
    </row>
    <row r="27" spans="1:14" ht="50.25" customHeight="1">
      <c r="B27" s="236"/>
      <c r="C27" s="236"/>
      <c r="D27" s="236"/>
      <c r="E27" s="236"/>
      <c r="F27" s="102" t="s">
        <v>263</v>
      </c>
      <c r="G27" s="102" t="s">
        <v>264</v>
      </c>
      <c r="H27" s="102" t="s">
        <v>265</v>
      </c>
      <c r="I27" s="102" t="s">
        <v>513</v>
      </c>
      <c r="J27" s="701" t="s">
        <v>685</v>
      </c>
      <c r="K27" s="102" t="s">
        <v>630</v>
      </c>
      <c r="L27" s="255"/>
      <c r="M27" s="255"/>
    </row>
    <row r="28" spans="1:14" s="101" customFormat="1" ht="20.100000000000001" customHeight="1">
      <c r="A28" s="43">
        <v>4</v>
      </c>
      <c r="B28" s="236"/>
      <c r="C28" s="236"/>
      <c r="D28" s="236"/>
      <c r="E28" s="103" t="str">
        <f>E24</f>
        <v>12/31/2023</v>
      </c>
      <c r="F28" s="113"/>
      <c r="G28" s="113">
        <v>45660</v>
      </c>
      <c r="H28" s="113">
        <v>-6242595.8209697763</v>
      </c>
      <c r="I28" s="113"/>
      <c r="J28" s="113"/>
      <c r="K28" s="374">
        <f>'Attachment 5c - ADIT Norm ATRR'!L69</f>
        <v>-269202.0963887684</v>
      </c>
      <c r="L28" s="88"/>
      <c r="M28" s="88"/>
    </row>
    <row r="29" spans="1:14" s="101" customFormat="1" ht="20.100000000000001" customHeight="1">
      <c r="A29" s="39" t="s">
        <v>267</v>
      </c>
      <c r="B29" s="33" t="s">
        <v>823</v>
      </c>
      <c r="C29" s="33"/>
      <c r="D29" s="33"/>
      <c r="E29" s="33"/>
      <c r="F29" s="33"/>
      <c r="G29" s="33"/>
      <c r="H29" s="33"/>
      <c r="I29" s="33"/>
      <c r="J29" s="33"/>
      <c r="K29" s="33"/>
      <c r="L29" s="33"/>
      <c r="M29" s="33"/>
    </row>
    <row r="30" spans="1:14" s="101" customFormat="1" ht="20.100000000000001" customHeight="1">
      <c r="A30" s="39"/>
      <c r="B30" s="236"/>
      <c r="C30" s="236"/>
      <c r="D30" s="236"/>
      <c r="E30" s="236"/>
      <c r="G30" s="39"/>
      <c r="H30" s="33"/>
      <c r="I30" s="33"/>
      <c r="J30" s="33"/>
      <c r="K30" s="236"/>
      <c r="L30" s="236"/>
      <c r="M30" s="33"/>
    </row>
    <row r="31" spans="1:14" s="101" customFormat="1" ht="50.25" customHeight="1">
      <c r="A31" s="39"/>
      <c r="B31" s="236"/>
      <c r="C31" s="236"/>
      <c r="D31" s="236"/>
      <c r="E31" s="103"/>
      <c r="F31" s="104" t="s">
        <v>263</v>
      </c>
      <c r="G31" s="102" t="s">
        <v>264</v>
      </c>
      <c r="H31" s="102" t="s">
        <v>265</v>
      </c>
      <c r="I31" s="102" t="s">
        <v>513</v>
      </c>
      <c r="J31" s="701" t="s">
        <v>685</v>
      </c>
      <c r="K31" s="102" t="s">
        <v>630</v>
      </c>
      <c r="L31" s="255"/>
      <c r="M31" s="255"/>
    </row>
    <row r="32" spans="1:14" s="101" customFormat="1" ht="20.100000000000001" customHeight="1">
      <c r="A32" s="43">
        <v>5</v>
      </c>
      <c r="B32" s="236"/>
      <c r="C32" s="236"/>
      <c r="D32" s="236"/>
      <c r="E32" s="103" t="str">
        <f>E28</f>
        <v>12/31/2023</v>
      </c>
      <c r="F32" s="113"/>
      <c r="G32" s="113">
        <v>1969</v>
      </c>
      <c r="H32" s="113">
        <v>-3036259.9977798904</v>
      </c>
      <c r="I32" s="113">
        <v>5524011</v>
      </c>
      <c r="J32" s="113"/>
      <c r="K32" s="374">
        <f>'Attachment 5c - ADIT Norm ATRR'!L65</f>
        <v>-2148432.9047452565</v>
      </c>
      <c r="L32" s="88"/>
      <c r="M32" s="88"/>
    </row>
    <row r="33" spans="1:15" ht="45" customHeight="1">
      <c r="A33" s="677" t="s">
        <v>268</v>
      </c>
      <c r="B33" s="1110" t="s">
        <v>1169</v>
      </c>
      <c r="C33" s="1110"/>
      <c r="D33" s="1110"/>
      <c r="E33" s="1110"/>
      <c r="F33" s="1110"/>
      <c r="G33" s="1110"/>
      <c r="H33" s="1110"/>
      <c r="I33" s="1110"/>
      <c r="J33" s="1110"/>
      <c r="K33" s="1110"/>
      <c r="L33" s="1110"/>
    </row>
    <row r="34" spans="1:15" ht="20.100000000000001" customHeight="1">
      <c r="A34" s="39" t="s">
        <v>631</v>
      </c>
      <c r="B34" s="33" t="s">
        <v>632</v>
      </c>
    </row>
    <row r="35" spans="1:15" ht="20.100000000000001" customHeight="1">
      <c r="A35" s="39" t="s">
        <v>512</v>
      </c>
      <c r="B35" s="33" t="s">
        <v>819</v>
      </c>
      <c r="O35" s="509"/>
    </row>
    <row r="36" spans="1:15" ht="20.100000000000001" customHeight="1">
      <c r="A36" s="39" t="s">
        <v>686</v>
      </c>
      <c r="B36" s="33" t="s">
        <v>687</v>
      </c>
      <c r="J36" s="33"/>
    </row>
  </sheetData>
  <mergeCells count="6">
    <mergeCell ref="B33:L33"/>
    <mergeCell ref="E6:L6"/>
    <mergeCell ref="E13:L13"/>
    <mergeCell ref="B19:M19"/>
    <mergeCell ref="B20:L20"/>
    <mergeCell ref="B21:L21"/>
  </mergeCells>
  <pageMargins left="0.7" right="0.7" top="0.75" bottom="0.75" header="0.3" footer="0.3"/>
  <pageSetup scale="4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220"/>
  <sheetViews>
    <sheetView view="pageBreakPreview" zoomScale="60" zoomScaleNormal="90" workbookViewId="0"/>
  </sheetViews>
  <sheetFormatPr defaultRowHeight="12.75"/>
  <cols>
    <col min="1" max="1" width="4.33203125" style="115" customWidth="1"/>
    <col min="2" max="2" width="44.88671875" style="115" customWidth="1"/>
    <col min="3" max="3" width="12.6640625" style="115" bestFit="1" customWidth="1"/>
    <col min="4" max="4" width="13.6640625" style="115" customWidth="1"/>
    <col min="5" max="5" width="12.5546875" style="115" customWidth="1"/>
    <col min="6" max="6" width="13" style="115" customWidth="1"/>
    <col min="7" max="7" width="11.5546875" style="115" customWidth="1"/>
    <col min="8" max="10" width="13.88671875" style="115" customWidth="1"/>
    <col min="11" max="11" width="49.44140625" style="115" customWidth="1"/>
    <col min="12" max="12" width="12.88671875" style="115" customWidth="1"/>
    <col min="13" max="13" width="13.109375" style="115" bestFit="1" customWidth="1"/>
    <col min="14" max="254" width="9.109375" style="115"/>
    <col min="255" max="255" width="3.109375" style="115" customWidth="1"/>
    <col min="256" max="256" width="33.33203125" style="115" customWidth="1"/>
    <col min="257" max="257" width="11.6640625" style="115" customWidth="1"/>
    <col min="258" max="258" width="12" style="115" customWidth="1"/>
    <col min="259" max="259" width="14.44140625" style="115" bestFit="1" customWidth="1"/>
    <col min="260" max="260" width="10.6640625" style="115" customWidth="1"/>
    <col min="261" max="261" width="11.88671875" style="115" customWidth="1"/>
    <col min="262" max="262" width="10.88671875" style="115" customWidth="1"/>
    <col min="263" max="263" width="11.5546875" style="115" customWidth="1"/>
    <col min="264" max="264" width="13.88671875" style="115" customWidth="1"/>
    <col min="265" max="265" width="2.33203125" style="115" customWidth="1"/>
    <col min="266" max="266" width="2" style="115" customWidth="1"/>
    <col min="267" max="267" width="49.44140625" style="115" customWidth="1"/>
    <col min="268" max="268" width="12.88671875" style="115" customWidth="1"/>
    <col min="269" max="510" width="9.109375" style="115"/>
    <col min="511" max="511" width="3.109375" style="115" customWidth="1"/>
    <col min="512" max="512" width="33.33203125" style="115" customWidth="1"/>
    <col min="513" max="513" width="11.6640625" style="115" customWidth="1"/>
    <col min="514" max="514" width="12" style="115" customWidth="1"/>
    <col min="515" max="515" width="14.44140625" style="115" bestFit="1" customWidth="1"/>
    <col min="516" max="516" width="10.6640625" style="115" customWidth="1"/>
    <col min="517" max="517" width="11.88671875" style="115" customWidth="1"/>
    <col min="518" max="518" width="10.88671875" style="115" customWidth="1"/>
    <col min="519" max="519" width="11.5546875" style="115" customWidth="1"/>
    <col min="520" max="520" width="13.88671875" style="115" customWidth="1"/>
    <col min="521" max="521" width="2.33203125" style="115" customWidth="1"/>
    <col min="522" max="522" width="2" style="115" customWidth="1"/>
    <col min="523" max="523" width="49.44140625" style="115" customWidth="1"/>
    <col min="524" max="524" width="12.88671875" style="115" customWidth="1"/>
    <col min="525" max="766" width="9.109375" style="115"/>
    <col min="767" max="767" width="3.109375" style="115" customWidth="1"/>
    <col min="768" max="768" width="33.33203125" style="115" customWidth="1"/>
    <col min="769" max="769" width="11.6640625" style="115" customWidth="1"/>
    <col min="770" max="770" width="12" style="115" customWidth="1"/>
    <col min="771" max="771" width="14.44140625" style="115" bestFit="1" customWidth="1"/>
    <col min="772" max="772" width="10.6640625" style="115" customWidth="1"/>
    <col min="773" max="773" width="11.88671875" style="115" customWidth="1"/>
    <col min="774" max="774" width="10.88671875" style="115" customWidth="1"/>
    <col min="775" max="775" width="11.5546875" style="115" customWidth="1"/>
    <col min="776" max="776" width="13.88671875" style="115" customWidth="1"/>
    <col min="777" max="777" width="2.33203125" style="115" customWidth="1"/>
    <col min="778" max="778" width="2" style="115" customWidth="1"/>
    <col min="779" max="779" width="49.44140625" style="115" customWidth="1"/>
    <col min="780" max="780" width="12.88671875" style="115" customWidth="1"/>
    <col min="781" max="1022" width="9.109375" style="115"/>
    <col min="1023" max="1023" width="3.109375" style="115" customWidth="1"/>
    <col min="1024" max="1024" width="33.33203125" style="115" customWidth="1"/>
    <col min="1025" max="1025" width="11.6640625" style="115" customWidth="1"/>
    <col min="1026" max="1026" width="12" style="115" customWidth="1"/>
    <col min="1027" max="1027" width="14.44140625" style="115" bestFit="1" customWidth="1"/>
    <col min="1028" max="1028" width="10.6640625" style="115" customWidth="1"/>
    <col min="1029" max="1029" width="11.88671875" style="115" customWidth="1"/>
    <col min="1030" max="1030" width="10.88671875" style="115" customWidth="1"/>
    <col min="1031" max="1031" width="11.5546875" style="115" customWidth="1"/>
    <col min="1032" max="1032" width="13.88671875" style="115" customWidth="1"/>
    <col min="1033" max="1033" width="2.33203125" style="115" customWidth="1"/>
    <col min="1034" max="1034" width="2" style="115" customWidth="1"/>
    <col min="1035" max="1035" width="49.44140625" style="115" customWidth="1"/>
    <col min="1036" max="1036" width="12.88671875" style="115" customWidth="1"/>
    <col min="1037" max="1278" width="9.109375" style="115"/>
    <col min="1279" max="1279" width="3.109375" style="115" customWidth="1"/>
    <col min="1280" max="1280" width="33.33203125" style="115" customWidth="1"/>
    <col min="1281" max="1281" width="11.6640625" style="115" customWidth="1"/>
    <col min="1282" max="1282" width="12" style="115" customWidth="1"/>
    <col min="1283" max="1283" width="14.44140625" style="115" bestFit="1" customWidth="1"/>
    <col min="1284" max="1284" width="10.6640625" style="115" customWidth="1"/>
    <col min="1285" max="1285" width="11.88671875" style="115" customWidth="1"/>
    <col min="1286" max="1286" width="10.88671875" style="115" customWidth="1"/>
    <col min="1287" max="1287" width="11.5546875" style="115" customWidth="1"/>
    <col min="1288" max="1288" width="13.88671875" style="115" customWidth="1"/>
    <col min="1289" max="1289" width="2.33203125" style="115" customWidth="1"/>
    <col min="1290" max="1290" width="2" style="115" customWidth="1"/>
    <col min="1291" max="1291" width="49.44140625" style="115" customWidth="1"/>
    <col min="1292" max="1292" width="12.88671875" style="115" customWidth="1"/>
    <col min="1293" max="1534" width="9.109375" style="115"/>
    <col min="1535" max="1535" width="3.109375" style="115" customWidth="1"/>
    <col min="1536" max="1536" width="33.33203125" style="115" customWidth="1"/>
    <col min="1537" max="1537" width="11.6640625" style="115" customWidth="1"/>
    <col min="1538" max="1538" width="12" style="115" customWidth="1"/>
    <col min="1539" max="1539" width="14.44140625" style="115" bestFit="1" customWidth="1"/>
    <col min="1540" max="1540" width="10.6640625" style="115" customWidth="1"/>
    <col min="1541" max="1541" width="11.88671875" style="115" customWidth="1"/>
    <col min="1542" max="1542" width="10.88671875" style="115" customWidth="1"/>
    <col min="1543" max="1543" width="11.5546875" style="115" customWidth="1"/>
    <col min="1544" max="1544" width="13.88671875" style="115" customWidth="1"/>
    <col min="1545" max="1545" width="2.33203125" style="115" customWidth="1"/>
    <col min="1546" max="1546" width="2" style="115" customWidth="1"/>
    <col min="1547" max="1547" width="49.44140625" style="115" customWidth="1"/>
    <col min="1548" max="1548" width="12.88671875" style="115" customWidth="1"/>
    <col min="1549" max="1790" width="9.109375" style="115"/>
    <col min="1791" max="1791" width="3.109375" style="115" customWidth="1"/>
    <col min="1792" max="1792" width="33.33203125" style="115" customWidth="1"/>
    <col min="1793" max="1793" width="11.6640625" style="115" customWidth="1"/>
    <col min="1794" max="1794" width="12" style="115" customWidth="1"/>
    <col min="1795" max="1795" width="14.44140625" style="115" bestFit="1" customWidth="1"/>
    <col min="1796" max="1796" width="10.6640625" style="115" customWidth="1"/>
    <col min="1797" max="1797" width="11.88671875" style="115" customWidth="1"/>
    <col min="1798" max="1798" width="10.88671875" style="115" customWidth="1"/>
    <col min="1799" max="1799" width="11.5546875" style="115" customWidth="1"/>
    <col min="1800" max="1800" width="13.88671875" style="115" customWidth="1"/>
    <col min="1801" max="1801" width="2.33203125" style="115" customWidth="1"/>
    <col min="1802" max="1802" width="2" style="115" customWidth="1"/>
    <col min="1803" max="1803" width="49.44140625" style="115" customWidth="1"/>
    <col min="1804" max="1804" width="12.88671875" style="115" customWidth="1"/>
    <col min="1805" max="2046" width="9.109375" style="115"/>
    <col min="2047" max="2047" width="3.109375" style="115" customWidth="1"/>
    <col min="2048" max="2048" width="33.33203125" style="115" customWidth="1"/>
    <col min="2049" max="2049" width="11.6640625" style="115" customWidth="1"/>
    <col min="2050" max="2050" width="12" style="115" customWidth="1"/>
    <col min="2051" max="2051" width="14.44140625" style="115" bestFit="1" customWidth="1"/>
    <col min="2052" max="2052" width="10.6640625" style="115" customWidth="1"/>
    <col min="2053" max="2053" width="11.88671875" style="115" customWidth="1"/>
    <col min="2054" max="2054" width="10.88671875" style="115" customWidth="1"/>
    <col min="2055" max="2055" width="11.5546875" style="115" customWidth="1"/>
    <col min="2056" max="2056" width="13.88671875" style="115" customWidth="1"/>
    <col min="2057" max="2057" width="2.33203125" style="115" customWidth="1"/>
    <col min="2058" max="2058" width="2" style="115" customWidth="1"/>
    <col min="2059" max="2059" width="49.44140625" style="115" customWidth="1"/>
    <col min="2060" max="2060" width="12.88671875" style="115" customWidth="1"/>
    <col min="2061" max="2302" width="9.109375" style="115"/>
    <col min="2303" max="2303" width="3.109375" style="115" customWidth="1"/>
    <col min="2304" max="2304" width="33.33203125" style="115" customWidth="1"/>
    <col min="2305" max="2305" width="11.6640625" style="115" customWidth="1"/>
    <col min="2306" max="2306" width="12" style="115" customWidth="1"/>
    <col min="2307" max="2307" width="14.44140625" style="115" bestFit="1" customWidth="1"/>
    <col min="2308" max="2308" width="10.6640625" style="115" customWidth="1"/>
    <col min="2309" max="2309" width="11.88671875" style="115" customWidth="1"/>
    <col min="2310" max="2310" width="10.88671875" style="115" customWidth="1"/>
    <col min="2311" max="2311" width="11.5546875" style="115" customWidth="1"/>
    <col min="2312" max="2312" width="13.88671875" style="115" customWidth="1"/>
    <col min="2313" max="2313" width="2.33203125" style="115" customWidth="1"/>
    <col min="2314" max="2314" width="2" style="115" customWidth="1"/>
    <col min="2315" max="2315" width="49.44140625" style="115" customWidth="1"/>
    <col min="2316" max="2316" width="12.88671875" style="115" customWidth="1"/>
    <col min="2317" max="2558" width="9.109375" style="115"/>
    <col min="2559" max="2559" width="3.109375" style="115" customWidth="1"/>
    <col min="2560" max="2560" width="33.33203125" style="115" customWidth="1"/>
    <col min="2561" max="2561" width="11.6640625" style="115" customWidth="1"/>
    <col min="2562" max="2562" width="12" style="115" customWidth="1"/>
    <col min="2563" max="2563" width="14.44140625" style="115" bestFit="1" customWidth="1"/>
    <col min="2564" max="2564" width="10.6640625" style="115" customWidth="1"/>
    <col min="2565" max="2565" width="11.88671875" style="115" customWidth="1"/>
    <col min="2566" max="2566" width="10.88671875" style="115" customWidth="1"/>
    <col min="2567" max="2567" width="11.5546875" style="115" customWidth="1"/>
    <col min="2568" max="2568" width="13.88671875" style="115" customWidth="1"/>
    <col min="2569" max="2569" width="2.33203125" style="115" customWidth="1"/>
    <col min="2570" max="2570" width="2" style="115" customWidth="1"/>
    <col min="2571" max="2571" width="49.44140625" style="115" customWidth="1"/>
    <col min="2572" max="2572" width="12.88671875" style="115" customWidth="1"/>
    <col min="2573" max="2814" width="9.109375" style="115"/>
    <col min="2815" max="2815" width="3.109375" style="115" customWidth="1"/>
    <col min="2816" max="2816" width="33.33203125" style="115" customWidth="1"/>
    <col min="2817" max="2817" width="11.6640625" style="115" customWidth="1"/>
    <col min="2818" max="2818" width="12" style="115" customWidth="1"/>
    <col min="2819" max="2819" width="14.44140625" style="115" bestFit="1" customWidth="1"/>
    <col min="2820" max="2820" width="10.6640625" style="115" customWidth="1"/>
    <col min="2821" max="2821" width="11.88671875" style="115" customWidth="1"/>
    <col min="2822" max="2822" width="10.88671875" style="115" customWidth="1"/>
    <col min="2823" max="2823" width="11.5546875" style="115" customWidth="1"/>
    <col min="2824" max="2824" width="13.88671875" style="115" customWidth="1"/>
    <col min="2825" max="2825" width="2.33203125" style="115" customWidth="1"/>
    <col min="2826" max="2826" width="2" style="115" customWidth="1"/>
    <col min="2827" max="2827" width="49.44140625" style="115" customWidth="1"/>
    <col min="2828" max="2828" width="12.88671875" style="115" customWidth="1"/>
    <col min="2829" max="3070" width="9.109375" style="115"/>
    <col min="3071" max="3071" width="3.109375" style="115" customWidth="1"/>
    <col min="3072" max="3072" width="33.33203125" style="115" customWidth="1"/>
    <col min="3073" max="3073" width="11.6640625" style="115" customWidth="1"/>
    <col min="3074" max="3074" width="12" style="115" customWidth="1"/>
    <col min="3075" max="3075" width="14.44140625" style="115" bestFit="1" customWidth="1"/>
    <col min="3076" max="3076" width="10.6640625" style="115" customWidth="1"/>
    <col min="3077" max="3077" width="11.88671875" style="115" customWidth="1"/>
    <col min="3078" max="3078" width="10.88671875" style="115" customWidth="1"/>
    <col min="3079" max="3079" width="11.5546875" style="115" customWidth="1"/>
    <col min="3080" max="3080" width="13.88671875" style="115" customWidth="1"/>
    <col min="3081" max="3081" width="2.33203125" style="115" customWidth="1"/>
    <col min="3082" max="3082" width="2" style="115" customWidth="1"/>
    <col min="3083" max="3083" width="49.44140625" style="115" customWidth="1"/>
    <col min="3084" max="3084" width="12.88671875" style="115" customWidth="1"/>
    <col min="3085" max="3326" width="9.109375" style="115"/>
    <col min="3327" max="3327" width="3.109375" style="115" customWidth="1"/>
    <col min="3328" max="3328" width="33.33203125" style="115" customWidth="1"/>
    <col min="3329" max="3329" width="11.6640625" style="115" customWidth="1"/>
    <col min="3330" max="3330" width="12" style="115" customWidth="1"/>
    <col min="3331" max="3331" width="14.44140625" style="115" bestFit="1" customWidth="1"/>
    <col min="3332" max="3332" width="10.6640625" style="115" customWidth="1"/>
    <col min="3333" max="3333" width="11.88671875" style="115" customWidth="1"/>
    <col min="3334" max="3334" width="10.88671875" style="115" customWidth="1"/>
    <col min="3335" max="3335" width="11.5546875" style="115" customWidth="1"/>
    <col min="3336" max="3336" width="13.88671875" style="115" customWidth="1"/>
    <col min="3337" max="3337" width="2.33203125" style="115" customWidth="1"/>
    <col min="3338" max="3338" width="2" style="115" customWidth="1"/>
    <col min="3339" max="3339" width="49.44140625" style="115" customWidth="1"/>
    <col min="3340" max="3340" width="12.88671875" style="115" customWidth="1"/>
    <col min="3341" max="3582" width="9.109375" style="115"/>
    <col min="3583" max="3583" width="3.109375" style="115" customWidth="1"/>
    <col min="3584" max="3584" width="33.33203125" style="115" customWidth="1"/>
    <col min="3585" max="3585" width="11.6640625" style="115" customWidth="1"/>
    <col min="3586" max="3586" width="12" style="115" customWidth="1"/>
    <col min="3587" max="3587" width="14.44140625" style="115" bestFit="1" customWidth="1"/>
    <col min="3588" max="3588" width="10.6640625" style="115" customWidth="1"/>
    <col min="3589" max="3589" width="11.88671875" style="115" customWidth="1"/>
    <col min="3590" max="3590" width="10.88671875" style="115" customWidth="1"/>
    <col min="3591" max="3591" width="11.5546875" style="115" customWidth="1"/>
    <col min="3592" max="3592" width="13.88671875" style="115" customWidth="1"/>
    <col min="3593" max="3593" width="2.33203125" style="115" customWidth="1"/>
    <col min="3594" max="3594" width="2" style="115" customWidth="1"/>
    <col min="3595" max="3595" width="49.44140625" style="115" customWidth="1"/>
    <col min="3596" max="3596" width="12.88671875" style="115" customWidth="1"/>
    <col min="3597" max="3838" width="9.109375" style="115"/>
    <col min="3839" max="3839" width="3.109375" style="115" customWidth="1"/>
    <col min="3840" max="3840" width="33.33203125" style="115" customWidth="1"/>
    <col min="3841" max="3841" width="11.6640625" style="115" customWidth="1"/>
    <col min="3842" max="3842" width="12" style="115" customWidth="1"/>
    <col min="3843" max="3843" width="14.44140625" style="115" bestFit="1" customWidth="1"/>
    <col min="3844" max="3844" width="10.6640625" style="115" customWidth="1"/>
    <col min="3845" max="3845" width="11.88671875" style="115" customWidth="1"/>
    <col min="3846" max="3846" width="10.88671875" style="115" customWidth="1"/>
    <col min="3847" max="3847" width="11.5546875" style="115" customWidth="1"/>
    <col min="3848" max="3848" width="13.88671875" style="115" customWidth="1"/>
    <col min="3849" max="3849" width="2.33203125" style="115" customWidth="1"/>
    <col min="3850" max="3850" width="2" style="115" customWidth="1"/>
    <col min="3851" max="3851" width="49.44140625" style="115" customWidth="1"/>
    <col min="3852" max="3852" width="12.88671875" style="115" customWidth="1"/>
    <col min="3853" max="4094" width="9.109375" style="115"/>
    <col min="4095" max="4095" width="3.109375" style="115" customWidth="1"/>
    <col min="4096" max="4096" width="33.33203125" style="115" customWidth="1"/>
    <col min="4097" max="4097" width="11.6640625" style="115" customWidth="1"/>
    <col min="4098" max="4098" width="12" style="115" customWidth="1"/>
    <col min="4099" max="4099" width="14.44140625" style="115" bestFit="1" customWidth="1"/>
    <col min="4100" max="4100" width="10.6640625" style="115" customWidth="1"/>
    <col min="4101" max="4101" width="11.88671875" style="115" customWidth="1"/>
    <col min="4102" max="4102" width="10.88671875" style="115" customWidth="1"/>
    <col min="4103" max="4103" width="11.5546875" style="115" customWidth="1"/>
    <col min="4104" max="4104" width="13.88671875" style="115" customWidth="1"/>
    <col min="4105" max="4105" width="2.33203125" style="115" customWidth="1"/>
    <col min="4106" max="4106" width="2" style="115" customWidth="1"/>
    <col min="4107" max="4107" width="49.44140625" style="115" customWidth="1"/>
    <col min="4108" max="4108" width="12.88671875" style="115" customWidth="1"/>
    <col min="4109" max="4350" width="9.109375" style="115"/>
    <col min="4351" max="4351" width="3.109375" style="115" customWidth="1"/>
    <col min="4352" max="4352" width="33.33203125" style="115" customWidth="1"/>
    <col min="4353" max="4353" width="11.6640625" style="115" customWidth="1"/>
    <col min="4354" max="4354" width="12" style="115" customWidth="1"/>
    <col min="4355" max="4355" width="14.44140625" style="115" bestFit="1" customWidth="1"/>
    <col min="4356" max="4356" width="10.6640625" style="115" customWidth="1"/>
    <col min="4357" max="4357" width="11.88671875" style="115" customWidth="1"/>
    <col min="4358" max="4358" width="10.88671875" style="115" customWidth="1"/>
    <col min="4359" max="4359" width="11.5546875" style="115" customWidth="1"/>
    <col min="4360" max="4360" width="13.88671875" style="115" customWidth="1"/>
    <col min="4361" max="4361" width="2.33203125" style="115" customWidth="1"/>
    <col min="4362" max="4362" width="2" style="115" customWidth="1"/>
    <col min="4363" max="4363" width="49.44140625" style="115" customWidth="1"/>
    <col min="4364" max="4364" width="12.88671875" style="115" customWidth="1"/>
    <col min="4365" max="4606" width="9.109375" style="115"/>
    <col min="4607" max="4607" width="3.109375" style="115" customWidth="1"/>
    <col min="4608" max="4608" width="33.33203125" style="115" customWidth="1"/>
    <col min="4609" max="4609" width="11.6640625" style="115" customWidth="1"/>
    <col min="4610" max="4610" width="12" style="115" customWidth="1"/>
    <col min="4611" max="4611" width="14.44140625" style="115" bestFit="1" customWidth="1"/>
    <col min="4612" max="4612" width="10.6640625" style="115" customWidth="1"/>
    <col min="4613" max="4613" width="11.88671875" style="115" customWidth="1"/>
    <col min="4614" max="4614" width="10.88671875" style="115" customWidth="1"/>
    <col min="4615" max="4615" width="11.5546875" style="115" customWidth="1"/>
    <col min="4616" max="4616" width="13.88671875" style="115" customWidth="1"/>
    <col min="4617" max="4617" width="2.33203125" style="115" customWidth="1"/>
    <col min="4618" max="4618" width="2" style="115" customWidth="1"/>
    <col min="4619" max="4619" width="49.44140625" style="115" customWidth="1"/>
    <col min="4620" max="4620" width="12.88671875" style="115" customWidth="1"/>
    <col min="4621" max="4862" width="9.109375" style="115"/>
    <col min="4863" max="4863" width="3.109375" style="115" customWidth="1"/>
    <col min="4864" max="4864" width="33.33203125" style="115" customWidth="1"/>
    <col min="4865" max="4865" width="11.6640625" style="115" customWidth="1"/>
    <col min="4866" max="4866" width="12" style="115" customWidth="1"/>
    <col min="4867" max="4867" width="14.44140625" style="115" bestFit="1" customWidth="1"/>
    <col min="4868" max="4868" width="10.6640625" style="115" customWidth="1"/>
    <col min="4869" max="4869" width="11.88671875" style="115" customWidth="1"/>
    <col min="4870" max="4870" width="10.88671875" style="115" customWidth="1"/>
    <col min="4871" max="4871" width="11.5546875" style="115" customWidth="1"/>
    <col min="4872" max="4872" width="13.88671875" style="115" customWidth="1"/>
    <col min="4873" max="4873" width="2.33203125" style="115" customWidth="1"/>
    <col min="4874" max="4874" width="2" style="115" customWidth="1"/>
    <col min="4875" max="4875" width="49.44140625" style="115" customWidth="1"/>
    <col min="4876" max="4876" width="12.88671875" style="115" customWidth="1"/>
    <col min="4877" max="5118" width="9.109375" style="115"/>
    <col min="5119" max="5119" width="3.109375" style="115" customWidth="1"/>
    <col min="5120" max="5120" width="33.33203125" style="115" customWidth="1"/>
    <col min="5121" max="5121" width="11.6640625" style="115" customWidth="1"/>
    <col min="5122" max="5122" width="12" style="115" customWidth="1"/>
    <col min="5123" max="5123" width="14.44140625" style="115" bestFit="1" customWidth="1"/>
    <col min="5124" max="5124" width="10.6640625" style="115" customWidth="1"/>
    <col min="5125" max="5125" width="11.88671875" style="115" customWidth="1"/>
    <col min="5126" max="5126" width="10.88671875" style="115" customWidth="1"/>
    <col min="5127" max="5127" width="11.5546875" style="115" customWidth="1"/>
    <col min="5128" max="5128" width="13.88671875" style="115" customWidth="1"/>
    <col min="5129" max="5129" width="2.33203125" style="115" customWidth="1"/>
    <col min="5130" max="5130" width="2" style="115" customWidth="1"/>
    <col min="5131" max="5131" width="49.44140625" style="115" customWidth="1"/>
    <col min="5132" max="5132" width="12.88671875" style="115" customWidth="1"/>
    <col min="5133" max="5374" width="9.109375" style="115"/>
    <col min="5375" max="5375" width="3.109375" style="115" customWidth="1"/>
    <col min="5376" max="5376" width="33.33203125" style="115" customWidth="1"/>
    <col min="5377" max="5377" width="11.6640625" style="115" customWidth="1"/>
    <col min="5378" max="5378" width="12" style="115" customWidth="1"/>
    <col min="5379" max="5379" width="14.44140625" style="115" bestFit="1" customWidth="1"/>
    <col min="5380" max="5380" width="10.6640625" style="115" customWidth="1"/>
    <col min="5381" max="5381" width="11.88671875" style="115" customWidth="1"/>
    <col min="5382" max="5382" width="10.88671875" style="115" customWidth="1"/>
    <col min="5383" max="5383" width="11.5546875" style="115" customWidth="1"/>
    <col min="5384" max="5384" width="13.88671875" style="115" customWidth="1"/>
    <col min="5385" max="5385" width="2.33203125" style="115" customWidth="1"/>
    <col min="5386" max="5386" width="2" style="115" customWidth="1"/>
    <col min="5387" max="5387" width="49.44140625" style="115" customWidth="1"/>
    <col min="5388" max="5388" width="12.88671875" style="115" customWidth="1"/>
    <col min="5389" max="5630" width="9.109375" style="115"/>
    <col min="5631" max="5631" width="3.109375" style="115" customWidth="1"/>
    <col min="5632" max="5632" width="33.33203125" style="115" customWidth="1"/>
    <col min="5633" max="5633" width="11.6640625" style="115" customWidth="1"/>
    <col min="5634" max="5634" width="12" style="115" customWidth="1"/>
    <col min="5635" max="5635" width="14.44140625" style="115" bestFit="1" customWidth="1"/>
    <col min="5636" max="5636" width="10.6640625" style="115" customWidth="1"/>
    <col min="5637" max="5637" width="11.88671875" style="115" customWidth="1"/>
    <col min="5638" max="5638" width="10.88671875" style="115" customWidth="1"/>
    <col min="5639" max="5639" width="11.5546875" style="115" customWidth="1"/>
    <col min="5640" max="5640" width="13.88671875" style="115" customWidth="1"/>
    <col min="5641" max="5641" width="2.33203125" style="115" customWidth="1"/>
    <col min="5642" max="5642" width="2" style="115" customWidth="1"/>
    <col min="5643" max="5643" width="49.44140625" style="115" customWidth="1"/>
    <col min="5644" max="5644" width="12.88671875" style="115" customWidth="1"/>
    <col min="5645" max="5886" width="9.109375" style="115"/>
    <col min="5887" max="5887" width="3.109375" style="115" customWidth="1"/>
    <col min="5888" max="5888" width="33.33203125" style="115" customWidth="1"/>
    <col min="5889" max="5889" width="11.6640625" style="115" customWidth="1"/>
    <col min="5890" max="5890" width="12" style="115" customWidth="1"/>
    <col min="5891" max="5891" width="14.44140625" style="115" bestFit="1" customWidth="1"/>
    <col min="5892" max="5892" width="10.6640625" style="115" customWidth="1"/>
    <col min="5893" max="5893" width="11.88671875" style="115" customWidth="1"/>
    <col min="5894" max="5894" width="10.88671875" style="115" customWidth="1"/>
    <col min="5895" max="5895" width="11.5546875" style="115" customWidth="1"/>
    <col min="5896" max="5896" width="13.88671875" style="115" customWidth="1"/>
    <col min="5897" max="5897" width="2.33203125" style="115" customWidth="1"/>
    <col min="5898" max="5898" width="2" style="115" customWidth="1"/>
    <col min="5899" max="5899" width="49.44140625" style="115" customWidth="1"/>
    <col min="5900" max="5900" width="12.88671875" style="115" customWidth="1"/>
    <col min="5901" max="6142" width="9.109375" style="115"/>
    <col min="6143" max="6143" width="3.109375" style="115" customWidth="1"/>
    <col min="6144" max="6144" width="33.33203125" style="115" customWidth="1"/>
    <col min="6145" max="6145" width="11.6640625" style="115" customWidth="1"/>
    <col min="6146" max="6146" width="12" style="115" customWidth="1"/>
    <col min="6147" max="6147" width="14.44140625" style="115" bestFit="1" customWidth="1"/>
    <col min="6148" max="6148" width="10.6640625" style="115" customWidth="1"/>
    <col min="6149" max="6149" width="11.88671875" style="115" customWidth="1"/>
    <col min="6150" max="6150" width="10.88671875" style="115" customWidth="1"/>
    <col min="6151" max="6151" width="11.5546875" style="115" customWidth="1"/>
    <col min="6152" max="6152" width="13.88671875" style="115" customWidth="1"/>
    <col min="6153" max="6153" width="2.33203125" style="115" customWidth="1"/>
    <col min="6154" max="6154" width="2" style="115" customWidth="1"/>
    <col min="6155" max="6155" width="49.44140625" style="115" customWidth="1"/>
    <col min="6156" max="6156" width="12.88671875" style="115" customWidth="1"/>
    <col min="6157" max="6398" width="9.109375" style="115"/>
    <col min="6399" max="6399" width="3.109375" style="115" customWidth="1"/>
    <col min="6400" max="6400" width="33.33203125" style="115" customWidth="1"/>
    <col min="6401" max="6401" width="11.6640625" style="115" customWidth="1"/>
    <col min="6402" max="6402" width="12" style="115" customWidth="1"/>
    <col min="6403" max="6403" width="14.44140625" style="115" bestFit="1" customWidth="1"/>
    <col min="6404" max="6404" width="10.6640625" style="115" customWidth="1"/>
    <col min="6405" max="6405" width="11.88671875" style="115" customWidth="1"/>
    <col min="6406" max="6406" width="10.88671875" style="115" customWidth="1"/>
    <col min="6407" max="6407" width="11.5546875" style="115" customWidth="1"/>
    <col min="6408" max="6408" width="13.88671875" style="115" customWidth="1"/>
    <col min="6409" max="6409" width="2.33203125" style="115" customWidth="1"/>
    <col min="6410" max="6410" width="2" style="115" customWidth="1"/>
    <col min="6411" max="6411" width="49.44140625" style="115" customWidth="1"/>
    <col min="6412" max="6412" width="12.88671875" style="115" customWidth="1"/>
    <col min="6413" max="6654" width="9.109375" style="115"/>
    <col min="6655" max="6655" width="3.109375" style="115" customWidth="1"/>
    <col min="6656" max="6656" width="33.33203125" style="115" customWidth="1"/>
    <col min="6657" max="6657" width="11.6640625" style="115" customWidth="1"/>
    <col min="6658" max="6658" width="12" style="115" customWidth="1"/>
    <col min="6659" max="6659" width="14.44140625" style="115" bestFit="1" customWidth="1"/>
    <col min="6660" max="6660" width="10.6640625" style="115" customWidth="1"/>
    <col min="6661" max="6661" width="11.88671875" style="115" customWidth="1"/>
    <col min="6662" max="6662" width="10.88671875" style="115" customWidth="1"/>
    <col min="6663" max="6663" width="11.5546875" style="115" customWidth="1"/>
    <col min="6664" max="6664" width="13.88671875" style="115" customWidth="1"/>
    <col min="6665" max="6665" width="2.33203125" style="115" customWidth="1"/>
    <col min="6666" max="6666" width="2" style="115" customWidth="1"/>
    <col min="6667" max="6667" width="49.44140625" style="115" customWidth="1"/>
    <col min="6668" max="6668" width="12.88671875" style="115" customWidth="1"/>
    <col min="6669" max="6910" width="9.109375" style="115"/>
    <col min="6911" max="6911" width="3.109375" style="115" customWidth="1"/>
    <col min="6912" max="6912" width="33.33203125" style="115" customWidth="1"/>
    <col min="6913" max="6913" width="11.6640625" style="115" customWidth="1"/>
    <col min="6914" max="6914" width="12" style="115" customWidth="1"/>
    <col min="6915" max="6915" width="14.44140625" style="115" bestFit="1" customWidth="1"/>
    <col min="6916" max="6916" width="10.6640625" style="115" customWidth="1"/>
    <col min="6917" max="6917" width="11.88671875" style="115" customWidth="1"/>
    <col min="6918" max="6918" width="10.88671875" style="115" customWidth="1"/>
    <col min="6919" max="6919" width="11.5546875" style="115" customWidth="1"/>
    <col min="6920" max="6920" width="13.88671875" style="115" customWidth="1"/>
    <col min="6921" max="6921" width="2.33203125" style="115" customWidth="1"/>
    <col min="6922" max="6922" width="2" style="115" customWidth="1"/>
    <col min="6923" max="6923" width="49.44140625" style="115" customWidth="1"/>
    <col min="6924" max="6924" width="12.88671875" style="115" customWidth="1"/>
    <col min="6925" max="7166" width="9.109375" style="115"/>
    <col min="7167" max="7167" width="3.109375" style="115" customWidth="1"/>
    <col min="7168" max="7168" width="33.33203125" style="115" customWidth="1"/>
    <col min="7169" max="7169" width="11.6640625" style="115" customWidth="1"/>
    <col min="7170" max="7170" width="12" style="115" customWidth="1"/>
    <col min="7171" max="7171" width="14.44140625" style="115" bestFit="1" customWidth="1"/>
    <col min="7172" max="7172" width="10.6640625" style="115" customWidth="1"/>
    <col min="7173" max="7173" width="11.88671875" style="115" customWidth="1"/>
    <col min="7174" max="7174" width="10.88671875" style="115" customWidth="1"/>
    <col min="7175" max="7175" width="11.5546875" style="115" customWidth="1"/>
    <col min="7176" max="7176" width="13.88671875" style="115" customWidth="1"/>
    <col min="7177" max="7177" width="2.33203125" style="115" customWidth="1"/>
    <col min="7178" max="7178" width="2" style="115" customWidth="1"/>
    <col min="7179" max="7179" width="49.44140625" style="115" customWidth="1"/>
    <col min="7180" max="7180" width="12.88671875" style="115" customWidth="1"/>
    <col min="7181" max="7422" width="9.109375" style="115"/>
    <col min="7423" max="7423" width="3.109375" style="115" customWidth="1"/>
    <col min="7424" max="7424" width="33.33203125" style="115" customWidth="1"/>
    <col min="7425" max="7425" width="11.6640625" style="115" customWidth="1"/>
    <col min="7426" max="7426" width="12" style="115" customWidth="1"/>
    <col min="7427" max="7427" width="14.44140625" style="115" bestFit="1" customWidth="1"/>
    <col min="7428" max="7428" width="10.6640625" style="115" customWidth="1"/>
    <col min="7429" max="7429" width="11.88671875" style="115" customWidth="1"/>
    <col min="7430" max="7430" width="10.88671875" style="115" customWidth="1"/>
    <col min="7431" max="7431" width="11.5546875" style="115" customWidth="1"/>
    <col min="7432" max="7432" width="13.88671875" style="115" customWidth="1"/>
    <col min="7433" max="7433" width="2.33203125" style="115" customWidth="1"/>
    <col min="7434" max="7434" width="2" style="115" customWidth="1"/>
    <col min="7435" max="7435" width="49.44140625" style="115" customWidth="1"/>
    <col min="7436" max="7436" width="12.88671875" style="115" customWidth="1"/>
    <col min="7437" max="7678" width="9.109375" style="115"/>
    <col min="7679" max="7679" width="3.109375" style="115" customWidth="1"/>
    <col min="7680" max="7680" width="33.33203125" style="115" customWidth="1"/>
    <col min="7681" max="7681" width="11.6640625" style="115" customWidth="1"/>
    <col min="7682" max="7682" width="12" style="115" customWidth="1"/>
    <col min="7683" max="7683" width="14.44140625" style="115" bestFit="1" customWidth="1"/>
    <col min="7684" max="7684" width="10.6640625" style="115" customWidth="1"/>
    <col min="7685" max="7685" width="11.88671875" style="115" customWidth="1"/>
    <col min="7686" max="7686" width="10.88671875" style="115" customWidth="1"/>
    <col min="7687" max="7687" width="11.5546875" style="115" customWidth="1"/>
    <col min="7688" max="7688" width="13.88671875" style="115" customWidth="1"/>
    <col min="7689" max="7689" width="2.33203125" style="115" customWidth="1"/>
    <col min="7690" max="7690" width="2" style="115" customWidth="1"/>
    <col min="7691" max="7691" width="49.44140625" style="115" customWidth="1"/>
    <col min="7692" max="7692" width="12.88671875" style="115" customWidth="1"/>
    <col min="7693" max="7934" width="9.109375" style="115"/>
    <col min="7935" max="7935" width="3.109375" style="115" customWidth="1"/>
    <col min="7936" max="7936" width="33.33203125" style="115" customWidth="1"/>
    <col min="7937" max="7937" width="11.6640625" style="115" customWidth="1"/>
    <col min="7938" max="7938" width="12" style="115" customWidth="1"/>
    <col min="7939" max="7939" width="14.44140625" style="115" bestFit="1" customWidth="1"/>
    <col min="7940" max="7940" width="10.6640625" style="115" customWidth="1"/>
    <col min="7941" max="7941" width="11.88671875" style="115" customWidth="1"/>
    <col min="7942" max="7942" width="10.88671875" style="115" customWidth="1"/>
    <col min="7943" max="7943" width="11.5546875" style="115" customWidth="1"/>
    <col min="7944" max="7944" width="13.88671875" style="115" customWidth="1"/>
    <col min="7945" max="7945" width="2.33203125" style="115" customWidth="1"/>
    <col min="7946" max="7946" width="2" style="115" customWidth="1"/>
    <col min="7947" max="7947" width="49.44140625" style="115" customWidth="1"/>
    <col min="7948" max="7948" width="12.88671875" style="115" customWidth="1"/>
    <col min="7949" max="8190" width="9.109375" style="115"/>
    <col min="8191" max="8191" width="3.109375" style="115" customWidth="1"/>
    <col min="8192" max="8192" width="33.33203125" style="115" customWidth="1"/>
    <col min="8193" max="8193" width="11.6640625" style="115" customWidth="1"/>
    <col min="8194" max="8194" width="12" style="115" customWidth="1"/>
    <col min="8195" max="8195" width="14.44140625" style="115" bestFit="1" customWidth="1"/>
    <col min="8196" max="8196" width="10.6640625" style="115" customWidth="1"/>
    <col min="8197" max="8197" width="11.88671875" style="115" customWidth="1"/>
    <col min="8198" max="8198" width="10.88671875" style="115" customWidth="1"/>
    <col min="8199" max="8199" width="11.5546875" style="115" customWidth="1"/>
    <col min="8200" max="8200" width="13.88671875" style="115" customWidth="1"/>
    <col min="8201" max="8201" width="2.33203125" style="115" customWidth="1"/>
    <col min="8202" max="8202" width="2" style="115" customWidth="1"/>
    <col min="8203" max="8203" width="49.44140625" style="115" customWidth="1"/>
    <col min="8204" max="8204" width="12.88671875" style="115" customWidth="1"/>
    <col min="8205" max="8446" width="9.109375" style="115"/>
    <col min="8447" max="8447" width="3.109375" style="115" customWidth="1"/>
    <col min="8448" max="8448" width="33.33203125" style="115" customWidth="1"/>
    <col min="8449" max="8449" width="11.6640625" style="115" customWidth="1"/>
    <col min="8450" max="8450" width="12" style="115" customWidth="1"/>
    <col min="8451" max="8451" width="14.44140625" style="115" bestFit="1" customWidth="1"/>
    <col min="8452" max="8452" width="10.6640625" style="115" customWidth="1"/>
    <col min="8453" max="8453" width="11.88671875" style="115" customWidth="1"/>
    <col min="8454" max="8454" width="10.88671875" style="115" customWidth="1"/>
    <col min="8455" max="8455" width="11.5546875" style="115" customWidth="1"/>
    <col min="8456" max="8456" width="13.88671875" style="115" customWidth="1"/>
    <col min="8457" max="8457" width="2.33203125" style="115" customWidth="1"/>
    <col min="8458" max="8458" width="2" style="115" customWidth="1"/>
    <col min="8459" max="8459" width="49.44140625" style="115" customWidth="1"/>
    <col min="8460" max="8460" width="12.88671875" style="115" customWidth="1"/>
    <col min="8461" max="8702" width="9.109375" style="115"/>
    <col min="8703" max="8703" width="3.109375" style="115" customWidth="1"/>
    <col min="8704" max="8704" width="33.33203125" style="115" customWidth="1"/>
    <col min="8705" max="8705" width="11.6640625" style="115" customWidth="1"/>
    <col min="8706" max="8706" width="12" style="115" customWidth="1"/>
    <col min="8707" max="8707" width="14.44140625" style="115" bestFit="1" customWidth="1"/>
    <col min="8708" max="8708" width="10.6640625" style="115" customWidth="1"/>
    <col min="8709" max="8709" width="11.88671875" style="115" customWidth="1"/>
    <col min="8710" max="8710" width="10.88671875" style="115" customWidth="1"/>
    <col min="8711" max="8711" width="11.5546875" style="115" customWidth="1"/>
    <col min="8712" max="8712" width="13.88671875" style="115" customWidth="1"/>
    <col min="8713" max="8713" width="2.33203125" style="115" customWidth="1"/>
    <col min="8714" max="8714" width="2" style="115" customWidth="1"/>
    <col min="8715" max="8715" width="49.44140625" style="115" customWidth="1"/>
    <col min="8716" max="8716" width="12.88671875" style="115" customWidth="1"/>
    <col min="8717" max="8958" width="9.109375" style="115"/>
    <col min="8959" max="8959" width="3.109375" style="115" customWidth="1"/>
    <col min="8960" max="8960" width="33.33203125" style="115" customWidth="1"/>
    <col min="8961" max="8961" width="11.6640625" style="115" customWidth="1"/>
    <col min="8962" max="8962" width="12" style="115" customWidth="1"/>
    <col min="8963" max="8963" width="14.44140625" style="115" bestFit="1" customWidth="1"/>
    <col min="8964" max="8964" width="10.6640625" style="115" customWidth="1"/>
    <col min="8965" max="8965" width="11.88671875" style="115" customWidth="1"/>
    <col min="8966" max="8966" width="10.88671875" style="115" customWidth="1"/>
    <col min="8967" max="8967" width="11.5546875" style="115" customWidth="1"/>
    <col min="8968" max="8968" width="13.88671875" style="115" customWidth="1"/>
    <col min="8969" max="8969" width="2.33203125" style="115" customWidth="1"/>
    <col min="8970" max="8970" width="2" style="115" customWidth="1"/>
    <col min="8971" max="8971" width="49.44140625" style="115" customWidth="1"/>
    <col min="8972" max="8972" width="12.88671875" style="115" customWidth="1"/>
    <col min="8973" max="9214" width="9.109375" style="115"/>
    <col min="9215" max="9215" width="3.109375" style="115" customWidth="1"/>
    <col min="9216" max="9216" width="33.33203125" style="115" customWidth="1"/>
    <col min="9217" max="9217" width="11.6640625" style="115" customWidth="1"/>
    <col min="9218" max="9218" width="12" style="115" customWidth="1"/>
    <col min="9219" max="9219" width="14.44140625" style="115" bestFit="1" customWidth="1"/>
    <col min="9220" max="9220" width="10.6640625" style="115" customWidth="1"/>
    <col min="9221" max="9221" width="11.88671875" style="115" customWidth="1"/>
    <col min="9222" max="9222" width="10.88671875" style="115" customWidth="1"/>
    <col min="9223" max="9223" width="11.5546875" style="115" customWidth="1"/>
    <col min="9224" max="9224" width="13.88671875" style="115" customWidth="1"/>
    <col min="9225" max="9225" width="2.33203125" style="115" customWidth="1"/>
    <col min="9226" max="9226" width="2" style="115" customWidth="1"/>
    <col min="9227" max="9227" width="49.44140625" style="115" customWidth="1"/>
    <col min="9228" max="9228" width="12.88671875" style="115" customWidth="1"/>
    <col min="9229" max="9470" width="9.109375" style="115"/>
    <col min="9471" max="9471" width="3.109375" style="115" customWidth="1"/>
    <col min="9472" max="9472" width="33.33203125" style="115" customWidth="1"/>
    <col min="9473" max="9473" width="11.6640625" style="115" customWidth="1"/>
    <col min="9474" max="9474" width="12" style="115" customWidth="1"/>
    <col min="9475" max="9475" width="14.44140625" style="115" bestFit="1" customWidth="1"/>
    <col min="9476" max="9476" width="10.6640625" style="115" customWidth="1"/>
    <col min="9477" max="9477" width="11.88671875" style="115" customWidth="1"/>
    <col min="9478" max="9478" width="10.88671875" style="115" customWidth="1"/>
    <col min="9479" max="9479" width="11.5546875" style="115" customWidth="1"/>
    <col min="9480" max="9480" width="13.88671875" style="115" customWidth="1"/>
    <col min="9481" max="9481" width="2.33203125" style="115" customWidth="1"/>
    <col min="9482" max="9482" width="2" style="115" customWidth="1"/>
    <col min="9483" max="9483" width="49.44140625" style="115" customWidth="1"/>
    <col min="9484" max="9484" width="12.88671875" style="115" customWidth="1"/>
    <col min="9485" max="9726" width="9.109375" style="115"/>
    <col min="9727" max="9727" width="3.109375" style="115" customWidth="1"/>
    <col min="9728" max="9728" width="33.33203125" style="115" customWidth="1"/>
    <col min="9729" max="9729" width="11.6640625" style="115" customWidth="1"/>
    <col min="9730" max="9730" width="12" style="115" customWidth="1"/>
    <col min="9731" max="9731" width="14.44140625" style="115" bestFit="1" customWidth="1"/>
    <col min="9732" max="9732" width="10.6640625" style="115" customWidth="1"/>
    <col min="9733" max="9733" width="11.88671875" style="115" customWidth="1"/>
    <col min="9734" max="9734" width="10.88671875" style="115" customWidth="1"/>
    <col min="9735" max="9735" width="11.5546875" style="115" customWidth="1"/>
    <col min="9736" max="9736" width="13.88671875" style="115" customWidth="1"/>
    <col min="9737" max="9737" width="2.33203125" style="115" customWidth="1"/>
    <col min="9738" max="9738" width="2" style="115" customWidth="1"/>
    <col min="9739" max="9739" width="49.44140625" style="115" customWidth="1"/>
    <col min="9740" max="9740" width="12.88671875" style="115" customWidth="1"/>
    <col min="9741" max="9982" width="9.109375" style="115"/>
    <col min="9983" max="9983" width="3.109375" style="115" customWidth="1"/>
    <col min="9984" max="9984" width="33.33203125" style="115" customWidth="1"/>
    <col min="9985" max="9985" width="11.6640625" style="115" customWidth="1"/>
    <col min="9986" max="9986" width="12" style="115" customWidth="1"/>
    <col min="9987" max="9987" width="14.44140625" style="115" bestFit="1" customWidth="1"/>
    <col min="9988" max="9988" width="10.6640625" style="115" customWidth="1"/>
    <col min="9989" max="9989" width="11.88671875" style="115" customWidth="1"/>
    <col min="9990" max="9990" width="10.88671875" style="115" customWidth="1"/>
    <col min="9991" max="9991" width="11.5546875" style="115" customWidth="1"/>
    <col min="9992" max="9992" width="13.88671875" style="115" customWidth="1"/>
    <col min="9993" max="9993" width="2.33203125" style="115" customWidth="1"/>
    <col min="9994" max="9994" width="2" style="115" customWidth="1"/>
    <col min="9995" max="9995" width="49.44140625" style="115" customWidth="1"/>
    <col min="9996" max="9996" width="12.88671875" style="115" customWidth="1"/>
    <col min="9997" max="10238" width="9.109375" style="115"/>
    <col min="10239" max="10239" width="3.109375" style="115" customWidth="1"/>
    <col min="10240" max="10240" width="33.33203125" style="115" customWidth="1"/>
    <col min="10241" max="10241" width="11.6640625" style="115" customWidth="1"/>
    <col min="10242" max="10242" width="12" style="115" customWidth="1"/>
    <col min="10243" max="10243" width="14.44140625" style="115" bestFit="1" customWidth="1"/>
    <col min="10244" max="10244" width="10.6640625" style="115" customWidth="1"/>
    <col min="10245" max="10245" width="11.88671875" style="115" customWidth="1"/>
    <col min="10246" max="10246" width="10.88671875" style="115" customWidth="1"/>
    <col min="10247" max="10247" width="11.5546875" style="115" customWidth="1"/>
    <col min="10248" max="10248" width="13.88671875" style="115" customWidth="1"/>
    <col min="10249" max="10249" width="2.33203125" style="115" customWidth="1"/>
    <col min="10250" max="10250" width="2" style="115" customWidth="1"/>
    <col min="10251" max="10251" width="49.44140625" style="115" customWidth="1"/>
    <col min="10252" max="10252" width="12.88671875" style="115" customWidth="1"/>
    <col min="10253" max="10494" width="9.109375" style="115"/>
    <col min="10495" max="10495" width="3.109375" style="115" customWidth="1"/>
    <col min="10496" max="10496" width="33.33203125" style="115" customWidth="1"/>
    <col min="10497" max="10497" width="11.6640625" style="115" customWidth="1"/>
    <col min="10498" max="10498" width="12" style="115" customWidth="1"/>
    <col min="10499" max="10499" width="14.44140625" style="115" bestFit="1" customWidth="1"/>
    <col min="10500" max="10500" width="10.6640625" style="115" customWidth="1"/>
    <col min="10501" max="10501" width="11.88671875" style="115" customWidth="1"/>
    <col min="10502" max="10502" width="10.88671875" style="115" customWidth="1"/>
    <col min="10503" max="10503" width="11.5546875" style="115" customWidth="1"/>
    <col min="10504" max="10504" width="13.88671875" style="115" customWidth="1"/>
    <col min="10505" max="10505" width="2.33203125" style="115" customWidth="1"/>
    <col min="10506" max="10506" width="2" style="115" customWidth="1"/>
    <col min="10507" max="10507" width="49.44140625" style="115" customWidth="1"/>
    <col min="10508" max="10508" width="12.88671875" style="115" customWidth="1"/>
    <col min="10509" max="10750" width="9.109375" style="115"/>
    <col min="10751" max="10751" width="3.109375" style="115" customWidth="1"/>
    <col min="10752" max="10752" width="33.33203125" style="115" customWidth="1"/>
    <col min="10753" max="10753" width="11.6640625" style="115" customWidth="1"/>
    <col min="10754" max="10754" width="12" style="115" customWidth="1"/>
    <col min="10755" max="10755" width="14.44140625" style="115" bestFit="1" customWidth="1"/>
    <col min="10756" max="10756" width="10.6640625" style="115" customWidth="1"/>
    <col min="10757" max="10757" width="11.88671875" style="115" customWidth="1"/>
    <col min="10758" max="10758" width="10.88671875" style="115" customWidth="1"/>
    <col min="10759" max="10759" width="11.5546875" style="115" customWidth="1"/>
    <col min="10760" max="10760" width="13.88671875" style="115" customWidth="1"/>
    <col min="10761" max="10761" width="2.33203125" style="115" customWidth="1"/>
    <col min="10762" max="10762" width="2" style="115" customWidth="1"/>
    <col min="10763" max="10763" width="49.44140625" style="115" customWidth="1"/>
    <col min="10764" max="10764" width="12.88671875" style="115" customWidth="1"/>
    <col min="10765" max="11006" width="9.109375" style="115"/>
    <col min="11007" max="11007" width="3.109375" style="115" customWidth="1"/>
    <col min="11008" max="11008" width="33.33203125" style="115" customWidth="1"/>
    <col min="11009" max="11009" width="11.6640625" style="115" customWidth="1"/>
    <col min="11010" max="11010" width="12" style="115" customWidth="1"/>
    <col min="11011" max="11011" width="14.44140625" style="115" bestFit="1" customWidth="1"/>
    <col min="11012" max="11012" width="10.6640625" style="115" customWidth="1"/>
    <col min="11013" max="11013" width="11.88671875" style="115" customWidth="1"/>
    <col min="11014" max="11014" width="10.88671875" style="115" customWidth="1"/>
    <col min="11015" max="11015" width="11.5546875" style="115" customWidth="1"/>
    <col min="11016" max="11016" width="13.88671875" style="115" customWidth="1"/>
    <col min="11017" max="11017" width="2.33203125" style="115" customWidth="1"/>
    <col min="11018" max="11018" width="2" style="115" customWidth="1"/>
    <col min="11019" max="11019" width="49.44140625" style="115" customWidth="1"/>
    <col min="11020" max="11020" width="12.88671875" style="115" customWidth="1"/>
    <col min="11021" max="11262" width="9.109375" style="115"/>
    <col min="11263" max="11263" width="3.109375" style="115" customWidth="1"/>
    <col min="11264" max="11264" width="33.33203125" style="115" customWidth="1"/>
    <col min="11265" max="11265" width="11.6640625" style="115" customWidth="1"/>
    <col min="11266" max="11266" width="12" style="115" customWidth="1"/>
    <col min="11267" max="11267" width="14.44140625" style="115" bestFit="1" customWidth="1"/>
    <col min="11268" max="11268" width="10.6640625" style="115" customWidth="1"/>
    <col min="11269" max="11269" width="11.88671875" style="115" customWidth="1"/>
    <col min="11270" max="11270" width="10.88671875" style="115" customWidth="1"/>
    <col min="11271" max="11271" width="11.5546875" style="115" customWidth="1"/>
    <col min="11272" max="11272" width="13.88671875" style="115" customWidth="1"/>
    <col min="11273" max="11273" width="2.33203125" style="115" customWidth="1"/>
    <col min="11274" max="11274" width="2" style="115" customWidth="1"/>
    <col min="11275" max="11275" width="49.44140625" style="115" customWidth="1"/>
    <col min="11276" max="11276" width="12.88671875" style="115" customWidth="1"/>
    <col min="11277" max="11518" width="9.109375" style="115"/>
    <col min="11519" max="11519" width="3.109375" style="115" customWidth="1"/>
    <col min="11520" max="11520" width="33.33203125" style="115" customWidth="1"/>
    <col min="11521" max="11521" width="11.6640625" style="115" customWidth="1"/>
    <col min="11522" max="11522" width="12" style="115" customWidth="1"/>
    <col min="11523" max="11523" width="14.44140625" style="115" bestFit="1" customWidth="1"/>
    <col min="11524" max="11524" width="10.6640625" style="115" customWidth="1"/>
    <col min="11525" max="11525" width="11.88671875" style="115" customWidth="1"/>
    <col min="11526" max="11526" width="10.88671875" style="115" customWidth="1"/>
    <col min="11527" max="11527" width="11.5546875" style="115" customWidth="1"/>
    <col min="11528" max="11528" width="13.88671875" style="115" customWidth="1"/>
    <col min="11529" max="11529" width="2.33203125" style="115" customWidth="1"/>
    <col min="11530" max="11530" width="2" style="115" customWidth="1"/>
    <col min="11531" max="11531" width="49.44140625" style="115" customWidth="1"/>
    <col min="11532" max="11532" width="12.88671875" style="115" customWidth="1"/>
    <col min="11533" max="11774" width="9.109375" style="115"/>
    <col min="11775" max="11775" width="3.109375" style="115" customWidth="1"/>
    <col min="11776" max="11776" width="33.33203125" style="115" customWidth="1"/>
    <col min="11777" max="11777" width="11.6640625" style="115" customWidth="1"/>
    <col min="11778" max="11778" width="12" style="115" customWidth="1"/>
    <col min="11779" max="11779" width="14.44140625" style="115" bestFit="1" customWidth="1"/>
    <col min="11780" max="11780" width="10.6640625" style="115" customWidth="1"/>
    <col min="11781" max="11781" width="11.88671875" style="115" customWidth="1"/>
    <col min="11782" max="11782" width="10.88671875" style="115" customWidth="1"/>
    <col min="11783" max="11783" width="11.5546875" style="115" customWidth="1"/>
    <col min="11784" max="11784" width="13.88671875" style="115" customWidth="1"/>
    <col min="11785" max="11785" width="2.33203125" style="115" customWidth="1"/>
    <col min="11786" max="11786" width="2" style="115" customWidth="1"/>
    <col min="11787" max="11787" width="49.44140625" style="115" customWidth="1"/>
    <col min="11788" max="11788" width="12.88671875" style="115" customWidth="1"/>
    <col min="11789" max="12030" width="9.109375" style="115"/>
    <col min="12031" max="12031" width="3.109375" style="115" customWidth="1"/>
    <col min="12032" max="12032" width="33.33203125" style="115" customWidth="1"/>
    <col min="12033" max="12033" width="11.6640625" style="115" customWidth="1"/>
    <col min="12034" max="12034" width="12" style="115" customWidth="1"/>
    <col min="12035" max="12035" width="14.44140625" style="115" bestFit="1" customWidth="1"/>
    <col min="12036" max="12036" width="10.6640625" style="115" customWidth="1"/>
    <col min="12037" max="12037" width="11.88671875" style="115" customWidth="1"/>
    <col min="12038" max="12038" width="10.88671875" style="115" customWidth="1"/>
    <col min="12039" max="12039" width="11.5546875" style="115" customWidth="1"/>
    <col min="12040" max="12040" width="13.88671875" style="115" customWidth="1"/>
    <col min="12041" max="12041" width="2.33203125" style="115" customWidth="1"/>
    <col min="12042" max="12042" width="2" style="115" customWidth="1"/>
    <col min="12043" max="12043" width="49.44140625" style="115" customWidth="1"/>
    <col min="12044" max="12044" width="12.88671875" style="115" customWidth="1"/>
    <col min="12045" max="12286" width="9.109375" style="115"/>
    <col min="12287" max="12287" width="3.109375" style="115" customWidth="1"/>
    <col min="12288" max="12288" width="33.33203125" style="115" customWidth="1"/>
    <col min="12289" max="12289" width="11.6640625" style="115" customWidth="1"/>
    <col min="12290" max="12290" width="12" style="115" customWidth="1"/>
    <col min="12291" max="12291" width="14.44140625" style="115" bestFit="1" customWidth="1"/>
    <col min="12292" max="12292" width="10.6640625" style="115" customWidth="1"/>
    <col min="12293" max="12293" width="11.88671875" style="115" customWidth="1"/>
    <col min="12294" max="12294" width="10.88671875" style="115" customWidth="1"/>
    <col min="12295" max="12295" width="11.5546875" style="115" customWidth="1"/>
    <col min="12296" max="12296" width="13.88671875" style="115" customWidth="1"/>
    <col min="12297" max="12297" width="2.33203125" style="115" customWidth="1"/>
    <col min="12298" max="12298" width="2" style="115" customWidth="1"/>
    <col min="12299" max="12299" width="49.44140625" style="115" customWidth="1"/>
    <col min="12300" max="12300" width="12.88671875" style="115" customWidth="1"/>
    <col min="12301" max="12542" width="9.109375" style="115"/>
    <col min="12543" max="12543" width="3.109375" style="115" customWidth="1"/>
    <col min="12544" max="12544" width="33.33203125" style="115" customWidth="1"/>
    <col min="12545" max="12545" width="11.6640625" style="115" customWidth="1"/>
    <col min="12546" max="12546" width="12" style="115" customWidth="1"/>
    <col min="12547" max="12547" width="14.44140625" style="115" bestFit="1" customWidth="1"/>
    <col min="12548" max="12548" width="10.6640625" style="115" customWidth="1"/>
    <col min="12549" max="12549" width="11.88671875" style="115" customWidth="1"/>
    <col min="12550" max="12550" width="10.88671875" style="115" customWidth="1"/>
    <col min="12551" max="12551" width="11.5546875" style="115" customWidth="1"/>
    <col min="12552" max="12552" width="13.88671875" style="115" customWidth="1"/>
    <col min="12553" max="12553" width="2.33203125" style="115" customWidth="1"/>
    <col min="12554" max="12554" width="2" style="115" customWidth="1"/>
    <col min="12555" max="12555" width="49.44140625" style="115" customWidth="1"/>
    <col min="12556" max="12556" width="12.88671875" style="115" customWidth="1"/>
    <col min="12557" max="12798" width="9.109375" style="115"/>
    <col min="12799" max="12799" width="3.109375" style="115" customWidth="1"/>
    <col min="12800" max="12800" width="33.33203125" style="115" customWidth="1"/>
    <col min="12801" max="12801" width="11.6640625" style="115" customWidth="1"/>
    <col min="12802" max="12802" width="12" style="115" customWidth="1"/>
    <col min="12803" max="12803" width="14.44140625" style="115" bestFit="1" customWidth="1"/>
    <col min="12804" max="12804" width="10.6640625" style="115" customWidth="1"/>
    <col min="12805" max="12805" width="11.88671875" style="115" customWidth="1"/>
    <col min="12806" max="12806" width="10.88671875" style="115" customWidth="1"/>
    <col min="12807" max="12807" width="11.5546875" style="115" customWidth="1"/>
    <col min="12808" max="12808" width="13.88671875" style="115" customWidth="1"/>
    <col min="12809" max="12809" width="2.33203125" style="115" customWidth="1"/>
    <col min="12810" max="12810" width="2" style="115" customWidth="1"/>
    <col min="12811" max="12811" width="49.44140625" style="115" customWidth="1"/>
    <col min="12812" max="12812" width="12.88671875" style="115" customWidth="1"/>
    <col min="12813" max="13054" width="9.109375" style="115"/>
    <col min="13055" max="13055" width="3.109375" style="115" customWidth="1"/>
    <col min="13056" max="13056" width="33.33203125" style="115" customWidth="1"/>
    <col min="13057" max="13057" width="11.6640625" style="115" customWidth="1"/>
    <col min="13058" max="13058" width="12" style="115" customWidth="1"/>
    <col min="13059" max="13059" width="14.44140625" style="115" bestFit="1" customWidth="1"/>
    <col min="13060" max="13060" width="10.6640625" style="115" customWidth="1"/>
    <col min="13061" max="13061" width="11.88671875" style="115" customWidth="1"/>
    <col min="13062" max="13062" width="10.88671875" style="115" customWidth="1"/>
    <col min="13063" max="13063" width="11.5546875" style="115" customWidth="1"/>
    <col min="13064" max="13064" width="13.88671875" style="115" customWidth="1"/>
    <col min="13065" max="13065" width="2.33203125" style="115" customWidth="1"/>
    <col min="13066" max="13066" width="2" style="115" customWidth="1"/>
    <col min="13067" max="13067" width="49.44140625" style="115" customWidth="1"/>
    <col min="13068" max="13068" width="12.88671875" style="115" customWidth="1"/>
    <col min="13069" max="13310" width="9.109375" style="115"/>
    <col min="13311" max="13311" width="3.109375" style="115" customWidth="1"/>
    <col min="13312" max="13312" width="33.33203125" style="115" customWidth="1"/>
    <col min="13313" max="13313" width="11.6640625" style="115" customWidth="1"/>
    <col min="13314" max="13314" width="12" style="115" customWidth="1"/>
    <col min="13315" max="13315" width="14.44140625" style="115" bestFit="1" customWidth="1"/>
    <col min="13316" max="13316" width="10.6640625" style="115" customWidth="1"/>
    <col min="13317" max="13317" width="11.88671875" style="115" customWidth="1"/>
    <col min="13318" max="13318" width="10.88671875" style="115" customWidth="1"/>
    <col min="13319" max="13319" width="11.5546875" style="115" customWidth="1"/>
    <col min="13320" max="13320" width="13.88671875" style="115" customWidth="1"/>
    <col min="13321" max="13321" width="2.33203125" style="115" customWidth="1"/>
    <col min="13322" max="13322" width="2" style="115" customWidth="1"/>
    <col min="13323" max="13323" width="49.44140625" style="115" customWidth="1"/>
    <col min="13324" max="13324" width="12.88671875" style="115" customWidth="1"/>
    <col min="13325" max="13566" width="9.109375" style="115"/>
    <col min="13567" max="13567" width="3.109375" style="115" customWidth="1"/>
    <col min="13568" max="13568" width="33.33203125" style="115" customWidth="1"/>
    <col min="13569" max="13569" width="11.6640625" style="115" customWidth="1"/>
    <col min="13570" max="13570" width="12" style="115" customWidth="1"/>
    <col min="13571" max="13571" width="14.44140625" style="115" bestFit="1" customWidth="1"/>
    <col min="13572" max="13572" width="10.6640625" style="115" customWidth="1"/>
    <col min="13573" max="13573" width="11.88671875" style="115" customWidth="1"/>
    <col min="13574" max="13574" width="10.88671875" style="115" customWidth="1"/>
    <col min="13575" max="13575" width="11.5546875" style="115" customWidth="1"/>
    <col min="13576" max="13576" width="13.88671875" style="115" customWidth="1"/>
    <col min="13577" max="13577" width="2.33203125" style="115" customWidth="1"/>
    <col min="13578" max="13578" width="2" style="115" customWidth="1"/>
    <col min="13579" max="13579" width="49.44140625" style="115" customWidth="1"/>
    <col min="13580" max="13580" width="12.88671875" style="115" customWidth="1"/>
    <col min="13581" max="13822" width="9.109375" style="115"/>
    <col min="13823" max="13823" width="3.109375" style="115" customWidth="1"/>
    <col min="13824" max="13824" width="33.33203125" style="115" customWidth="1"/>
    <col min="13825" max="13825" width="11.6640625" style="115" customWidth="1"/>
    <col min="13826" max="13826" width="12" style="115" customWidth="1"/>
    <col min="13827" max="13827" width="14.44140625" style="115" bestFit="1" customWidth="1"/>
    <col min="13828" max="13828" width="10.6640625" style="115" customWidth="1"/>
    <col min="13829" max="13829" width="11.88671875" style="115" customWidth="1"/>
    <col min="13830" max="13830" width="10.88671875" style="115" customWidth="1"/>
    <col min="13831" max="13831" width="11.5546875" style="115" customWidth="1"/>
    <col min="13832" max="13832" width="13.88671875" style="115" customWidth="1"/>
    <col min="13833" max="13833" width="2.33203125" style="115" customWidth="1"/>
    <col min="13834" max="13834" width="2" style="115" customWidth="1"/>
    <col min="13835" max="13835" width="49.44140625" style="115" customWidth="1"/>
    <col min="13836" max="13836" width="12.88671875" style="115" customWidth="1"/>
    <col min="13837" max="14078" width="9.109375" style="115"/>
    <col min="14079" max="14079" width="3.109375" style="115" customWidth="1"/>
    <col min="14080" max="14080" width="33.33203125" style="115" customWidth="1"/>
    <col min="14081" max="14081" width="11.6640625" style="115" customWidth="1"/>
    <col min="14082" max="14082" width="12" style="115" customWidth="1"/>
    <col min="14083" max="14083" width="14.44140625" style="115" bestFit="1" customWidth="1"/>
    <col min="14084" max="14084" width="10.6640625" style="115" customWidth="1"/>
    <col min="14085" max="14085" width="11.88671875" style="115" customWidth="1"/>
    <col min="14086" max="14086" width="10.88671875" style="115" customWidth="1"/>
    <col min="14087" max="14087" width="11.5546875" style="115" customWidth="1"/>
    <col min="14088" max="14088" width="13.88671875" style="115" customWidth="1"/>
    <col min="14089" max="14089" width="2.33203125" style="115" customWidth="1"/>
    <col min="14090" max="14090" width="2" style="115" customWidth="1"/>
    <col min="14091" max="14091" width="49.44140625" style="115" customWidth="1"/>
    <col min="14092" max="14092" width="12.88671875" style="115" customWidth="1"/>
    <col min="14093" max="14334" width="9.109375" style="115"/>
    <col min="14335" max="14335" width="3.109375" style="115" customWidth="1"/>
    <col min="14336" max="14336" width="33.33203125" style="115" customWidth="1"/>
    <col min="14337" max="14337" width="11.6640625" style="115" customWidth="1"/>
    <col min="14338" max="14338" width="12" style="115" customWidth="1"/>
    <col min="14339" max="14339" width="14.44140625" style="115" bestFit="1" customWidth="1"/>
    <col min="14340" max="14340" width="10.6640625" style="115" customWidth="1"/>
    <col min="14341" max="14341" width="11.88671875" style="115" customWidth="1"/>
    <col min="14342" max="14342" width="10.88671875" style="115" customWidth="1"/>
    <col min="14343" max="14343" width="11.5546875" style="115" customWidth="1"/>
    <col min="14344" max="14344" width="13.88671875" style="115" customWidth="1"/>
    <col min="14345" max="14345" width="2.33203125" style="115" customWidth="1"/>
    <col min="14346" max="14346" width="2" style="115" customWidth="1"/>
    <col min="14347" max="14347" width="49.44140625" style="115" customWidth="1"/>
    <col min="14348" max="14348" width="12.88671875" style="115" customWidth="1"/>
    <col min="14349" max="14590" width="9.109375" style="115"/>
    <col min="14591" max="14591" width="3.109375" style="115" customWidth="1"/>
    <col min="14592" max="14592" width="33.33203125" style="115" customWidth="1"/>
    <col min="14593" max="14593" width="11.6640625" style="115" customWidth="1"/>
    <col min="14594" max="14594" width="12" style="115" customWidth="1"/>
    <col min="14595" max="14595" width="14.44140625" style="115" bestFit="1" customWidth="1"/>
    <col min="14596" max="14596" width="10.6640625" style="115" customWidth="1"/>
    <col min="14597" max="14597" width="11.88671875" style="115" customWidth="1"/>
    <col min="14598" max="14598" width="10.88671875" style="115" customWidth="1"/>
    <col min="14599" max="14599" width="11.5546875" style="115" customWidth="1"/>
    <col min="14600" max="14600" width="13.88671875" style="115" customWidth="1"/>
    <col min="14601" max="14601" width="2.33203125" style="115" customWidth="1"/>
    <col min="14602" max="14602" width="2" style="115" customWidth="1"/>
    <col min="14603" max="14603" width="49.44140625" style="115" customWidth="1"/>
    <col min="14604" max="14604" width="12.88671875" style="115" customWidth="1"/>
    <col min="14605" max="14846" width="9.109375" style="115"/>
    <col min="14847" max="14847" width="3.109375" style="115" customWidth="1"/>
    <col min="14848" max="14848" width="33.33203125" style="115" customWidth="1"/>
    <col min="14849" max="14849" width="11.6640625" style="115" customWidth="1"/>
    <col min="14850" max="14850" width="12" style="115" customWidth="1"/>
    <col min="14851" max="14851" width="14.44140625" style="115" bestFit="1" customWidth="1"/>
    <col min="14852" max="14852" width="10.6640625" style="115" customWidth="1"/>
    <col min="14853" max="14853" width="11.88671875" style="115" customWidth="1"/>
    <col min="14854" max="14854" width="10.88671875" style="115" customWidth="1"/>
    <col min="14855" max="14855" width="11.5546875" style="115" customWidth="1"/>
    <col min="14856" max="14856" width="13.88671875" style="115" customWidth="1"/>
    <col min="14857" max="14857" width="2.33203125" style="115" customWidth="1"/>
    <col min="14858" max="14858" width="2" style="115" customWidth="1"/>
    <col min="14859" max="14859" width="49.44140625" style="115" customWidth="1"/>
    <col min="14860" max="14860" width="12.88671875" style="115" customWidth="1"/>
    <col min="14861" max="15102" width="9.109375" style="115"/>
    <col min="15103" max="15103" width="3.109375" style="115" customWidth="1"/>
    <col min="15104" max="15104" width="33.33203125" style="115" customWidth="1"/>
    <col min="15105" max="15105" width="11.6640625" style="115" customWidth="1"/>
    <col min="15106" max="15106" width="12" style="115" customWidth="1"/>
    <col min="15107" max="15107" width="14.44140625" style="115" bestFit="1" customWidth="1"/>
    <col min="15108" max="15108" width="10.6640625" style="115" customWidth="1"/>
    <col min="15109" max="15109" width="11.88671875" style="115" customWidth="1"/>
    <col min="15110" max="15110" width="10.88671875" style="115" customWidth="1"/>
    <col min="15111" max="15111" width="11.5546875" style="115" customWidth="1"/>
    <col min="15112" max="15112" width="13.88671875" style="115" customWidth="1"/>
    <col min="15113" max="15113" width="2.33203125" style="115" customWidth="1"/>
    <col min="15114" max="15114" width="2" style="115" customWidth="1"/>
    <col min="15115" max="15115" width="49.44140625" style="115" customWidth="1"/>
    <col min="15116" max="15116" width="12.88671875" style="115" customWidth="1"/>
    <col min="15117" max="15358" width="9.109375" style="115"/>
    <col min="15359" max="15359" width="3.109375" style="115" customWidth="1"/>
    <col min="15360" max="15360" width="33.33203125" style="115" customWidth="1"/>
    <col min="15361" max="15361" width="11.6640625" style="115" customWidth="1"/>
    <col min="15362" max="15362" width="12" style="115" customWidth="1"/>
    <col min="15363" max="15363" width="14.44140625" style="115" bestFit="1" customWidth="1"/>
    <col min="15364" max="15364" width="10.6640625" style="115" customWidth="1"/>
    <col min="15365" max="15365" width="11.88671875" style="115" customWidth="1"/>
    <col min="15366" max="15366" width="10.88671875" style="115" customWidth="1"/>
    <col min="15367" max="15367" width="11.5546875" style="115" customWidth="1"/>
    <col min="15368" max="15368" width="13.88671875" style="115" customWidth="1"/>
    <col min="15369" max="15369" width="2.33203125" style="115" customWidth="1"/>
    <col min="15370" max="15370" width="2" style="115" customWidth="1"/>
    <col min="15371" max="15371" width="49.44140625" style="115" customWidth="1"/>
    <col min="15372" max="15372" width="12.88671875" style="115" customWidth="1"/>
    <col min="15373" max="15614" width="9.109375" style="115"/>
    <col min="15615" max="15615" width="3.109375" style="115" customWidth="1"/>
    <col min="15616" max="15616" width="33.33203125" style="115" customWidth="1"/>
    <col min="15617" max="15617" width="11.6640625" style="115" customWidth="1"/>
    <col min="15618" max="15618" width="12" style="115" customWidth="1"/>
    <col min="15619" max="15619" width="14.44140625" style="115" bestFit="1" customWidth="1"/>
    <col min="15620" max="15620" width="10.6640625" style="115" customWidth="1"/>
    <col min="15621" max="15621" width="11.88671875" style="115" customWidth="1"/>
    <col min="15622" max="15622" width="10.88671875" style="115" customWidth="1"/>
    <col min="15623" max="15623" width="11.5546875" style="115" customWidth="1"/>
    <col min="15624" max="15624" width="13.88671875" style="115" customWidth="1"/>
    <col min="15625" max="15625" width="2.33203125" style="115" customWidth="1"/>
    <col min="15626" max="15626" width="2" style="115" customWidth="1"/>
    <col min="15627" max="15627" width="49.44140625" style="115" customWidth="1"/>
    <col min="15628" max="15628" width="12.88671875" style="115" customWidth="1"/>
    <col min="15629" max="15870" width="9.109375" style="115"/>
    <col min="15871" max="15871" width="3.109375" style="115" customWidth="1"/>
    <col min="15872" max="15872" width="33.33203125" style="115" customWidth="1"/>
    <col min="15873" max="15873" width="11.6640625" style="115" customWidth="1"/>
    <col min="15874" max="15874" width="12" style="115" customWidth="1"/>
    <col min="15875" max="15875" width="14.44140625" style="115" bestFit="1" customWidth="1"/>
    <col min="15876" max="15876" width="10.6640625" style="115" customWidth="1"/>
    <col min="15877" max="15877" width="11.88671875" style="115" customWidth="1"/>
    <col min="15878" max="15878" width="10.88671875" style="115" customWidth="1"/>
    <col min="15879" max="15879" width="11.5546875" style="115" customWidth="1"/>
    <col min="15880" max="15880" width="13.88671875" style="115" customWidth="1"/>
    <col min="15881" max="15881" width="2.33203125" style="115" customWidth="1"/>
    <col min="15882" max="15882" width="2" style="115" customWidth="1"/>
    <col min="15883" max="15883" width="49.44140625" style="115" customWidth="1"/>
    <col min="15884" max="15884" width="12.88671875" style="115" customWidth="1"/>
    <col min="15885" max="16126" width="9.109375" style="115"/>
    <col min="16127" max="16127" width="3.109375" style="115" customWidth="1"/>
    <col min="16128" max="16128" width="33.33203125" style="115" customWidth="1"/>
    <col min="16129" max="16129" width="11.6640625" style="115" customWidth="1"/>
    <col min="16130" max="16130" width="12" style="115" customWidth="1"/>
    <col min="16131" max="16131" width="14.44140625" style="115" bestFit="1" customWidth="1"/>
    <col min="16132" max="16132" width="10.6640625" style="115" customWidth="1"/>
    <col min="16133" max="16133" width="11.88671875" style="115" customWidth="1"/>
    <col min="16134" max="16134" width="10.88671875" style="115" customWidth="1"/>
    <col min="16135" max="16135" width="11.5546875" style="115" customWidth="1"/>
    <col min="16136" max="16136" width="13.88671875" style="115" customWidth="1"/>
    <col min="16137" max="16137" width="2.33203125" style="115" customWidth="1"/>
    <col min="16138" max="16138" width="2" style="115" customWidth="1"/>
    <col min="16139" max="16139" width="49.44140625" style="115" customWidth="1"/>
    <col min="16140" max="16140" width="12.88671875" style="115" customWidth="1"/>
    <col min="16141" max="16382" width="9.109375" style="115"/>
    <col min="16383" max="16384" width="8.88671875" style="115" customWidth="1"/>
  </cols>
  <sheetData>
    <row r="1" spans="1:11" ht="19.5" customHeight="1">
      <c r="A1" s="42"/>
      <c r="C1" s="1113"/>
      <c r="D1" s="1113"/>
      <c r="E1" s="1113"/>
      <c r="F1" s="1113"/>
      <c r="G1" s="1113"/>
      <c r="H1" s="1113"/>
      <c r="I1" s="208"/>
      <c r="K1" s="3" t="str">
        <f>'Attachment H-11A '!K1&amp;""&amp;", Attachment 5a"</f>
        <v>Attachment H -11A, Attachment 5a</v>
      </c>
    </row>
    <row r="2" spans="1:11" ht="17.45" customHeight="1">
      <c r="B2" s="685"/>
      <c r="C2" s="205"/>
      <c r="D2" s="205"/>
      <c r="E2" s="205"/>
      <c r="F2" s="205"/>
      <c r="G2" s="205"/>
      <c r="H2" s="205"/>
      <c r="I2" s="205"/>
      <c r="K2" s="32" t="s">
        <v>516</v>
      </c>
    </row>
    <row r="3" spans="1:11" ht="15.6" customHeight="1">
      <c r="B3" s="685"/>
      <c r="C3" s="1114"/>
      <c r="D3" s="1114"/>
      <c r="E3" s="1114"/>
      <c r="F3" s="1114"/>
      <c r="G3" s="1114"/>
      <c r="H3" s="1114"/>
      <c r="I3" s="206"/>
      <c r="K3" s="3" t="str">
        <f>'Attachment H-11A '!K4</f>
        <v>For the 12 months ended 12/31/2023</v>
      </c>
    </row>
    <row r="4" spans="1:11" ht="15.95" customHeight="1" thickBot="1">
      <c r="B4" s="685"/>
      <c r="C4" s="208"/>
      <c r="D4" s="208"/>
      <c r="E4" s="208"/>
      <c r="F4" s="208"/>
      <c r="G4" s="124"/>
      <c r="H4" s="124"/>
      <c r="I4" s="206"/>
      <c r="K4" s="3"/>
    </row>
    <row r="5" spans="1:11" ht="15.6" customHeight="1">
      <c r="B5" s="685"/>
      <c r="C5" s="1115"/>
      <c r="D5" s="1116"/>
      <c r="E5" s="1116"/>
      <c r="F5" s="1116"/>
      <c r="G5" s="1116"/>
      <c r="H5" s="1116"/>
      <c r="I5" s="1116"/>
      <c r="J5" s="1117"/>
      <c r="K5" s="3"/>
    </row>
    <row r="6" spans="1:11" ht="15.95" customHeight="1" thickBot="1">
      <c r="B6" s="685"/>
      <c r="C6" s="1118" t="s">
        <v>617</v>
      </c>
      <c r="D6" s="1119"/>
      <c r="E6" s="1119"/>
      <c r="F6" s="1119"/>
      <c r="G6" s="1119"/>
      <c r="H6" s="1119"/>
      <c r="I6" s="1119"/>
      <c r="J6" s="1120"/>
      <c r="K6" s="3"/>
    </row>
    <row r="7" spans="1:11" ht="15.75">
      <c r="A7" s="115" t="s">
        <v>5</v>
      </c>
      <c r="B7" s="208">
        <v>1</v>
      </c>
      <c r="C7" s="208">
        <v>2</v>
      </c>
      <c r="D7" s="208">
        <v>3</v>
      </c>
      <c r="E7" s="208">
        <v>4</v>
      </c>
      <c r="F7" s="208"/>
      <c r="G7" s="208"/>
      <c r="H7" s="208"/>
      <c r="I7" s="208"/>
      <c r="J7" s="3"/>
    </row>
    <row r="8" spans="1:11" ht="57" customHeight="1">
      <c r="B8" s="207"/>
      <c r="C8" s="361" t="s">
        <v>531</v>
      </c>
      <c r="D8" s="361" t="s">
        <v>957</v>
      </c>
      <c r="E8" s="361" t="s">
        <v>536</v>
      </c>
      <c r="F8" s="124"/>
      <c r="G8" s="124"/>
      <c r="H8" s="206"/>
      <c r="J8" s="3"/>
    </row>
    <row r="9" spans="1:11" ht="26.25">
      <c r="B9" s="207"/>
      <c r="C9" s="214" t="s">
        <v>539</v>
      </c>
      <c r="D9" s="394" t="s">
        <v>618</v>
      </c>
      <c r="E9" s="394" t="s">
        <v>619</v>
      </c>
      <c r="F9" s="124"/>
      <c r="G9" s="124"/>
      <c r="H9" s="206"/>
      <c r="J9" s="3"/>
    </row>
    <row r="10" spans="1:11" ht="15.75">
      <c r="A10" s="115">
        <v>1</v>
      </c>
      <c r="B10" s="207" t="s">
        <v>959</v>
      </c>
      <c r="C10" s="392">
        <f>F111</f>
        <v>94757611.549086094</v>
      </c>
      <c r="D10" s="393">
        <f>H28</f>
        <v>0</v>
      </c>
      <c r="E10" s="392">
        <f>C10+D10</f>
        <v>94757611.549086094</v>
      </c>
      <c r="F10" s="214"/>
      <c r="G10" s="214"/>
      <c r="H10" s="206"/>
      <c r="J10" s="3"/>
    </row>
    <row r="11" spans="1:11" ht="15.75">
      <c r="A11" s="115">
        <v>2</v>
      </c>
      <c r="B11" s="207" t="s">
        <v>532</v>
      </c>
      <c r="C11" s="392">
        <f>F141</f>
        <v>-3803590.8209697763</v>
      </c>
      <c r="D11" s="393">
        <f>H29</f>
        <v>0</v>
      </c>
      <c r="E11" s="392">
        <f>C11+D11</f>
        <v>-3803590.8209697763</v>
      </c>
      <c r="F11" s="214"/>
      <c r="G11" s="214"/>
      <c r="H11" s="206"/>
      <c r="J11" s="3"/>
    </row>
    <row r="12" spans="1:11" ht="15.75">
      <c r="A12" s="115">
        <v>3</v>
      </c>
      <c r="B12" s="207" t="s">
        <v>533</v>
      </c>
      <c r="C12" s="392">
        <f>F70</f>
        <v>25830190.002220109</v>
      </c>
      <c r="D12" s="393">
        <f>H30</f>
        <v>0</v>
      </c>
      <c r="E12" s="392">
        <f>C12+D12</f>
        <v>25830190.002220109</v>
      </c>
      <c r="F12" s="214"/>
      <c r="G12" s="214"/>
      <c r="H12" s="206"/>
      <c r="J12" s="3"/>
    </row>
    <row r="13" spans="1:11" ht="15.75">
      <c r="A13" s="115">
        <v>4</v>
      </c>
      <c r="B13" s="207" t="s">
        <v>534</v>
      </c>
      <c r="C13" s="392">
        <f>F174</f>
        <v>0</v>
      </c>
      <c r="D13" s="393">
        <f>H31</f>
        <v>0</v>
      </c>
      <c r="E13" s="392">
        <f>C13+D13</f>
        <v>0</v>
      </c>
      <c r="F13" s="214"/>
      <c r="G13" s="214"/>
      <c r="H13" s="206"/>
      <c r="J13" s="3"/>
    </row>
    <row r="14" spans="1:11" ht="17.25">
      <c r="A14" s="115">
        <v>5</v>
      </c>
      <c r="B14" s="207" t="s">
        <v>535</v>
      </c>
      <c r="C14" s="395">
        <f>F209</f>
        <v>0</v>
      </c>
      <c r="D14" s="396">
        <f>H32</f>
        <v>0</v>
      </c>
      <c r="E14" s="395">
        <f>C14+D14</f>
        <v>0</v>
      </c>
      <c r="F14" s="214"/>
      <c r="G14" s="214"/>
      <c r="H14" s="206"/>
      <c r="J14" s="3"/>
    </row>
    <row r="15" spans="1:11" ht="15.75">
      <c r="B15" s="207" t="s">
        <v>540</v>
      </c>
      <c r="C15" s="392">
        <f>SUM(C10:C14)</f>
        <v>116784210.73033643</v>
      </c>
      <c r="D15" s="392">
        <f>SUM(D10:D14)</f>
        <v>0</v>
      </c>
      <c r="E15" s="392">
        <f t="shared" ref="E15" si="0">SUM(E10:E14)</f>
        <v>116784210.73033643</v>
      </c>
      <c r="F15" s="214"/>
      <c r="G15" s="214"/>
      <c r="H15" s="206"/>
      <c r="J15" s="3"/>
    </row>
    <row r="16" spans="1:11" ht="15.75">
      <c r="C16" s="214"/>
      <c r="D16" s="214"/>
      <c r="E16" s="214"/>
      <c r="F16" s="214"/>
      <c r="G16" s="214"/>
      <c r="H16" s="206"/>
      <c r="J16" s="3"/>
    </row>
    <row r="17" spans="1:10" ht="15.75">
      <c r="C17" s="214"/>
      <c r="D17" s="214"/>
      <c r="E17" s="214"/>
      <c r="F17" s="214"/>
      <c r="G17" s="214"/>
      <c r="H17" s="206"/>
      <c r="J17" s="3"/>
    </row>
    <row r="18" spans="1:10" ht="15.75">
      <c r="C18" s="124"/>
      <c r="D18" s="124"/>
      <c r="E18" s="124"/>
      <c r="F18" s="124"/>
      <c r="G18" s="124"/>
      <c r="H18" s="206"/>
      <c r="J18" s="3"/>
    </row>
    <row r="19" spans="1:10" ht="15.75">
      <c r="C19" s="124"/>
      <c r="D19" s="124"/>
      <c r="E19" s="124"/>
      <c r="F19" s="124"/>
      <c r="G19" s="124"/>
      <c r="H19" s="206"/>
      <c r="J19" s="3"/>
    </row>
    <row r="20" spans="1:10" ht="13.5" thickBot="1">
      <c r="B20" s="116"/>
      <c r="H20" s="207"/>
      <c r="I20" s="207"/>
    </row>
    <row r="21" spans="1:10" ht="15.75" customHeight="1">
      <c r="C21" s="1125"/>
      <c r="D21" s="1126"/>
      <c r="E21" s="1126"/>
      <c r="F21" s="1126"/>
      <c r="G21" s="1126"/>
      <c r="H21" s="1126"/>
      <c r="I21" s="1126"/>
      <c r="J21" s="1127"/>
    </row>
    <row r="22" spans="1:10" ht="13.5" thickBot="1">
      <c r="C22" s="1118" t="s">
        <v>617</v>
      </c>
      <c r="D22" s="1119"/>
      <c r="E22" s="1119"/>
      <c r="F22" s="1119"/>
      <c r="G22" s="1119"/>
      <c r="H22" s="1119"/>
      <c r="I22" s="1119"/>
      <c r="J22" s="1120"/>
    </row>
    <row r="23" spans="1:10">
      <c r="A23" s="115" t="s">
        <v>5</v>
      </c>
      <c r="C23" s="208" t="s">
        <v>101</v>
      </c>
      <c r="D23" s="208" t="s">
        <v>102</v>
      </c>
      <c r="E23" s="208" t="s">
        <v>103</v>
      </c>
      <c r="F23" s="208" t="s">
        <v>104</v>
      </c>
      <c r="G23" s="208" t="s">
        <v>105</v>
      </c>
      <c r="H23" s="208" t="s">
        <v>106</v>
      </c>
    </row>
    <row r="24" spans="1:10" ht="25.5">
      <c r="C24" s="208" t="s">
        <v>453</v>
      </c>
      <c r="D24" s="208" t="s">
        <v>454</v>
      </c>
      <c r="E24" s="208" t="s">
        <v>351</v>
      </c>
      <c r="F24" s="208" t="s">
        <v>350</v>
      </c>
      <c r="G24" s="208" t="s">
        <v>352</v>
      </c>
      <c r="H24" s="361" t="s">
        <v>455</v>
      </c>
    </row>
    <row r="25" spans="1:10">
      <c r="C25" s="208" t="s">
        <v>313</v>
      </c>
      <c r="D25" s="208" t="s">
        <v>313</v>
      </c>
      <c r="E25" s="208" t="s">
        <v>236</v>
      </c>
      <c r="F25" s="208" t="s">
        <v>10</v>
      </c>
      <c r="G25" s="208" t="s">
        <v>10</v>
      </c>
      <c r="H25" s="208" t="s">
        <v>314</v>
      </c>
    </row>
    <row r="26" spans="1:10" ht="40.5" customHeight="1">
      <c r="C26" s="214" t="s">
        <v>13</v>
      </c>
      <c r="D26" s="214" t="s">
        <v>14</v>
      </c>
      <c r="E26" s="394" t="s">
        <v>637</v>
      </c>
      <c r="F26" s="214" t="s">
        <v>15</v>
      </c>
      <c r="G26" s="214" t="s">
        <v>16</v>
      </c>
      <c r="H26" s="394" t="s">
        <v>638</v>
      </c>
    </row>
    <row r="27" spans="1:10">
      <c r="A27" s="115" t="s">
        <v>3</v>
      </c>
      <c r="B27" s="115" t="s">
        <v>3</v>
      </c>
    </row>
    <row r="28" spans="1:10">
      <c r="A28" s="115">
        <v>1</v>
      </c>
      <c r="B28" s="115" t="s">
        <v>958</v>
      </c>
      <c r="C28" s="210">
        <f>G111</f>
        <v>0</v>
      </c>
      <c r="D28" s="210">
        <f>H111</f>
        <v>0</v>
      </c>
      <c r="E28" s="210">
        <f>SUM(C28:D28)</f>
        <v>0</v>
      </c>
      <c r="F28" s="251">
        <f>'Attachment H-11A '!$G$47</f>
        <v>0.10287812486317614</v>
      </c>
      <c r="G28" s="251">
        <f>'Attachment H-11A '!$I$213</f>
        <v>3.3119630600369813E-2</v>
      </c>
      <c r="H28" s="229">
        <f>(C28*F28)+(D28*G28)</f>
        <v>0</v>
      </c>
    </row>
    <row r="29" spans="1:10">
      <c r="A29" s="115">
        <f t="shared" ref="A29:A30" si="1">A28+1</f>
        <v>2</v>
      </c>
      <c r="B29" s="115" t="s">
        <v>315</v>
      </c>
      <c r="C29" s="210">
        <f>G141</f>
        <v>0</v>
      </c>
      <c r="D29" s="210">
        <f>H141</f>
        <v>0</v>
      </c>
      <c r="E29" s="210">
        <f>SUM(C29:D29)</f>
        <v>0</v>
      </c>
      <c r="F29" s="251">
        <f>'Attachment H-11A '!$G$47</f>
        <v>0.10287812486317614</v>
      </c>
      <c r="G29" s="251">
        <f>'Attachment H-11A '!$I$213</f>
        <v>3.3119630600369813E-2</v>
      </c>
      <c r="H29" s="229">
        <f>(C29*F29)+(D29*G29)</f>
        <v>0</v>
      </c>
    </row>
    <row r="30" spans="1:10">
      <c r="A30" s="115">
        <f t="shared" si="1"/>
        <v>3</v>
      </c>
      <c r="B30" s="115" t="s">
        <v>316</v>
      </c>
      <c r="C30" s="209">
        <f>G70</f>
        <v>0</v>
      </c>
      <c r="D30" s="209">
        <f>H70</f>
        <v>0</v>
      </c>
      <c r="E30" s="210">
        <f t="shared" ref="E30:E33" si="2">SUM(C30:D30)</f>
        <v>0</v>
      </c>
      <c r="F30" s="251">
        <f>'Attachment H-11A '!$G$47</f>
        <v>0.10287812486317614</v>
      </c>
      <c r="G30" s="251">
        <f>'Attachment H-11A '!$I$213</f>
        <v>3.3119630600369813E-2</v>
      </c>
      <c r="H30" s="229">
        <f>(C30*F30)+(D30*G30)</f>
        <v>0</v>
      </c>
    </row>
    <row r="31" spans="1:10">
      <c r="A31" s="115">
        <v>4</v>
      </c>
      <c r="B31" s="115" t="s">
        <v>339</v>
      </c>
      <c r="C31" s="211">
        <f>G174</f>
        <v>0</v>
      </c>
      <c r="D31" s="211">
        <f>H174</f>
        <v>0</v>
      </c>
      <c r="E31" s="210">
        <f t="shared" si="2"/>
        <v>0</v>
      </c>
      <c r="F31" s="251">
        <f>'Attachment H-11A '!$G$47</f>
        <v>0.10287812486317614</v>
      </c>
      <c r="G31" s="251">
        <f>'Attachment H-11A '!$I$213</f>
        <v>3.3119630600369813E-2</v>
      </c>
      <c r="H31" s="229">
        <f>(C31*F31)+(D31*G31)</f>
        <v>0</v>
      </c>
    </row>
    <row r="32" spans="1:10" ht="15">
      <c r="A32" s="115">
        <v>5</v>
      </c>
      <c r="B32" s="115" t="s">
        <v>340</v>
      </c>
      <c r="C32" s="253">
        <f>G209</f>
        <v>0</v>
      </c>
      <c r="D32" s="253">
        <f>H209</f>
        <v>0</v>
      </c>
      <c r="E32" s="212">
        <f t="shared" si="2"/>
        <v>0</v>
      </c>
      <c r="F32" s="251">
        <f>'Attachment H-11A '!$G$47</f>
        <v>0.10287812486317614</v>
      </c>
      <c r="G32" s="251">
        <f>'Attachment H-11A '!$I$213</f>
        <v>3.3119630600369813E-2</v>
      </c>
      <c r="H32" s="252">
        <f>(C32*F32)+(D32*G32)</f>
        <v>0</v>
      </c>
    </row>
    <row r="33" spans="1:11">
      <c r="A33" s="115">
        <v>6</v>
      </c>
      <c r="B33" s="207" t="s">
        <v>236</v>
      </c>
      <c r="C33" s="210">
        <f>SUM(C28:C32)</f>
        <v>0</v>
      </c>
      <c r="D33" s="210">
        <f>SUM(D28:D32)</f>
        <v>0</v>
      </c>
      <c r="E33" s="210">
        <f t="shared" si="2"/>
        <v>0</v>
      </c>
      <c r="F33" s="210"/>
      <c r="G33" s="210"/>
      <c r="H33" s="210">
        <f>SUM(H28:H32)</f>
        <v>0</v>
      </c>
    </row>
    <row r="34" spans="1:11">
      <c r="B34" s="207"/>
      <c r="C34" s="250"/>
      <c r="D34" s="210"/>
      <c r="E34" s="210"/>
    </row>
    <row r="35" spans="1:11">
      <c r="A35" s="115" t="s">
        <v>176</v>
      </c>
      <c r="B35" s="207"/>
      <c r="C35" s="217"/>
      <c r="D35" s="217"/>
      <c r="E35" s="217"/>
    </row>
    <row r="36" spans="1:11">
      <c r="A36" s="254" t="s">
        <v>101</v>
      </c>
      <c r="B36" s="115" t="s">
        <v>537</v>
      </c>
      <c r="C36" s="217"/>
      <c r="D36" s="210"/>
      <c r="E36" s="210"/>
      <c r="J36" s="229"/>
    </row>
    <row r="37" spans="1:11">
      <c r="A37" s="214" t="s">
        <v>102</v>
      </c>
      <c r="B37" s="115" t="s">
        <v>538</v>
      </c>
      <c r="E37" s="210"/>
      <c r="F37" s="210"/>
      <c r="G37" s="210"/>
      <c r="H37" s="214"/>
      <c r="I37" s="210"/>
      <c r="J37" s="210"/>
    </row>
    <row r="38" spans="1:11">
      <c r="A38" s="214" t="s">
        <v>103</v>
      </c>
      <c r="B38" s="115" t="s">
        <v>910</v>
      </c>
      <c r="E38" s="210"/>
      <c r="F38" s="210"/>
      <c r="G38" s="210"/>
      <c r="H38" s="213"/>
      <c r="I38" s="210"/>
      <c r="J38" s="210"/>
    </row>
    <row r="39" spans="1:11">
      <c r="A39" s="214" t="s">
        <v>104</v>
      </c>
      <c r="B39" s="115" t="s">
        <v>911</v>
      </c>
    </row>
    <row r="40" spans="1:11" ht="12" customHeight="1">
      <c r="A40" s="214" t="s">
        <v>105</v>
      </c>
      <c r="B40" s="115" t="s">
        <v>620</v>
      </c>
      <c r="C40" s="207"/>
      <c r="D40" s="207"/>
      <c r="E40" s="207"/>
      <c r="F40" s="207"/>
      <c r="G40" s="207"/>
      <c r="H40" s="207"/>
    </row>
    <row r="41" spans="1:11">
      <c r="A41" s="214" t="s">
        <v>106</v>
      </c>
      <c r="B41" s="115" t="s">
        <v>553</v>
      </c>
      <c r="F41" s="234"/>
    </row>
    <row r="42" spans="1:11">
      <c r="A42" s="214"/>
    </row>
    <row r="43" spans="1:11" ht="15.75">
      <c r="B43" s="208"/>
      <c r="C43" s="208"/>
      <c r="D43" s="208"/>
      <c r="E43" s="208"/>
      <c r="F43" s="208"/>
      <c r="G43" s="208"/>
      <c r="H43" s="208"/>
      <c r="I43" s="124"/>
    </row>
    <row r="44" spans="1:11">
      <c r="H44" s="207"/>
      <c r="I44" s="207"/>
    </row>
    <row r="45" spans="1:11" ht="16.5" thickBot="1">
      <c r="B45" s="208" t="s">
        <v>101</v>
      </c>
      <c r="C45" s="208" t="s">
        <v>102</v>
      </c>
      <c r="D45" s="208" t="s">
        <v>103</v>
      </c>
      <c r="E45" s="208" t="s">
        <v>104</v>
      </c>
      <c r="F45" s="208" t="s">
        <v>105</v>
      </c>
      <c r="G45" s="208" t="s">
        <v>106</v>
      </c>
      <c r="H45" s="208" t="s">
        <v>107</v>
      </c>
      <c r="I45" s="207"/>
      <c r="K45" s="3" t="str">
        <f>K1</f>
        <v>Attachment H -11A, Attachment 5a</v>
      </c>
    </row>
    <row r="46" spans="1:11" ht="16.5" thickBot="1">
      <c r="C46" s="1122"/>
      <c r="D46" s="1123"/>
      <c r="E46" s="1123"/>
      <c r="F46" s="1123"/>
      <c r="G46" s="1123"/>
      <c r="H46" s="1124"/>
      <c r="I46" s="208"/>
      <c r="J46" s="208"/>
      <c r="K46" s="32" t="s">
        <v>554</v>
      </c>
    </row>
    <row r="47" spans="1:11" ht="15.75">
      <c r="K47" s="3" t="str">
        <f>'Attachment H-11A '!K4</f>
        <v>For the 12 months ended 12/31/2023</v>
      </c>
    </row>
    <row r="48" spans="1:11">
      <c r="B48" s="216"/>
      <c r="C48" s="217"/>
      <c r="D48" s="217"/>
      <c r="E48" s="217"/>
      <c r="F48" s="217"/>
      <c r="G48" s="217"/>
      <c r="H48" s="217"/>
      <c r="I48" s="217"/>
      <c r="J48" s="217"/>
      <c r="K48" s="218"/>
    </row>
    <row r="49" spans="2:13">
      <c r="B49" s="216"/>
      <c r="C49" s="217"/>
      <c r="D49" s="217"/>
      <c r="E49" s="217"/>
      <c r="F49" s="217"/>
      <c r="G49" s="217"/>
      <c r="H49" s="217"/>
      <c r="I49" s="217"/>
      <c r="J49" s="217"/>
      <c r="K49" s="218"/>
    </row>
    <row r="50" spans="2:13">
      <c r="B50" s="207" t="s">
        <v>317</v>
      </c>
      <c r="C50" s="208" t="s">
        <v>318</v>
      </c>
      <c r="D50" s="208" t="s">
        <v>310</v>
      </c>
      <c r="E50" s="208" t="s">
        <v>319</v>
      </c>
      <c r="F50" s="208" t="s">
        <v>320</v>
      </c>
      <c r="G50" s="208"/>
      <c r="H50" s="208"/>
      <c r="I50" s="208"/>
      <c r="J50" s="208"/>
    </row>
    <row r="51" spans="2:13">
      <c r="C51" s="208" t="s">
        <v>321</v>
      </c>
      <c r="D51" s="208" t="s">
        <v>313</v>
      </c>
      <c r="E51" s="208" t="s">
        <v>322</v>
      </c>
      <c r="F51" s="208" t="s">
        <v>24</v>
      </c>
      <c r="G51" s="208" t="s">
        <v>311</v>
      </c>
      <c r="H51" s="208" t="s">
        <v>312</v>
      </c>
      <c r="I51" s="208"/>
      <c r="J51" s="208"/>
    </row>
    <row r="52" spans="2:13">
      <c r="C52" s="208" t="s">
        <v>323</v>
      </c>
      <c r="E52" s="208" t="s">
        <v>313</v>
      </c>
      <c r="F52" s="208" t="s">
        <v>313</v>
      </c>
      <c r="G52" s="208" t="s">
        <v>313</v>
      </c>
      <c r="H52" s="208" t="s">
        <v>313</v>
      </c>
      <c r="I52" s="208"/>
      <c r="J52" s="208"/>
      <c r="K52" s="208" t="s">
        <v>324</v>
      </c>
    </row>
    <row r="53" spans="2:13">
      <c r="B53" s="379"/>
    </row>
    <row r="54" spans="2:13">
      <c r="B54" s="354" t="s">
        <v>1333</v>
      </c>
      <c r="C54" s="355">
        <f>F54</f>
        <v>4746</v>
      </c>
      <c r="D54" s="356"/>
      <c r="E54" s="356"/>
      <c r="F54" s="356">
        <v>4746</v>
      </c>
      <c r="G54" s="356"/>
      <c r="H54" s="356"/>
      <c r="I54" s="356"/>
      <c r="J54" s="356"/>
      <c r="K54" s="357"/>
      <c r="M54" s="1080"/>
    </row>
    <row r="55" spans="2:13">
      <c r="B55" s="354" t="s">
        <v>1334</v>
      </c>
      <c r="C55" s="355">
        <f t="shared" ref="C55:C68" si="3">F55</f>
        <v>8647</v>
      </c>
      <c r="D55" s="356"/>
      <c r="E55" s="356"/>
      <c r="F55" s="356">
        <v>8647</v>
      </c>
      <c r="G55" s="356"/>
      <c r="H55" s="356"/>
      <c r="I55" s="356"/>
      <c r="J55" s="356"/>
      <c r="K55" s="356"/>
      <c r="M55" s="1080"/>
    </row>
    <row r="56" spans="2:13">
      <c r="B56" s="354" t="s">
        <v>1335</v>
      </c>
      <c r="C56" s="355">
        <f t="shared" si="3"/>
        <v>106933</v>
      </c>
      <c r="D56" s="356"/>
      <c r="E56" s="356"/>
      <c r="F56" s="356">
        <v>106933</v>
      </c>
      <c r="G56" s="356"/>
      <c r="H56" s="356"/>
      <c r="I56" s="356"/>
      <c r="J56" s="356"/>
      <c r="K56" s="356"/>
      <c r="M56" s="1080"/>
    </row>
    <row r="57" spans="2:13">
      <c r="B57" s="354" t="s">
        <v>1326</v>
      </c>
      <c r="C57" s="355">
        <f t="shared" si="3"/>
        <v>17543</v>
      </c>
      <c r="D57" s="356"/>
      <c r="E57" s="356"/>
      <c r="F57" s="356">
        <v>17543</v>
      </c>
      <c r="G57" s="356"/>
      <c r="H57" s="356"/>
      <c r="I57" s="356"/>
      <c r="J57" s="356"/>
      <c r="K57" s="356"/>
      <c r="M57" s="1080"/>
    </row>
    <row r="58" spans="2:13">
      <c r="B58" s="354" t="s">
        <v>1336</v>
      </c>
      <c r="C58" s="355">
        <f t="shared" si="3"/>
        <v>11164</v>
      </c>
      <c r="D58" s="356"/>
      <c r="E58" s="356"/>
      <c r="F58" s="356">
        <v>11164</v>
      </c>
      <c r="G58" s="356"/>
      <c r="H58" s="356"/>
      <c r="I58" s="356"/>
      <c r="J58" s="356"/>
      <c r="K58" s="356"/>
      <c r="M58" s="1080"/>
    </row>
    <row r="59" spans="2:13">
      <c r="B59" s="354" t="s">
        <v>1337</v>
      </c>
      <c r="C59" s="355">
        <f t="shared" si="3"/>
        <v>6639130</v>
      </c>
      <c r="D59" s="356"/>
      <c r="E59" s="356"/>
      <c r="F59" s="356">
        <v>6639130</v>
      </c>
      <c r="G59" s="356"/>
      <c r="H59" s="356"/>
      <c r="I59" s="356"/>
      <c r="J59" s="356"/>
      <c r="K59" s="356"/>
      <c r="M59" s="1080"/>
    </row>
    <row r="60" spans="2:13">
      <c r="B60" s="354" t="s">
        <v>1338</v>
      </c>
      <c r="C60" s="355">
        <f t="shared" si="3"/>
        <v>23656</v>
      </c>
      <c r="D60" s="356"/>
      <c r="E60" s="356"/>
      <c r="F60" s="356">
        <v>23656</v>
      </c>
      <c r="G60" s="356"/>
      <c r="H60" s="356"/>
      <c r="I60" s="356"/>
      <c r="J60" s="356"/>
      <c r="K60" s="356"/>
      <c r="M60" s="1080"/>
    </row>
    <row r="61" spans="2:13">
      <c r="B61" s="354" t="s">
        <v>1339</v>
      </c>
      <c r="C61" s="355">
        <f t="shared" si="3"/>
        <v>829747</v>
      </c>
      <c r="D61" s="356"/>
      <c r="E61" s="356"/>
      <c r="F61" s="356">
        <v>829747</v>
      </c>
      <c r="G61" s="356"/>
      <c r="H61" s="356"/>
      <c r="I61" s="356"/>
      <c r="J61" s="356"/>
      <c r="K61" s="356"/>
      <c r="M61" s="1080"/>
    </row>
    <row r="62" spans="2:13">
      <c r="B62" s="354" t="s">
        <v>1340</v>
      </c>
      <c r="C62" s="355">
        <f t="shared" si="3"/>
        <v>1969</v>
      </c>
      <c r="D62" s="356"/>
      <c r="E62" s="356"/>
      <c r="F62" s="356">
        <v>1969</v>
      </c>
      <c r="G62" s="356"/>
      <c r="H62" s="356"/>
      <c r="I62" s="356"/>
      <c r="J62" s="356"/>
      <c r="K62" s="356"/>
      <c r="M62" s="1080"/>
    </row>
    <row r="63" spans="2:13">
      <c r="B63" s="354" t="s">
        <v>1341</v>
      </c>
      <c r="C63" s="355">
        <f t="shared" si="3"/>
        <v>15463</v>
      </c>
      <c r="D63" s="356"/>
      <c r="E63" s="356"/>
      <c r="F63" s="356">
        <v>15463</v>
      </c>
      <c r="G63" s="356"/>
      <c r="H63" s="356"/>
      <c r="I63" s="356"/>
      <c r="J63" s="356"/>
      <c r="K63" s="356"/>
      <c r="M63" s="1080"/>
    </row>
    <row r="64" spans="2:13">
      <c r="B64" s="354" t="s">
        <v>1400</v>
      </c>
      <c r="C64" s="355">
        <f t="shared" si="3"/>
        <v>253472</v>
      </c>
      <c r="D64" s="356"/>
      <c r="E64" s="356"/>
      <c r="F64" s="356">
        <v>253472</v>
      </c>
      <c r="G64" s="356"/>
      <c r="H64" s="356"/>
      <c r="I64" s="356"/>
      <c r="J64" s="356"/>
      <c r="K64" s="356"/>
      <c r="M64" s="1080"/>
    </row>
    <row r="65" spans="2:13">
      <c r="B65" s="354" t="s">
        <v>1331</v>
      </c>
      <c r="C65" s="355">
        <f t="shared" si="3"/>
        <v>2464360</v>
      </c>
      <c r="D65" s="356"/>
      <c r="E65" s="356"/>
      <c r="F65" s="356">
        <v>2464360</v>
      </c>
      <c r="G65" s="356"/>
      <c r="H65" s="356"/>
      <c r="I65" s="356"/>
      <c r="J65" s="356"/>
      <c r="K65" s="356"/>
      <c r="M65" s="1080"/>
    </row>
    <row r="66" spans="2:13">
      <c r="B66" s="354" t="s">
        <v>513</v>
      </c>
      <c r="C66" s="355">
        <f t="shared" si="3"/>
        <v>5524011</v>
      </c>
      <c r="D66" s="356"/>
      <c r="E66" s="356"/>
      <c r="F66" s="356">
        <v>5524011</v>
      </c>
      <c r="G66" s="356"/>
      <c r="H66" s="356"/>
      <c r="I66" s="356"/>
      <c r="J66" s="356"/>
      <c r="K66" s="356"/>
      <c r="M66" s="1080"/>
    </row>
    <row r="67" spans="2:13">
      <c r="B67" s="354" t="s">
        <v>1332</v>
      </c>
      <c r="C67" s="355">
        <f t="shared" si="3"/>
        <v>12965609</v>
      </c>
      <c r="D67" s="356"/>
      <c r="E67" s="356"/>
      <c r="F67" s="356">
        <v>12965609</v>
      </c>
      <c r="G67" s="356"/>
      <c r="H67" s="356"/>
      <c r="I67" s="356"/>
      <c r="J67" s="356"/>
      <c r="K67" s="357"/>
      <c r="M67" s="1080"/>
    </row>
    <row r="68" spans="2:13">
      <c r="B68" s="358" t="s">
        <v>1342</v>
      </c>
      <c r="C68" s="355">
        <f t="shared" si="3"/>
        <v>-3036259.9977798904</v>
      </c>
      <c r="D68" s="1036"/>
      <c r="E68" s="1036"/>
      <c r="F68" s="1036">
        <v>-3036259.9977798904</v>
      </c>
      <c r="G68" s="1036"/>
      <c r="H68" s="1036"/>
      <c r="I68" s="1036"/>
      <c r="J68" s="1036"/>
      <c r="K68" s="1069"/>
      <c r="M68" s="1080"/>
    </row>
    <row r="69" spans="2:13">
      <c r="B69" s="358"/>
      <c r="C69" s="359"/>
      <c r="D69" s="359"/>
      <c r="E69" s="359"/>
      <c r="F69" s="359"/>
      <c r="G69" s="359"/>
      <c r="H69" s="359"/>
      <c r="I69" s="359"/>
      <c r="J69" s="359"/>
      <c r="K69" s="360"/>
      <c r="M69" s="1080"/>
    </row>
    <row r="70" spans="2:13">
      <c r="B70" s="216" t="s">
        <v>236</v>
      </c>
      <c r="C70" s="217">
        <f>SUM(C54:C68)</f>
        <v>25830190.002220109</v>
      </c>
      <c r="D70" s="217">
        <f>SUM(D54:D67)</f>
        <v>0</v>
      </c>
      <c r="E70" s="217">
        <f>SUM(E54:E67)</f>
        <v>0</v>
      </c>
      <c r="F70" s="217">
        <f>SUM(F54:F68)</f>
        <v>25830190.002220109</v>
      </c>
      <c r="G70" s="217">
        <f>SUM(G54:G67)</f>
        <v>0</v>
      </c>
      <c r="H70" s="217">
        <f>SUM(H54:H67)</f>
        <v>0</v>
      </c>
      <c r="I70" s="217"/>
      <c r="J70" s="217"/>
      <c r="K70" s="218"/>
      <c r="M70" s="1080"/>
    </row>
    <row r="71" spans="2:13">
      <c r="B71" s="216"/>
      <c r="C71" s="217"/>
      <c r="D71" s="217"/>
      <c r="E71" s="217"/>
      <c r="F71" s="217"/>
      <c r="G71" s="217"/>
      <c r="H71" s="217"/>
      <c r="I71" s="217"/>
      <c r="J71" s="217"/>
      <c r="K71" s="218"/>
    </row>
    <row r="72" spans="2:13">
      <c r="B72" s="216"/>
      <c r="C72" s="217"/>
      <c r="D72" s="217"/>
      <c r="E72" s="217"/>
      <c r="F72" s="217"/>
      <c r="G72" s="217"/>
      <c r="H72" s="217"/>
      <c r="I72" s="217"/>
      <c r="J72" s="217"/>
      <c r="K72" s="218"/>
    </row>
    <row r="73" spans="2:13">
      <c r="B73" s="216"/>
      <c r="C73" s="217"/>
      <c r="D73" s="217"/>
      <c r="E73" s="217"/>
      <c r="F73" s="217"/>
      <c r="G73" s="217"/>
      <c r="H73" s="217"/>
      <c r="I73" s="217"/>
      <c r="J73" s="217"/>
      <c r="K73" s="218"/>
    </row>
    <row r="74" spans="2:13">
      <c r="B74" s="216"/>
      <c r="C74" s="217"/>
      <c r="D74" s="217"/>
      <c r="E74" s="217"/>
      <c r="F74" s="217"/>
      <c r="G74" s="217"/>
      <c r="H74" s="217"/>
      <c r="I74" s="217"/>
      <c r="J74" s="217"/>
      <c r="K74" s="218"/>
    </row>
    <row r="75" spans="2:13">
      <c r="B75" s="216"/>
      <c r="C75" s="217"/>
      <c r="D75" s="217"/>
      <c r="E75" s="217"/>
      <c r="F75" s="217"/>
      <c r="G75" s="217"/>
      <c r="H75" s="217"/>
      <c r="I75" s="217"/>
      <c r="J75" s="217"/>
      <c r="K75" s="218"/>
    </row>
    <row r="76" spans="2:13">
      <c r="B76" s="223"/>
      <c r="H76" s="213"/>
      <c r="I76" s="220"/>
      <c r="J76" s="210"/>
    </row>
    <row r="77" spans="2:13">
      <c r="B77" s="219" t="s">
        <v>325</v>
      </c>
      <c r="C77" s="209"/>
      <c r="D77" s="209"/>
      <c r="E77" s="213"/>
      <c r="F77" s="213"/>
      <c r="G77" s="221"/>
      <c r="H77" s="221"/>
      <c r="I77" s="221"/>
      <c r="J77" s="211"/>
    </row>
    <row r="78" spans="2:13">
      <c r="B78" s="219"/>
      <c r="C78" s="209"/>
      <c r="D78" s="209"/>
      <c r="E78" s="213"/>
      <c r="F78" s="213"/>
      <c r="G78" s="221"/>
      <c r="H78" s="221"/>
      <c r="I78" s="221"/>
      <c r="J78" s="211"/>
    </row>
    <row r="79" spans="2:13" ht="12.95" customHeight="1">
      <c r="B79" s="1121" t="s">
        <v>326</v>
      </c>
      <c r="C79" s="1121"/>
      <c r="D79" s="1121"/>
      <c r="E79" s="1121"/>
      <c r="F79" s="1121"/>
      <c r="G79" s="1121"/>
      <c r="H79" s="1121"/>
      <c r="I79" s="1121"/>
      <c r="J79" s="211"/>
    </row>
    <row r="80" spans="2:13" ht="12.75" customHeight="1">
      <c r="B80" s="1121" t="s">
        <v>327</v>
      </c>
      <c r="C80" s="1121"/>
      <c r="D80" s="1121"/>
      <c r="E80" s="1121"/>
      <c r="F80" s="1121"/>
      <c r="G80" s="1121"/>
      <c r="H80" s="1121"/>
      <c r="I80" s="1121"/>
    </row>
    <row r="81" spans="2:13" ht="12.75" customHeight="1">
      <c r="B81" s="698" t="s">
        <v>328</v>
      </c>
      <c r="C81" s="213"/>
      <c r="D81" s="213"/>
      <c r="E81" s="213"/>
      <c r="F81" s="213"/>
      <c r="G81" s="221"/>
      <c r="H81" s="221"/>
      <c r="I81" s="221"/>
    </row>
    <row r="82" spans="2:13">
      <c r="B82" s="698" t="s">
        <v>329</v>
      </c>
      <c r="C82" s="213"/>
      <c r="D82" s="213"/>
      <c r="E82" s="213"/>
      <c r="F82" s="213"/>
      <c r="G82" s="221"/>
      <c r="H82" s="221"/>
      <c r="I82" s="221"/>
    </row>
    <row r="83" spans="2:13">
      <c r="B83" s="698" t="s">
        <v>330</v>
      </c>
      <c r="C83" s="213"/>
      <c r="D83" s="213"/>
      <c r="E83" s="213"/>
      <c r="F83" s="213"/>
      <c r="G83" s="221"/>
      <c r="H83" s="221"/>
      <c r="I83" s="221"/>
    </row>
    <row r="84" spans="2:13">
      <c r="B84" s="215" t="s">
        <v>331</v>
      </c>
      <c r="C84" s="215"/>
      <c r="D84" s="215"/>
      <c r="E84" s="215"/>
      <c r="F84" s="215"/>
      <c r="G84" s="215"/>
      <c r="H84" s="215"/>
      <c r="I84" s="215"/>
    </row>
    <row r="85" spans="2:13" ht="27" customHeight="1">
      <c r="B85" s="659"/>
      <c r="C85" s="659"/>
      <c r="D85" s="659"/>
      <c r="E85" s="659"/>
      <c r="F85" s="659"/>
      <c r="G85" s="659"/>
      <c r="H85" s="659"/>
      <c r="I85" s="659"/>
    </row>
    <row r="86" spans="2:13" ht="18" customHeight="1" thickBot="1">
      <c r="B86" s="208" t="s">
        <v>101</v>
      </c>
      <c r="C86" s="208" t="s">
        <v>102</v>
      </c>
      <c r="D86" s="208" t="s">
        <v>103</v>
      </c>
      <c r="E86" s="208" t="s">
        <v>104</v>
      </c>
      <c r="F86" s="208" t="s">
        <v>105</v>
      </c>
      <c r="G86" s="208" t="s">
        <v>106</v>
      </c>
      <c r="H86" s="208" t="s">
        <v>107</v>
      </c>
      <c r="I86" s="225"/>
      <c r="K86" s="3" t="str">
        <f>K1</f>
        <v>Attachment H -11A, Attachment 5a</v>
      </c>
    </row>
    <row r="87" spans="2:13" ht="16.5" thickBot="1">
      <c r="B87" s="208"/>
      <c r="C87" s="1122"/>
      <c r="D87" s="1123"/>
      <c r="E87" s="1123"/>
      <c r="F87" s="1123"/>
      <c r="G87" s="1123"/>
      <c r="H87" s="1124"/>
      <c r="I87" s="220"/>
      <c r="K87" s="32" t="s">
        <v>520</v>
      </c>
    </row>
    <row r="88" spans="2:13" ht="15.75">
      <c r="B88" s="224"/>
      <c r="C88" s="208"/>
      <c r="D88" s="208"/>
      <c r="E88" s="208"/>
      <c r="F88" s="208"/>
      <c r="G88" s="208"/>
      <c r="H88" s="208"/>
      <c r="I88" s="227"/>
      <c r="J88" s="227"/>
      <c r="K88" s="3" t="str">
        <f>'Attachment H-11A '!K4</f>
        <v>For the 12 months ended 12/31/2023</v>
      </c>
    </row>
    <row r="89" spans="2:13" ht="15.75">
      <c r="B89" s="277"/>
      <c r="C89" s="277"/>
      <c r="D89" s="277"/>
      <c r="E89" s="277"/>
      <c r="F89" s="277"/>
      <c r="G89" s="277"/>
      <c r="H89" s="277"/>
      <c r="I89" s="277"/>
    </row>
    <row r="90" spans="2:13" ht="15.75">
      <c r="B90" s="277"/>
      <c r="C90" s="277"/>
      <c r="D90" s="277"/>
      <c r="E90" s="277"/>
      <c r="F90" s="277"/>
      <c r="G90" s="277"/>
      <c r="H90" s="277"/>
      <c r="I90" s="277"/>
    </row>
    <row r="91" spans="2:13">
      <c r="B91" s="224"/>
      <c r="C91" s="208" t="s">
        <v>318</v>
      </c>
      <c r="D91" s="208" t="s">
        <v>310</v>
      </c>
      <c r="E91" s="208" t="s">
        <v>319</v>
      </c>
      <c r="F91" s="208" t="s">
        <v>320</v>
      </c>
      <c r="G91" s="208"/>
      <c r="H91" s="208"/>
      <c r="I91" s="227"/>
      <c r="J91" s="227"/>
    </row>
    <row r="92" spans="2:13">
      <c r="B92" s="226" t="s">
        <v>452</v>
      </c>
      <c r="C92" s="208" t="s">
        <v>321</v>
      </c>
      <c r="D92" s="208" t="s">
        <v>313</v>
      </c>
      <c r="E92" s="208" t="s">
        <v>322</v>
      </c>
      <c r="F92" s="208" t="s">
        <v>24</v>
      </c>
      <c r="G92" s="208" t="s">
        <v>311</v>
      </c>
      <c r="H92" s="208" t="s">
        <v>312</v>
      </c>
      <c r="I92" s="227"/>
      <c r="J92" s="227"/>
      <c r="K92" s="211" t="s">
        <v>3</v>
      </c>
    </row>
    <row r="93" spans="2:13">
      <c r="B93" s="222"/>
      <c r="C93" s="208" t="s">
        <v>332</v>
      </c>
      <c r="E93" s="208" t="s">
        <v>313</v>
      </c>
      <c r="F93" s="208" t="s">
        <v>313</v>
      </c>
      <c r="G93" s="208" t="s">
        <v>313</v>
      </c>
      <c r="H93" s="208" t="s">
        <v>313</v>
      </c>
      <c r="I93" s="227"/>
      <c r="J93" s="227"/>
    </row>
    <row r="94" spans="2:13">
      <c r="B94" s="228"/>
      <c r="C94" s="210"/>
      <c r="D94" s="210"/>
      <c r="E94" s="227"/>
      <c r="F94" s="227"/>
      <c r="G94" s="227"/>
      <c r="H94" s="227"/>
      <c r="I94" s="227"/>
      <c r="J94" s="227"/>
      <c r="K94" s="208" t="s">
        <v>324</v>
      </c>
    </row>
    <row r="95" spans="2:13">
      <c r="B95" s="228"/>
      <c r="C95" s="210"/>
      <c r="D95" s="210"/>
      <c r="E95" s="217"/>
      <c r="F95" s="217"/>
      <c r="G95" s="217"/>
      <c r="H95" s="217"/>
      <c r="I95" s="217"/>
      <c r="J95" s="217"/>
    </row>
    <row r="96" spans="2:13">
      <c r="B96" s="354" t="s">
        <v>1343</v>
      </c>
      <c r="C96" s="356">
        <f>F96</f>
        <v>6545217</v>
      </c>
      <c r="D96" s="356"/>
      <c r="E96" s="356"/>
      <c r="F96" s="356">
        <v>6545217</v>
      </c>
      <c r="G96" s="356"/>
      <c r="H96" s="356"/>
      <c r="I96" s="362"/>
      <c r="J96" s="363"/>
      <c r="K96" s="364"/>
      <c r="M96" s="1080"/>
    </row>
    <row r="97" spans="2:13">
      <c r="B97" s="354" t="s">
        <v>1344</v>
      </c>
      <c r="C97" s="356">
        <f t="shared" ref="C97:C109" si="4">F97</f>
        <v>79110187</v>
      </c>
      <c r="D97" s="356"/>
      <c r="E97" s="356"/>
      <c r="F97" s="356">
        <v>79110187</v>
      </c>
      <c r="G97" s="365"/>
      <c r="H97" s="356"/>
      <c r="I97" s="362"/>
      <c r="J97" s="363"/>
      <c r="K97" s="366"/>
      <c r="M97" s="1080"/>
    </row>
    <row r="98" spans="2:13">
      <c r="B98" s="354" t="s">
        <v>1345</v>
      </c>
      <c r="C98" s="356">
        <f t="shared" si="4"/>
        <v>1961291</v>
      </c>
      <c r="D98" s="356"/>
      <c r="E98" s="356"/>
      <c r="F98" s="356">
        <v>1961291</v>
      </c>
      <c r="G98" s="356"/>
      <c r="H98" s="356"/>
      <c r="I98" s="362"/>
      <c r="J98" s="363"/>
      <c r="K98" s="366"/>
      <c r="M98" s="1080"/>
    </row>
    <row r="99" spans="2:13">
      <c r="B99" s="354" t="s">
        <v>1346</v>
      </c>
      <c r="C99" s="356">
        <f t="shared" si="4"/>
        <v>5808618</v>
      </c>
      <c r="D99" s="356"/>
      <c r="E99" s="356"/>
      <c r="F99" s="356">
        <v>5808618</v>
      </c>
      <c r="G99" s="356"/>
      <c r="H99" s="356"/>
      <c r="I99" s="362"/>
      <c r="J99" s="363"/>
      <c r="K99" s="364"/>
      <c r="M99" s="1080"/>
    </row>
    <row r="100" spans="2:13">
      <c r="B100" s="354" t="s">
        <v>1347</v>
      </c>
      <c r="C100" s="356">
        <f t="shared" si="4"/>
        <v>1021215</v>
      </c>
      <c r="D100" s="356"/>
      <c r="E100" s="356"/>
      <c r="F100" s="356">
        <v>1021215</v>
      </c>
      <c r="G100" s="356"/>
      <c r="H100" s="356"/>
      <c r="I100" s="362"/>
      <c r="J100" s="363"/>
      <c r="K100" s="364"/>
      <c r="M100" s="1080"/>
    </row>
    <row r="101" spans="2:13">
      <c r="B101" s="354" t="s">
        <v>1348</v>
      </c>
      <c r="C101" s="356">
        <f t="shared" si="4"/>
        <v>118037</v>
      </c>
      <c r="D101" s="356"/>
      <c r="E101" s="356"/>
      <c r="F101" s="356">
        <v>118037</v>
      </c>
      <c r="G101" s="356"/>
      <c r="H101" s="356"/>
      <c r="I101" s="362"/>
      <c r="J101" s="363"/>
      <c r="K101" s="364"/>
      <c r="M101" s="1080"/>
    </row>
    <row r="102" spans="2:13">
      <c r="B102" s="354" t="s">
        <v>1349</v>
      </c>
      <c r="C102" s="356">
        <f t="shared" si="4"/>
        <v>13873</v>
      </c>
      <c r="D102" s="356"/>
      <c r="E102" s="356"/>
      <c r="F102" s="356">
        <v>13873</v>
      </c>
      <c r="G102" s="356"/>
      <c r="H102" s="356"/>
      <c r="I102" s="362"/>
      <c r="J102" s="363"/>
      <c r="K102" s="364"/>
      <c r="M102" s="1080"/>
    </row>
    <row r="103" spans="2:13">
      <c r="B103" s="354" t="s">
        <v>1350</v>
      </c>
      <c r="C103" s="356">
        <f t="shared" si="4"/>
        <v>18468</v>
      </c>
      <c r="D103" s="356"/>
      <c r="E103" s="356"/>
      <c r="F103" s="356">
        <v>18468</v>
      </c>
      <c r="G103" s="356"/>
      <c r="H103" s="356"/>
      <c r="I103" s="362"/>
      <c r="J103" s="363"/>
      <c r="K103" s="364"/>
      <c r="M103" s="1080"/>
    </row>
    <row r="104" spans="2:13">
      <c r="B104" s="354" t="s">
        <v>1351</v>
      </c>
      <c r="C104" s="356">
        <f t="shared" si="4"/>
        <v>93992</v>
      </c>
      <c r="D104" s="356"/>
      <c r="E104" s="356"/>
      <c r="F104" s="356">
        <v>93992</v>
      </c>
      <c r="G104" s="356"/>
      <c r="H104" s="356"/>
      <c r="I104" s="362"/>
      <c r="J104" s="363"/>
      <c r="K104" s="364"/>
      <c r="M104" s="1080"/>
    </row>
    <row r="105" spans="2:13">
      <c r="B105" s="354" t="s">
        <v>1352</v>
      </c>
      <c r="C105" s="356">
        <f t="shared" si="4"/>
        <v>-581338</v>
      </c>
      <c r="D105" s="356"/>
      <c r="E105" s="356"/>
      <c r="F105" s="356">
        <v>-581338</v>
      </c>
      <c r="G105" s="356"/>
      <c r="H105" s="356"/>
      <c r="I105" s="362"/>
      <c r="J105" s="363"/>
      <c r="K105" s="364"/>
      <c r="M105" s="1080"/>
    </row>
    <row r="106" spans="2:13">
      <c r="B106" s="354" t="s">
        <v>1353</v>
      </c>
      <c r="C106" s="356">
        <f t="shared" si="4"/>
        <v>-76965</v>
      </c>
      <c r="D106" s="356"/>
      <c r="E106" s="356"/>
      <c r="F106" s="356">
        <v>-76965</v>
      </c>
      <c r="G106" s="356"/>
      <c r="H106" s="356"/>
      <c r="I106" s="362"/>
      <c r="J106" s="363"/>
      <c r="K106" s="364"/>
      <c r="M106" s="1080"/>
    </row>
    <row r="107" spans="2:13">
      <c r="B107" s="354" t="s">
        <v>1354</v>
      </c>
      <c r="C107" s="356">
        <f t="shared" si="4"/>
        <v>19457</v>
      </c>
      <c r="D107" s="356"/>
      <c r="E107" s="356"/>
      <c r="F107" s="356">
        <v>19457</v>
      </c>
      <c r="G107" s="356"/>
      <c r="H107" s="356"/>
      <c r="I107" s="362"/>
      <c r="J107" s="363"/>
      <c r="K107" s="364"/>
      <c r="M107" s="1080"/>
    </row>
    <row r="108" spans="2:13">
      <c r="B108" s="354" t="s">
        <v>1355</v>
      </c>
      <c r="C108" s="356">
        <f t="shared" si="4"/>
        <v>18091597</v>
      </c>
      <c r="D108" s="356"/>
      <c r="E108" s="356"/>
      <c r="F108" s="356">
        <v>18091597</v>
      </c>
      <c r="G108" s="356"/>
      <c r="H108" s="356"/>
      <c r="I108" s="362"/>
      <c r="J108" s="363"/>
      <c r="K108" s="366"/>
      <c r="M108" s="1080"/>
    </row>
    <row r="109" spans="2:13">
      <c r="B109" s="354" t="s">
        <v>1356</v>
      </c>
      <c r="C109" s="356">
        <f t="shared" si="4"/>
        <v>-17386037.450913899</v>
      </c>
      <c r="D109" s="356"/>
      <c r="E109" s="356"/>
      <c r="F109" s="356">
        <v>-17386037.450913899</v>
      </c>
      <c r="G109" s="356"/>
      <c r="H109" s="356"/>
      <c r="I109" s="362"/>
      <c r="J109" s="363"/>
      <c r="K109" s="366"/>
      <c r="M109" s="1080"/>
    </row>
    <row r="110" spans="2:13">
      <c r="B110" s="368"/>
      <c r="C110" s="359"/>
      <c r="D110" s="359"/>
      <c r="E110" s="359"/>
      <c r="F110" s="359"/>
      <c r="G110" s="359"/>
      <c r="H110" s="359"/>
      <c r="I110" s="369"/>
      <c r="J110" s="370"/>
      <c r="K110" s="364"/>
      <c r="M110" s="1080"/>
    </row>
    <row r="111" spans="2:13">
      <c r="B111" s="216" t="s">
        <v>236</v>
      </c>
      <c r="C111" s="217">
        <f t="shared" ref="C111:H111" si="5">SUM(C96:C110)</f>
        <v>94757611.549086094</v>
      </c>
      <c r="D111" s="217">
        <f t="shared" si="5"/>
        <v>0</v>
      </c>
      <c r="E111" s="217">
        <f t="shared" si="5"/>
        <v>0</v>
      </c>
      <c r="F111" s="217">
        <f t="shared" si="5"/>
        <v>94757611.549086094</v>
      </c>
      <c r="G111" s="217">
        <f t="shared" si="5"/>
        <v>0</v>
      </c>
      <c r="H111" s="217">
        <f t="shared" si="5"/>
        <v>0</v>
      </c>
      <c r="I111" s="217"/>
      <c r="J111" s="217"/>
      <c r="M111" s="1080"/>
    </row>
    <row r="112" spans="2:13">
      <c r="B112" s="216"/>
      <c r="C112" s="217"/>
      <c r="D112" s="217"/>
      <c r="E112" s="217"/>
      <c r="F112" s="217"/>
      <c r="G112" s="217"/>
      <c r="H112" s="217"/>
      <c r="I112" s="217"/>
      <c r="J112" s="217"/>
    </row>
    <row r="113" spans="2:22">
      <c r="B113" s="216"/>
      <c r="C113" s="217"/>
      <c r="D113" s="217"/>
      <c r="E113" s="217"/>
      <c r="F113" s="217"/>
      <c r="G113" s="217"/>
      <c r="H113" s="217"/>
      <c r="I113" s="217"/>
      <c r="J113" s="217"/>
    </row>
    <row r="114" spans="2:22">
      <c r="E114" s="229"/>
      <c r="H114" s="211" t="s">
        <v>3</v>
      </c>
      <c r="I114" s="220"/>
      <c r="J114" s="211"/>
      <c r="K114" s="211"/>
    </row>
    <row r="115" spans="2:22">
      <c r="B115" s="219" t="s">
        <v>333</v>
      </c>
      <c r="C115" s="209"/>
      <c r="E115" s="213"/>
      <c r="F115" s="213"/>
      <c r="G115" s="221"/>
      <c r="H115" s="221"/>
      <c r="I115" s="221"/>
    </row>
    <row r="116" spans="2:22">
      <c r="B116" s="219"/>
      <c r="C116" s="209"/>
      <c r="E116" s="213"/>
      <c r="F116" s="213"/>
      <c r="G116" s="221"/>
      <c r="H116" s="221"/>
      <c r="I116" s="221"/>
    </row>
    <row r="117" spans="2:22" ht="12.75" customHeight="1">
      <c r="B117" s="1121" t="s">
        <v>326</v>
      </c>
      <c r="C117" s="1121"/>
      <c r="D117" s="1121"/>
      <c r="E117" s="1121"/>
      <c r="F117" s="1121"/>
      <c r="G117" s="1121"/>
      <c r="H117" s="1121"/>
      <c r="I117" s="1121"/>
    </row>
    <row r="118" spans="2:22" ht="12" customHeight="1">
      <c r="B118" s="1121" t="s">
        <v>327</v>
      </c>
      <c r="C118" s="1121"/>
      <c r="D118" s="1121"/>
      <c r="E118" s="1121"/>
      <c r="F118" s="1121"/>
      <c r="G118" s="1121"/>
      <c r="H118" s="1121"/>
      <c r="I118" s="1121"/>
    </row>
    <row r="119" spans="2:22">
      <c r="B119" s="698" t="s">
        <v>328</v>
      </c>
      <c r="C119" s="213"/>
      <c r="D119" s="213"/>
      <c r="E119" s="213"/>
      <c r="F119" s="213"/>
      <c r="G119" s="221"/>
      <c r="H119" s="221"/>
      <c r="I119" s="221"/>
    </row>
    <row r="120" spans="2:22">
      <c r="B120" s="698" t="s">
        <v>329</v>
      </c>
      <c r="C120" s="213"/>
      <c r="D120" s="213"/>
      <c r="E120" s="213"/>
      <c r="F120" s="213"/>
      <c r="G120" s="221"/>
      <c r="H120" s="221"/>
      <c r="I120" s="221"/>
    </row>
    <row r="121" spans="2:22">
      <c r="B121" s="698" t="s">
        <v>330</v>
      </c>
      <c r="C121" s="213"/>
      <c r="D121" s="213"/>
      <c r="E121" s="213"/>
      <c r="F121" s="213"/>
      <c r="G121" s="221"/>
      <c r="H121" s="221"/>
      <c r="I121" s="221"/>
      <c r="V121" s="230"/>
    </row>
    <row r="122" spans="2:22">
      <c r="B122" s="215" t="s">
        <v>331</v>
      </c>
      <c r="C122" s="215"/>
      <c r="D122" s="215"/>
      <c r="E122" s="215"/>
      <c r="F122" s="215"/>
      <c r="G122" s="215"/>
      <c r="H122" s="215"/>
      <c r="I122" s="215"/>
    </row>
    <row r="123" spans="2:22">
      <c r="B123" s="231"/>
      <c r="C123" s="209"/>
      <c r="D123" s="209"/>
      <c r="E123" s="213"/>
      <c r="F123" s="213"/>
      <c r="G123" s="221"/>
      <c r="H123" s="221"/>
      <c r="I123" s="221"/>
    </row>
    <row r="124" spans="2:22">
      <c r="B124" s="231"/>
      <c r="C124" s="209"/>
      <c r="D124" s="209"/>
      <c r="E124" s="213"/>
      <c r="F124" s="213"/>
      <c r="G124" s="221"/>
      <c r="H124" s="221"/>
      <c r="I124" s="221"/>
    </row>
    <row r="125" spans="2:22" ht="15.75">
      <c r="B125" s="232"/>
      <c r="C125" s="209"/>
      <c r="D125" s="209"/>
      <c r="E125" s="213"/>
      <c r="F125" s="213"/>
      <c r="G125" s="221"/>
      <c r="H125" s="221"/>
      <c r="I125" s="221"/>
      <c r="K125" s="3" t="str">
        <f>K1</f>
        <v>Attachment H -11A, Attachment 5a</v>
      </c>
    </row>
    <row r="126" spans="2:22" ht="16.5" thickBot="1">
      <c r="B126" s="208" t="s">
        <v>101</v>
      </c>
      <c r="C126" s="208" t="s">
        <v>102</v>
      </c>
      <c r="D126" s="208" t="s">
        <v>103</v>
      </c>
      <c r="E126" s="208" t="s">
        <v>104</v>
      </c>
      <c r="F126" s="208" t="s">
        <v>105</v>
      </c>
      <c r="G126" s="208" t="s">
        <v>106</v>
      </c>
      <c r="H126" s="208" t="s">
        <v>107</v>
      </c>
      <c r="I126" s="208"/>
      <c r="J126" s="208"/>
      <c r="K126" s="32" t="s">
        <v>519</v>
      </c>
    </row>
    <row r="127" spans="2:22" ht="16.5" thickBot="1">
      <c r="B127" s="223"/>
      <c r="C127" s="1122"/>
      <c r="D127" s="1123"/>
      <c r="E127" s="1123"/>
      <c r="F127" s="1123"/>
      <c r="G127" s="1123"/>
      <c r="H127" s="1124"/>
      <c r="I127" s="208"/>
      <c r="J127" s="208"/>
      <c r="K127" s="3" t="str">
        <f>'Attachment H-11A '!K4</f>
        <v>For the 12 months ended 12/31/2023</v>
      </c>
    </row>
    <row r="128" spans="2:22">
      <c r="B128" s="210"/>
      <c r="I128" s="227"/>
      <c r="J128" s="227"/>
    </row>
    <row r="129" spans="2:13">
      <c r="B129" s="231"/>
      <c r="C129" s="209"/>
      <c r="D129" s="209"/>
      <c r="E129" s="213"/>
      <c r="F129" s="213"/>
      <c r="G129" s="221"/>
      <c r="H129" s="221"/>
      <c r="I129" s="221"/>
    </row>
    <row r="130" spans="2:13">
      <c r="B130" s="231"/>
      <c r="C130" s="209"/>
      <c r="D130" s="209"/>
      <c r="E130" s="213"/>
      <c r="F130" s="213"/>
      <c r="G130" s="221"/>
      <c r="H130" s="221"/>
      <c r="I130" s="221"/>
    </row>
    <row r="131" spans="2:13">
      <c r="B131" s="226" t="s">
        <v>334</v>
      </c>
      <c r="C131" s="208" t="s">
        <v>318</v>
      </c>
      <c r="D131" s="208" t="s">
        <v>310</v>
      </c>
      <c r="E131" s="208" t="s">
        <v>319</v>
      </c>
      <c r="F131" s="208" t="s">
        <v>320</v>
      </c>
      <c r="G131" s="208"/>
      <c r="H131" s="208"/>
      <c r="I131" s="227"/>
      <c r="J131" s="227"/>
    </row>
    <row r="132" spans="2:13">
      <c r="B132" s="210"/>
      <c r="C132" s="208" t="s">
        <v>321</v>
      </c>
      <c r="D132" s="208" t="s">
        <v>313</v>
      </c>
      <c r="E132" s="208" t="s">
        <v>322</v>
      </c>
      <c r="F132" s="208" t="s">
        <v>24</v>
      </c>
      <c r="G132" s="208" t="s">
        <v>311</v>
      </c>
      <c r="H132" s="208" t="s">
        <v>312</v>
      </c>
      <c r="I132" s="227"/>
      <c r="J132" s="227"/>
      <c r="K132" s="208" t="s">
        <v>324</v>
      </c>
    </row>
    <row r="133" spans="2:13">
      <c r="B133" s="215" t="s">
        <v>3</v>
      </c>
      <c r="C133" s="208" t="s">
        <v>335</v>
      </c>
      <c r="E133" s="208" t="s">
        <v>313</v>
      </c>
      <c r="F133" s="208" t="s">
        <v>313</v>
      </c>
      <c r="G133" s="208" t="s">
        <v>313</v>
      </c>
      <c r="H133" s="208" t="s">
        <v>313</v>
      </c>
      <c r="I133" s="227"/>
      <c r="J133" s="227"/>
    </row>
    <row r="134" spans="2:13">
      <c r="B134" s="228"/>
      <c r="C134" s="217"/>
      <c r="D134" s="217"/>
      <c r="E134" s="217"/>
      <c r="F134" s="217"/>
      <c r="G134" s="217"/>
      <c r="H134" s="217"/>
      <c r="I134" s="371"/>
      <c r="J134" s="372"/>
    </row>
    <row r="135" spans="2:13">
      <c r="B135" s="354" t="s">
        <v>1328</v>
      </c>
      <c r="C135" s="367">
        <f>F135</f>
        <v>124845</v>
      </c>
      <c r="D135" s="356"/>
      <c r="E135" s="356"/>
      <c r="F135" s="356">
        <v>124845</v>
      </c>
      <c r="G135" s="356"/>
      <c r="H135" s="356"/>
      <c r="I135" s="356"/>
      <c r="J135" s="356"/>
      <c r="K135" s="356"/>
      <c r="M135" s="1080"/>
    </row>
    <row r="136" spans="2:13">
      <c r="B136" s="354" t="s">
        <v>1357</v>
      </c>
      <c r="C136" s="367">
        <f t="shared" ref="C136:C139" si="6">F136</f>
        <v>966889</v>
      </c>
      <c r="D136" s="356"/>
      <c r="E136" s="356"/>
      <c r="F136" s="356">
        <v>966889</v>
      </c>
      <c r="G136" s="356"/>
      <c r="H136" s="356"/>
      <c r="I136" s="356"/>
      <c r="J136" s="356"/>
      <c r="K136" s="356"/>
      <c r="M136" s="1080"/>
    </row>
    <row r="137" spans="2:13">
      <c r="B137" s="354" t="s">
        <v>1340</v>
      </c>
      <c r="C137" s="367">
        <f t="shared" si="6"/>
        <v>45660</v>
      </c>
      <c r="D137" s="356"/>
      <c r="E137" s="356"/>
      <c r="F137" s="356">
        <v>45660</v>
      </c>
      <c r="G137" s="356"/>
      <c r="H137" s="356"/>
      <c r="I137" s="356"/>
      <c r="J137" s="356"/>
      <c r="K137" s="356"/>
      <c r="M137" s="1080"/>
    </row>
    <row r="138" spans="2:13">
      <c r="B138" s="354" t="s">
        <v>1327</v>
      </c>
      <c r="C138" s="367">
        <f t="shared" si="6"/>
        <v>48600</v>
      </c>
      <c r="D138" s="356"/>
      <c r="E138" s="356"/>
      <c r="F138" s="356">
        <v>48600</v>
      </c>
      <c r="G138" s="356"/>
      <c r="H138" s="356"/>
      <c r="I138" s="356"/>
      <c r="J138" s="356"/>
      <c r="K138" s="356"/>
      <c r="M138" s="1080"/>
    </row>
    <row r="139" spans="2:13">
      <c r="B139" s="354" t="s">
        <v>1358</v>
      </c>
      <c r="C139" s="367">
        <f t="shared" si="6"/>
        <v>-4989584.8209697763</v>
      </c>
      <c r="D139" s="356"/>
      <c r="E139" s="356"/>
      <c r="F139" s="356">
        <v>-4989584.8209697763</v>
      </c>
      <c r="G139" s="356"/>
      <c r="H139" s="356"/>
      <c r="I139" s="356"/>
      <c r="J139" s="356"/>
      <c r="K139" s="356"/>
      <c r="M139" s="1080"/>
    </row>
    <row r="140" spans="2:13">
      <c r="B140" s="354"/>
      <c r="C140" s="373"/>
      <c r="D140" s="359"/>
      <c r="E140" s="359"/>
      <c r="F140" s="359"/>
      <c r="G140" s="359"/>
      <c r="H140" s="359"/>
      <c r="I140" s="359"/>
      <c r="J140" s="359"/>
      <c r="K140" s="360"/>
      <c r="M140" s="1080"/>
    </row>
    <row r="141" spans="2:13">
      <c r="B141" s="216" t="s">
        <v>236</v>
      </c>
      <c r="C141" s="217">
        <f t="shared" ref="C141:H141" si="7">SUM(C135:C140)</f>
        <v>-3803590.8209697763</v>
      </c>
      <c r="D141" s="217">
        <f t="shared" si="7"/>
        <v>0</v>
      </c>
      <c r="E141" s="217">
        <f t="shared" si="7"/>
        <v>0</v>
      </c>
      <c r="F141" s="217">
        <f t="shared" si="7"/>
        <v>-3803590.8209697763</v>
      </c>
      <c r="G141" s="217">
        <f t="shared" si="7"/>
        <v>0</v>
      </c>
      <c r="H141" s="217">
        <f t="shared" si="7"/>
        <v>0</v>
      </c>
      <c r="I141" s="217"/>
      <c r="J141" s="217"/>
      <c r="M141" s="1080"/>
    </row>
    <row r="142" spans="2:13" ht="15.75">
      <c r="B142" s="129"/>
      <c r="C142" s="209"/>
      <c r="D142" s="209"/>
      <c r="E142" s="213"/>
      <c r="F142" s="213"/>
      <c r="G142" s="221"/>
      <c r="H142" s="221"/>
      <c r="I142" s="221"/>
    </row>
    <row r="143" spans="2:13">
      <c r="B143" s="210"/>
      <c r="C143" s="210"/>
      <c r="D143" s="210"/>
      <c r="E143" s="210"/>
      <c r="F143" s="210"/>
      <c r="G143" s="210"/>
      <c r="H143" s="226"/>
      <c r="I143" s="226"/>
    </row>
    <row r="144" spans="2:13">
      <c r="B144" s="219"/>
      <c r="E144" s="213"/>
      <c r="F144" s="213"/>
      <c r="G144" s="213"/>
      <c r="H144" s="213"/>
      <c r="I144" s="217"/>
      <c r="J144" s="213"/>
    </row>
    <row r="145" spans="2:11">
      <c r="B145" s="219" t="s">
        <v>336</v>
      </c>
      <c r="C145" s="209"/>
      <c r="D145" s="209"/>
      <c r="E145" s="213"/>
      <c r="F145" s="213"/>
      <c r="G145" s="221"/>
      <c r="H145" s="221"/>
      <c r="I145" s="221"/>
    </row>
    <row r="146" spans="2:11">
      <c r="B146" s="231"/>
      <c r="C146" s="209"/>
      <c r="D146" s="209"/>
      <c r="E146" s="209"/>
      <c r="F146" s="209"/>
      <c r="G146" s="209"/>
      <c r="H146" s="209"/>
      <c r="I146" s="209"/>
    </row>
    <row r="147" spans="2:11" ht="12.95" customHeight="1">
      <c r="B147" s="1121" t="s">
        <v>326</v>
      </c>
      <c r="C147" s="1121"/>
      <c r="D147" s="1121"/>
      <c r="E147" s="1121"/>
      <c r="F147" s="1121"/>
      <c r="G147" s="1121"/>
      <c r="H147" s="1121"/>
      <c r="I147" s="1121"/>
    </row>
    <row r="148" spans="2:11" ht="12.95" customHeight="1">
      <c r="B148" s="1121" t="s">
        <v>327</v>
      </c>
      <c r="C148" s="1121"/>
      <c r="D148" s="1121"/>
      <c r="E148" s="1121"/>
      <c r="F148" s="1121"/>
      <c r="G148" s="1121"/>
      <c r="H148" s="1121"/>
      <c r="I148" s="1121"/>
    </row>
    <row r="149" spans="2:11">
      <c r="B149" s="698" t="s">
        <v>328</v>
      </c>
      <c r="C149" s="213"/>
      <c r="D149" s="213"/>
      <c r="E149" s="213"/>
      <c r="F149" s="213"/>
      <c r="G149" s="221"/>
      <c r="H149" s="221"/>
      <c r="I149" s="221"/>
    </row>
    <row r="150" spans="2:11">
      <c r="B150" s="698" t="s">
        <v>329</v>
      </c>
      <c r="C150" s="213"/>
      <c r="D150" s="213"/>
      <c r="E150" s="213"/>
      <c r="F150" s="213"/>
      <c r="G150" s="221"/>
      <c r="H150" s="221"/>
      <c r="I150" s="221"/>
    </row>
    <row r="151" spans="2:11">
      <c r="B151" s="698" t="s">
        <v>330</v>
      </c>
      <c r="C151" s="213"/>
      <c r="D151" s="213"/>
      <c r="E151" s="213"/>
      <c r="F151" s="213"/>
      <c r="G151" s="221"/>
      <c r="H151" s="221"/>
      <c r="I151" s="221"/>
    </row>
    <row r="152" spans="2:11">
      <c r="B152" s="215" t="s">
        <v>331</v>
      </c>
      <c r="C152" s="215"/>
      <c r="D152" s="215"/>
      <c r="E152" s="215"/>
      <c r="F152" s="215"/>
      <c r="G152" s="215"/>
      <c r="H152" s="215"/>
      <c r="I152" s="215"/>
    </row>
    <row r="153" spans="2:11">
      <c r="B153" s="213"/>
      <c r="C153" s="213"/>
      <c r="D153" s="213"/>
      <c r="E153" s="213"/>
      <c r="F153" s="213"/>
      <c r="G153" s="213"/>
      <c r="H153" s="233"/>
      <c r="I153" s="233"/>
    </row>
    <row r="154" spans="2:11">
      <c r="C154" s="209"/>
      <c r="D154" s="209"/>
      <c r="E154" s="213"/>
      <c r="F154" s="213"/>
      <c r="G154" s="221"/>
      <c r="H154" s="221"/>
      <c r="I154" s="221"/>
    </row>
    <row r="155" spans="2:11">
      <c r="B155" s="232"/>
      <c r="C155" s="209"/>
      <c r="D155" s="209"/>
      <c r="E155" s="213"/>
      <c r="F155" s="213"/>
      <c r="G155" s="221"/>
      <c r="H155" s="221"/>
      <c r="I155" s="221"/>
    </row>
    <row r="156" spans="2:11" ht="16.5" thickBot="1">
      <c r="B156" s="208" t="s">
        <v>101</v>
      </c>
      <c r="C156" s="208" t="s">
        <v>102</v>
      </c>
      <c r="D156" s="208" t="s">
        <v>103</v>
      </c>
      <c r="E156" s="208" t="s">
        <v>104</v>
      </c>
      <c r="F156" s="208" t="s">
        <v>105</v>
      </c>
      <c r="G156" s="208" t="s">
        <v>106</v>
      </c>
      <c r="H156" s="208" t="s">
        <v>107</v>
      </c>
      <c r="I156" s="208"/>
      <c r="J156" s="208"/>
      <c r="K156" s="3" t="str">
        <f>K1</f>
        <v>Attachment H -11A, Attachment 5a</v>
      </c>
    </row>
    <row r="157" spans="2:11" ht="16.5" thickBot="1">
      <c r="B157" s="223"/>
      <c r="C157" s="1122"/>
      <c r="D157" s="1123"/>
      <c r="E157" s="1123"/>
      <c r="F157" s="1123"/>
      <c r="G157" s="1123"/>
      <c r="H157" s="1124"/>
      <c r="I157" s="208"/>
      <c r="J157" s="208"/>
      <c r="K157" s="32" t="s">
        <v>518</v>
      </c>
    </row>
    <row r="158" spans="2:11" ht="15.75">
      <c r="B158" s="210"/>
      <c r="I158" s="227"/>
      <c r="J158" s="227"/>
      <c r="K158" s="3" t="str">
        <f>'Attachment H-11A '!K4</f>
        <v>For the 12 months ended 12/31/2023</v>
      </c>
    </row>
    <row r="159" spans="2:11">
      <c r="B159" s="210"/>
      <c r="C159" s="210"/>
      <c r="D159" s="210"/>
      <c r="E159" s="210"/>
      <c r="F159" s="210"/>
      <c r="G159" s="210"/>
      <c r="H159" s="226"/>
      <c r="I159" s="226"/>
    </row>
    <row r="160" spans="2:11">
      <c r="B160" s="210"/>
      <c r="C160" s="210"/>
      <c r="D160" s="210"/>
      <c r="E160" s="210"/>
      <c r="F160" s="210"/>
      <c r="G160" s="210"/>
      <c r="H160" s="226"/>
      <c r="I160" s="226"/>
    </row>
    <row r="161" spans="2:11">
      <c r="B161" s="226" t="s">
        <v>337</v>
      </c>
      <c r="C161" s="208" t="s">
        <v>318</v>
      </c>
      <c r="D161" s="208" t="s">
        <v>310</v>
      </c>
      <c r="E161" s="208" t="s">
        <v>319</v>
      </c>
      <c r="F161" s="208" t="s">
        <v>320</v>
      </c>
      <c r="G161" s="208"/>
      <c r="H161" s="208"/>
      <c r="I161" s="227"/>
      <c r="J161" s="227"/>
    </row>
    <row r="162" spans="2:11">
      <c r="B162" s="210"/>
      <c r="C162" s="208" t="s">
        <v>321</v>
      </c>
      <c r="D162" s="208" t="s">
        <v>313</v>
      </c>
      <c r="E162" s="208" t="s">
        <v>322</v>
      </c>
      <c r="F162" s="208" t="s">
        <v>24</v>
      </c>
      <c r="G162" s="208" t="s">
        <v>311</v>
      </c>
      <c r="H162" s="208" t="s">
        <v>312</v>
      </c>
      <c r="I162" s="227"/>
      <c r="J162" s="227"/>
      <c r="K162" s="208" t="s">
        <v>324</v>
      </c>
    </row>
    <row r="163" spans="2:11">
      <c r="B163" s="215" t="s">
        <v>3</v>
      </c>
      <c r="C163" s="208" t="s">
        <v>338</v>
      </c>
      <c r="E163" s="208" t="s">
        <v>313</v>
      </c>
      <c r="F163" s="208" t="s">
        <v>313</v>
      </c>
      <c r="G163" s="208" t="s">
        <v>313</v>
      </c>
      <c r="H163" s="208" t="s">
        <v>313</v>
      </c>
      <c r="I163" s="227"/>
      <c r="J163" s="227"/>
    </row>
    <row r="164" spans="2:11">
      <c r="B164" s="228"/>
      <c r="C164" s="217"/>
      <c r="D164" s="217"/>
      <c r="E164" s="217"/>
      <c r="F164" s="217"/>
      <c r="G164" s="217"/>
      <c r="H164" s="217"/>
      <c r="I164" s="371"/>
      <c r="J164" s="372"/>
    </row>
    <row r="165" spans="2:11">
      <c r="B165" s="354"/>
      <c r="C165" s="367"/>
      <c r="D165" s="356"/>
      <c r="E165" s="356"/>
      <c r="F165" s="356"/>
      <c r="G165" s="356"/>
      <c r="H165" s="356"/>
      <c r="I165" s="356"/>
      <c r="J165" s="356"/>
      <c r="K165" s="356"/>
    </row>
    <row r="166" spans="2:11">
      <c r="B166" s="354"/>
      <c r="C166" s="367"/>
      <c r="D166" s="356"/>
      <c r="E166" s="356"/>
      <c r="F166" s="356"/>
      <c r="G166" s="356"/>
      <c r="H166" s="356"/>
      <c r="I166" s="356"/>
      <c r="J166" s="356"/>
      <c r="K166" s="356"/>
    </row>
    <row r="167" spans="2:11">
      <c r="B167" s="354"/>
      <c r="C167" s="367"/>
      <c r="D167" s="356"/>
      <c r="E167" s="356"/>
      <c r="F167" s="356"/>
      <c r="G167" s="356"/>
      <c r="H167" s="356"/>
      <c r="I167" s="356"/>
      <c r="J167" s="356"/>
      <c r="K167" s="356"/>
    </row>
    <row r="168" spans="2:11">
      <c r="B168" s="354"/>
      <c r="C168" s="367"/>
      <c r="D168" s="356"/>
      <c r="E168" s="356"/>
      <c r="F168" s="356"/>
      <c r="G168" s="356"/>
      <c r="H168" s="356"/>
      <c r="I168" s="356"/>
      <c r="J168" s="356"/>
      <c r="K168" s="356"/>
    </row>
    <row r="169" spans="2:11">
      <c r="B169" s="354"/>
      <c r="C169" s="367"/>
      <c r="D169" s="356"/>
      <c r="E169" s="356"/>
      <c r="F169" s="356"/>
      <c r="G169" s="356"/>
      <c r="H169" s="356"/>
      <c r="I169" s="356"/>
      <c r="J169" s="356"/>
      <c r="K169" s="357"/>
    </row>
    <row r="170" spans="2:11">
      <c r="B170" s="354"/>
      <c r="C170" s="367"/>
      <c r="D170" s="356"/>
      <c r="E170" s="356"/>
      <c r="F170" s="356"/>
      <c r="G170" s="356"/>
      <c r="H170" s="356"/>
      <c r="I170" s="356"/>
      <c r="J170" s="356"/>
      <c r="K170" s="357"/>
    </row>
    <row r="171" spans="2:11">
      <c r="B171" s="354"/>
      <c r="C171" s="367"/>
      <c r="D171" s="356"/>
      <c r="E171" s="356"/>
      <c r="F171" s="356"/>
      <c r="G171" s="356"/>
      <c r="H171" s="356"/>
      <c r="I171" s="356"/>
      <c r="J171" s="356"/>
      <c r="K171" s="356"/>
    </row>
    <row r="172" spans="2:11">
      <c r="B172" s="354"/>
      <c r="C172" s="367"/>
      <c r="D172" s="356"/>
      <c r="E172" s="356"/>
      <c r="F172" s="356"/>
      <c r="G172" s="356"/>
      <c r="H172" s="356"/>
      <c r="I172" s="356"/>
      <c r="J172" s="356"/>
      <c r="K172" s="356"/>
    </row>
    <row r="173" spans="2:11">
      <c r="B173" s="354"/>
      <c r="C173" s="373"/>
      <c r="D173" s="359"/>
      <c r="E173" s="359"/>
      <c r="F173" s="359"/>
      <c r="G173" s="359"/>
      <c r="H173" s="359"/>
      <c r="I173" s="359"/>
      <c r="J173" s="359"/>
      <c r="K173" s="360"/>
    </row>
    <row r="174" spans="2:11">
      <c r="B174" s="216" t="s">
        <v>236</v>
      </c>
      <c r="C174" s="217">
        <f t="shared" ref="C174:D174" si="8">SUM(C164:C173)</f>
        <v>0</v>
      </c>
      <c r="D174" s="217">
        <f t="shared" si="8"/>
        <v>0</v>
      </c>
      <c r="E174" s="217">
        <f>SUM(E164:E173)</f>
        <v>0</v>
      </c>
      <c r="F174" s="217">
        <f t="shared" ref="F174" si="9">SUM(F164:F173)</f>
        <v>0</v>
      </c>
      <c r="G174" s="217">
        <f t="shared" ref="G174" si="10">SUM(G164:G173)</f>
        <v>0</v>
      </c>
      <c r="H174" s="217">
        <f>SUM(H164:H173)</f>
        <v>0</v>
      </c>
      <c r="I174" s="217"/>
      <c r="J174" s="217"/>
    </row>
    <row r="175" spans="2:11">
      <c r="B175" s="210"/>
      <c r="C175" s="210"/>
      <c r="D175" s="210"/>
      <c r="E175" s="210"/>
      <c r="F175" s="210"/>
      <c r="G175" s="210"/>
      <c r="H175" s="226"/>
      <c r="I175" s="226"/>
    </row>
    <row r="176" spans="2:11">
      <c r="B176" s="210"/>
      <c r="C176" s="210"/>
      <c r="D176" s="210"/>
      <c r="E176" s="210"/>
      <c r="F176" s="210"/>
      <c r="G176" s="210"/>
      <c r="H176" s="226"/>
      <c r="I176" s="226"/>
    </row>
    <row r="177" spans="2:11">
      <c r="B177" s="219"/>
      <c r="E177" s="213"/>
      <c r="F177" s="213"/>
      <c r="G177" s="213"/>
      <c r="H177" s="213"/>
      <c r="I177" s="217"/>
      <c r="J177" s="213"/>
    </row>
    <row r="178" spans="2:11">
      <c r="B178" s="219" t="s">
        <v>341</v>
      </c>
      <c r="C178" s="209"/>
      <c r="D178" s="209"/>
      <c r="E178" s="213"/>
      <c r="F178" s="213"/>
      <c r="G178" s="221"/>
      <c r="H178" s="221"/>
      <c r="I178" s="221"/>
    </row>
    <row r="179" spans="2:11">
      <c r="B179" s="231"/>
      <c r="C179" s="209"/>
      <c r="D179" s="209"/>
      <c r="E179" s="209"/>
      <c r="F179" s="209"/>
      <c r="G179" s="209"/>
      <c r="H179" s="209"/>
      <c r="I179" s="209"/>
    </row>
    <row r="180" spans="2:11" ht="12.95" customHeight="1">
      <c r="B180" s="1121" t="s">
        <v>326</v>
      </c>
      <c r="C180" s="1121"/>
      <c r="D180" s="1121"/>
      <c r="E180" s="1121"/>
      <c r="F180" s="1121"/>
      <c r="G180" s="1121"/>
      <c r="H180" s="1121"/>
      <c r="I180" s="1121"/>
    </row>
    <row r="181" spans="2:11" ht="12.95" customHeight="1">
      <c r="B181" s="1121" t="s">
        <v>327</v>
      </c>
      <c r="C181" s="1121"/>
      <c r="D181" s="1121"/>
      <c r="E181" s="1121"/>
      <c r="F181" s="1121"/>
      <c r="G181" s="1121"/>
      <c r="H181" s="1121"/>
      <c r="I181" s="1121"/>
    </row>
    <row r="182" spans="2:11">
      <c r="B182" s="698" t="s">
        <v>328</v>
      </c>
      <c r="C182" s="213"/>
      <c r="D182" s="213"/>
      <c r="E182" s="213"/>
      <c r="F182" s="213"/>
      <c r="G182" s="221"/>
      <c r="H182" s="221"/>
      <c r="I182" s="221"/>
    </row>
    <row r="183" spans="2:11">
      <c r="B183" s="698" t="s">
        <v>329</v>
      </c>
      <c r="C183" s="213"/>
      <c r="D183" s="213"/>
      <c r="E183" s="213"/>
      <c r="F183" s="213"/>
      <c r="G183" s="221"/>
      <c r="H183" s="221"/>
      <c r="I183" s="221"/>
    </row>
    <row r="184" spans="2:11">
      <c r="B184" s="698" t="s">
        <v>330</v>
      </c>
      <c r="C184" s="213"/>
      <c r="D184" s="213"/>
      <c r="E184" s="213"/>
      <c r="F184" s="213"/>
      <c r="G184" s="221"/>
      <c r="H184" s="221"/>
      <c r="I184" s="221"/>
    </row>
    <row r="185" spans="2:11">
      <c r="B185" s="215" t="s">
        <v>331</v>
      </c>
      <c r="C185" s="215"/>
      <c r="D185" s="215"/>
      <c r="E185" s="215"/>
      <c r="F185" s="215"/>
      <c r="G185" s="215"/>
      <c r="H185" s="215"/>
      <c r="I185" s="215"/>
    </row>
    <row r="188" spans="2:11">
      <c r="C188" s="209"/>
      <c r="D188" s="209"/>
      <c r="E188" s="213"/>
      <c r="F188" s="213"/>
      <c r="G188" s="221"/>
      <c r="H188" s="221"/>
      <c r="I188" s="221"/>
    </row>
    <row r="189" spans="2:11">
      <c r="B189" s="231"/>
      <c r="C189" s="209"/>
      <c r="D189" s="209"/>
      <c r="E189" s="213"/>
      <c r="F189" s="213"/>
      <c r="G189" s="221"/>
      <c r="H189" s="221"/>
      <c r="I189" s="221"/>
    </row>
    <row r="190" spans="2:11" ht="15.75">
      <c r="B190" s="232"/>
      <c r="C190" s="209"/>
      <c r="D190" s="209"/>
      <c r="E190" s="213"/>
      <c r="F190" s="213"/>
      <c r="G190" s="221"/>
      <c r="H190" s="221"/>
      <c r="I190" s="221"/>
      <c r="K190" s="3" t="str">
        <f>K1</f>
        <v>Attachment H -11A, Attachment 5a</v>
      </c>
    </row>
    <row r="191" spans="2:11" ht="16.5" thickBot="1">
      <c r="B191" s="208" t="s">
        <v>101</v>
      </c>
      <c r="C191" s="208" t="s">
        <v>102</v>
      </c>
      <c r="D191" s="208" t="s">
        <v>103</v>
      </c>
      <c r="E191" s="208" t="s">
        <v>104</v>
      </c>
      <c r="F191" s="208" t="s">
        <v>105</v>
      </c>
      <c r="G191" s="208" t="s">
        <v>106</v>
      </c>
      <c r="H191" s="208" t="s">
        <v>107</v>
      </c>
      <c r="I191" s="208"/>
      <c r="J191" s="208"/>
      <c r="K191" s="32" t="s">
        <v>517</v>
      </c>
    </row>
    <row r="192" spans="2:11" ht="16.5" thickBot="1">
      <c r="B192" s="223"/>
      <c r="C192" s="1122"/>
      <c r="D192" s="1123"/>
      <c r="E192" s="1123"/>
      <c r="F192" s="1123"/>
      <c r="G192" s="1123"/>
      <c r="H192" s="1124"/>
      <c r="I192" s="208"/>
      <c r="J192" s="208"/>
      <c r="K192" s="3" t="str">
        <f>'Attachment H-11A '!K4</f>
        <v>For the 12 months ended 12/31/2023</v>
      </c>
    </row>
    <row r="193" spans="2:11">
      <c r="B193" s="210"/>
      <c r="I193" s="227"/>
      <c r="J193" s="227"/>
    </row>
    <row r="194" spans="2:11" ht="15.75">
      <c r="B194" s="129"/>
      <c r="C194" s="209"/>
      <c r="D194" s="209"/>
      <c r="E194" s="213"/>
      <c r="F194" s="213"/>
      <c r="G194" s="221"/>
      <c r="H194" s="221"/>
      <c r="I194" s="221"/>
    </row>
    <row r="195" spans="2:11" ht="15.75">
      <c r="B195" s="129"/>
      <c r="C195" s="209"/>
      <c r="D195" s="209"/>
      <c r="E195" s="213"/>
      <c r="F195" s="213"/>
      <c r="G195" s="221"/>
      <c r="H195" s="221"/>
      <c r="I195" s="221"/>
    </row>
    <row r="196" spans="2:11">
      <c r="B196" s="226" t="s">
        <v>342</v>
      </c>
      <c r="C196" s="208" t="s">
        <v>318</v>
      </c>
      <c r="D196" s="208" t="s">
        <v>310</v>
      </c>
      <c r="E196" s="208" t="s">
        <v>319</v>
      </c>
      <c r="F196" s="208" t="s">
        <v>320</v>
      </c>
      <c r="G196" s="208"/>
      <c r="H196" s="208"/>
      <c r="I196" s="227"/>
      <c r="J196" s="227"/>
    </row>
    <row r="197" spans="2:11">
      <c r="B197" s="210"/>
      <c r="C197" s="208" t="s">
        <v>321</v>
      </c>
      <c r="D197" s="208" t="s">
        <v>313</v>
      </c>
      <c r="E197" s="208" t="s">
        <v>322</v>
      </c>
      <c r="F197" s="208" t="s">
        <v>24</v>
      </c>
      <c r="G197" s="208" t="s">
        <v>311</v>
      </c>
      <c r="H197" s="208" t="s">
        <v>312</v>
      </c>
      <c r="I197" s="227"/>
      <c r="J197" s="227"/>
      <c r="K197" s="208" t="s">
        <v>324</v>
      </c>
    </row>
    <row r="198" spans="2:11">
      <c r="B198" s="215" t="s">
        <v>3</v>
      </c>
      <c r="C198" s="208" t="s">
        <v>344</v>
      </c>
      <c r="E198" s="208" t="s">
        <v>313</v>
      </c>
      <c r="F198" s="208" t="s">
        <v>313</v>
      </c>
      <c r="G198" s="208" t="s">
        <v>313</v>
      </c>
      <c r="H198" s="208" t="s">
        <v>313</v>
      </c>
      <c r="I198" s="227"/>
      <c r="J198" s="227"/>
    </row>
    <row r="199" spans="2:11">
      <c r="B199" s="228"/>
      <c r="C199" s="217"/>
      <c r="D199" s="217"/>
      <c r="E199" s="217"/>
      <c r="F199" s="217"/>
      <c r="G199" s="217"/>
      <c r="H199" s="217"/>
      <c r="I199" s="371"/>
      <c r="J199" s="372"/>
    </row>
    <row r="200" spans="2:11">
      <c r="B200" s="354"/>
      <c r="C200" s="367"/>
      <c r="D200" s="356"/>
      <c r="E200" s="356"/>
      <c r="F200" s="356"/>
      <c r="G200" s="356"/>
      <c r="H200" s="356"/>
      <c r="I200" s="356"/>
      <c r="J200" s="356"/>
      <c r="K200" s="356"/>
    </row>
    <row r="201" spans="2:11">
      <c r="B201" s="354"/>
      <c r="C201" s="367"/>
      <c r="D201" s="356"/>
      <c r="E201" s="356"/>
      <c r="F201" s="356"/>
      <c r="G201" s="356"/>
      <c r="H201" s="356"/>
      <c r="I201" s="356"/>
      <c r="J201" s="356"/>
      <c r="K201" s="356"/>
    </row>
    <row r="202" spans="2:11">
      <c r="B202" s="354"/>
      <c r="C202" s="367"/>
      <c r="D202" s="356"/>
      <c r="E202" s="356"/>
      <c r="F202" s="356"/>
      <c r="G202" s="356"/>
      <c r="H202" s="356"/>
      <c r="I202" s="356"/>
      <c r="J202" s="356"/>
      <c r="K202" s="356"/>
    </row>
    <row r="203" spans="2:11">
      <c r="B203" s="354"/>
      <c r="C203" s="367"/>
      <c r="D203" s="356"/>
      <c r="E203" s="356"/>
      <c r="F203" s="356"/>
      <c r="G203" s="356"/>
      <c r="H203" s="356"/>
      <c r="I203" s="356"/>
      <c r="J203" s="356"/>
      <c r="K203" s="356"/>
    </row>
    <row r="204" spans="2:11">
      <c r="B204" s="354"/>
      <c r="C204" s="367"/>
      <c r="D204" s="356"/>
      <c r="E204" s="356"/>
      <c r="F204" s="356"/>
      <c r="G204" s="356"/>
      <c r="H204" s="356"/>
      <c r="I204" s="356"/>
      <c r="J204" s="356"/>
      <c r="K204" s="357"/>
    </row>
    <row r="205" spans="2:11">
      <c r="B205" s="354"/>
      <c r="C205" s="367"/>
      <c r="D205" s="356"/>
      <c r="E205" s="356"/>
      <c r="F205" s="356"/>
      <c r="G205" s="356"/>
      <c r="H205" s="356"/>
      <c r="I205" s="356"/>
      <c r="J205" s="356"/>
      <c r="K205" s="357"/>
    </row>
    <row r="206" spans="2:11">
      <c r="B206" s="354"/>
      <c r="C206" s="367"/>
      <c r="D206" s="356"/>
      <c r="E206" s="356"/>
      <c r="F206" s="356"/>
      <c r="G206" s="356"/>
      <c r="H206" s="356"/>
      <c r="I206" s="356"/>
      <c r="J206" s="356"/>
      <c r="K206" s="356"/>
    </row>
    <row r="207" spans="2:11">
      <c r="B207" s="354"/>
      <c r="C207" s="367"/>
      <c r="D207" s="356"/>
      <c r="E207" s="356"/>
      <c r="F207" s="356"/>
      <c r="G207" s="356"/>
      <c r="H207" s="356"/>
      <c r="I207" s="356"/>
      <c r="J207" s="356"/>
      <c r="K207" s="356"/>
    </row>
    <row r="208" spans="2:11">
      <c r="B208" s="354"/>
      <c r="C208" s="373"/>
      <c r="D208" s="359"/>
      <c r="E208" s="359"/>
      <c r="F208" s="359"/>
      <c r="G208" s="359"/>
      <c r="H208" s="359"/>
      <c r="I208" s="359"/>
      <c r="J208" s="359"/>
      <c r="K208" s="360"/>
    </row>
    <row r="209" spans="2:10">
      <c r="B209" s="216" t="s">
        <v>236</v>
      </c>
      <c r="C209" s="217">
        <f>SUM(C200:C208)</f>
        <v>0</v>
      </c>
      <c r="D209" s="217">
        <f t="shared" ref="D209:H209" si="11">SUM(D200:D208)</f>
        <v>0</v>
      </c>
      <c r="E209" s="217">
        <f t="shared" si="11"/>
        <v>0</v>
      </c>
      <c r="F209" s="217">
        <f t="shared" si="11"/>
        <v>0</v>
      </c>
      <c r="G209" s="217">
        <f t="shared" si="11"/>
        <v>0</v>
      </c>
      <c r="H209" s="217">
        <f t="shared" si="11"/>
        <v>0</v>
      </c>
      <c r="I209" s="217"/>
      <c r="J209" s="217"/>
    </row>
    <row r="210" spans="2:10">
      <c r="B210" s="216"/>
      <c r="C210" s="217"/>
      <c r="D210" s="217"/>
      <c r="E210" s="217"/>
      <c r="F210" s="217"/>
      <c r="G210" s="217"/>
      <c r="H210" s="217"/>
      <c r="I210" s="217"/>
      <c r="J210" s="217"/>
    </row>
    <row r="211" spans="2:10">
      <c r="C211" s="208"/>
      <c r="D211" s="208"/>
      <c r="E211" s="208"/>
      <c r="F211" s="208"/>
      <c r="G211" s="208"/>
      <c r="H211" s="208"/>
      <c r="I211" s="207"/>
    </row>
    <row r="212" spans="2:10">
      <c r="B212" s="219"/>
      <c r="E212" s="213"/>
      <c r="F212" s="213"/>
      <c r="G212" s="213"/>
      <c r="H212" s="213"/>
      <c r="I212" s="217"/>
      <c r="J212" s="213"/>
    </row>
    <row r="213" spans="2:10">
      <c r="B213" s="219" t="s">
        <v>343</v>
      </c>
      <c r="C213" s="209"/>
      <c r="D213" s="209"/>
      <c r="E213" s="213"/>
      <c r="F213" s="213"/>
      <c r="G213" s="221"/>
      <c r="H213" s="221"/>
      <c r="I213" s="221"/>
    </row>
    <row r="214" spans="2:10">
      <c r="B214" s="231"/>
      <c r="C214" s="209"/>
      <c r="D214" s="209"/>
      <c r="E214" s="209"/>
      <c r="F214" s="209"/>
      <c r="G214" s="209"/>
      <c r="H214" s="209"/>
      <c r="I214" s="209"/>
    </row>
    <row r="215" spans="2:10" ht="12.95" customHeight="1">
      <c r="B215" s="1121" t="s">
        <v>326</v>
      </c>
      <c r="C215" s="1121"/>
      <c r="D215" s="1121"/>
      <c r="E215" s="1121"/>
      <c r="F215" s="1121"/>
      <c r="G215" s="1121"/>
      <c r="H215" s="1121"/>
      <c r="I215" s="1121"/>
    </row>
    <row r="216" spans="2:10" ht="12.95" customHeight="1">
      <c r="B216" s="1121" t="s">
        <v>327</v>
      </c>
      <c r="C216" s="1121"/>
      <c r="D216" s="1121"/>
      <c r="E216" s="1121"/>
      <c r="F216" s="1121"/>
      <c r="G216" s="1121"/>
      <c r="H216" s="1121"/>
      <c r="I216" s="1121"/>
    </row>
    <row r="217" spans="2:10">
      <c r="B217" s="698" t="s">
        <v>328</v>
      </c>
      <c r="C217" s="213"/>
      <c r="D217" s="213"/>
      <c r="E217" s="213"/>
      <c r="F217" s="213"/>
      <c r="G217" s="221"/>
      <c r="H217" s="221"/>
      <c r="I217" s="221"/>
    </row>
    <row r="218" spans="2:10">
      <c r="B218" s="698" t="s">
        <v>329</v>
      </c>
      <c r="C218" s="213"/>
      <c r="D218" s="213"/>
      <c r="E218" s="213"/>
      <c r="F218" s="213"/>
      <c r="G218" s="221"/>
      <c r="H218" s="221"/>
      <c r="I218" s="221"/>
    </row>
    <row r="219" spans="2:10">
      <c r="B219" s="698" t="s">
        <v>330</v>
      </c>
      <c r="C219" s="213"/>
      <c r="D219" s="213"/>
      <c r="E219" s="213"/>
      <c r="F219" s="213"/>
      <c r="G219" s="221"/>
      <c r="H219" s="221"/>
      <c r="I219" s="221"/>
    </row>
    <row r="220" spans="2:10">
      <c r="B220" s="215" t="s">
        <v>331</v>
      </c>
      <c r="C220" s="215"/>
      <c r="D220" s="215"/>
      <c r="E220" s="215"/>
      <c r="F220" s="215"/>
      <c r="G220" s="215"/>
      <c r="H220" s="215"/>
      <c r="I220" s="215"/>
    </row>
  </sheetData>
  <mergeCells count="21">
    <mergeCell ref="C192:H192"/>
    <mergeCell ref="B215:I215"/>
    <mergeCell ref="B216:I216"/>
    <mergeCell ref="C157:H157"/>
    <mergeCell ref="B180:I180"/>
    <mergeCell ref="B181:I181"/>
    <mergeCell ref="C1:H1"/>
    <mergeCell ref="C3:H3"/>
    <mergeCell ref="C5:J5"/>
    <mergeCell ref="C6:J6"/>
    <mergeCell ref="B148:I148"/>
    <mergeCell ref="C127:H127"/>
    <mergeCell ref="B147:I147"/>
    <mergeCell ref="C21:J21"/>
    <mergeCell ref="C22:J22"/>
    <mergeCell ref="B117:I117"/>
    <mergeCell ref="B118:I118"/>
    <mergeCell ref="C46:H46"/>
    <mergeCell ref="B79:I79"/>
    <mergeCell ref="B80:I80"/>
    <mergeCell ref="C87:H87"/>
  </mergeCells>
  <printOptions horizontalCentered="1"/>
  <pageMargins left="0.5" right="0" top="1" bottom="0.5" header="0.5" footer="0.5"/>
  <pageSetup scale="37" fitToHeight="0" orientation="landscape" r:id="rId1"/>
  <headerFooter alignWithMargins="0"/>
  <rowBreaks count="5" manualBreakCount="5">
    <brk id="44" max="10" man="1"/>
    <brk id="85" max="10" man="1"/>
    <brk id="124" max="10" man="1"/>
    <brk id="153" max="10" man="1"/>
    <brk id="188" max="10" man="1"/>
  </rowBreaks>
  <ignoredErrors>
    <ignoredError sqref="F7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20</vt:i4>
      </vt:variant>
    </vt:vector>
  </HeadingPairs>
  <TitlesOfParts>
    <vt:vector size="49" baseType="lpstr">
      <vt:lpstr>Attachment H-11A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3 - Gross Plant'!Print_Area</vt:lpstr>
      <vt:lpstr>'Attachment 5 - ADIT Summary'!Print_Area</vt:lpstr>
      <vt:lpstr>'Attachment 5a - ADIT Detail'!Print_Area</vt:lpstr>
      <vt:lpstr>'Attachment 5b - ADIT Norm PTRR'!Print_Area</vt:lpstr>
      <vt:lpstr>'Attachment 7 - Taxes Other '!Print_Area</vt:lpstr>
      <vt:lpstr>'Attachment 8 - Cap Structure'!Print_Area</vt:lpstr>
      <vt:lpstr>'Attachment H-11A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2019-10-25T16:30:20Z</cp:lastPrinted>
  <dcterms:created xsi:type="dcterms:W3CDTF">2008-03-20T17:17:42Z</dcterms:created>
  <dcterms:modified xsi:type="dcterms:W3CDTF">2024-06-17T20:08:54Z</dcterms:modified>
</cp:coreProperties>
</file>