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bookViews>
    <workbookView xWindow="1440" yWindow="1440" windowWidth="14400" windowHeight="8170" tabRatio="1000" activeTab="0"/>
  </bookViews>
  <sheets>
    <sheet name="Attachment H-21-A ATSI " sheetId="1" r:id="rId3"/>
    <sheet name="Appendix A-ATSI Sched 1A" sheetId="2" r:id="rId4"/>
    <sheet name="Appendix B-Veg" sheetId="37" r:id="rId5"/>
    <sheet name="Appendix C-RRCA" sheetId="34" r:id="rId6"/>
    <sheet name="Appendix D-TEC" sheetId="5" r:id="rId7"/>
    <sheet name="Appendix D-True-up" sheetId="6" r:id="rId8"/>
    <sheet name="Appendix E-MTEP Credit" sheetId="7" r:id="rId9"/>
    <sheet name="Appendix E-True-up" sheetId="8" r:id="rId10"/>
    <sheet name="Appendix F-MTEP Debit" sheetId="36" r:id="rId11"/>
    <sheet name="Appendix G-Inc Tax Adj" sheetId="38" r:id="rId12"/>
    <sheet name="Appendix G(1) - Excess_Def ADIT" sheetId="41" r:id="rId13"/>
    <sheet name="Appendix G(2) -Excess_Def WP" sheetId="47" r:id="rId14"/>
    <sheet name="Appendix G(3) - ADIT" sheetId="33" r:id="rId15"/>
    <sheet name="Appendix H-Rev Req True-up Adj" sheetId="25" r:id="rId16"/>
    <sheet name="WP01 Plant" sheetId="13" r:id="rId17"/>
    <sheet name="WP02 Accum Depr" sheetId="14" r:id="rId18"/>
    <sheet name="WP03-A - ADIT Norm" sheetId="44" r:id="rId19"/>
    <sheet name="WP03-B - ADIT Detail" sheetId="45" r:id="rId20"/>
    <sheet name="WP04 Other RB" sheetId="16" r:id="rId21"/>
    <sheet name="WP05 Other Tax" sheetId="19" r:id="rId22"/>
    <sheet name="WP06 Cap Structure" sheetId="22" r:id="rId23"/>
    <sheet name="WP07 Stated-value Inputs" sheetId="26" r:id="rId24"/>
    <sheet name="WP08 Tax Rates" sheetId="32" r:id="rId25"/>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 localSheetId="16">'[3]DPLG-APRIL2001-TRANSCHECKOUT'!$AC$2:$AC$10</definedName>
    <definedName name="___OFF2">'[4]DPLG-APRIL2001-TRANSCHECKOUT'!$AC$2:$AC$10</definedName>
    <definedName name="___PPP1" localSheetId="16">'[3]DPLG-APRIL2001-TRANSCHECKOUT'!$A$1:$D$27</definedName>
    <definedName name="___PPP1">'[4]DPLG-APRIL2001-TRANSCHECKOUT'!$A$1:$D$27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16" hidden="1">'[5]AL2 151'!#REF!</definedName>
    <definedName name="__123Graph_A" hidden="1">'[5]AL2 151'!#REF!</definedName>
    <definedName name="__123Graph_B" localSheetId="16" hidden="1">'[5]AL2 151'!#REF!</definedName>
    <definedName name="__123Graph_B" hidden="1">'[5]AL2 151'!#REF!</definedName>
    <definedName name="__123Graph_C" localSheetId="16" hidden="1">'[5]AL2 151'!#REF!</definedName>
    <definedName name="__123Graph_C" hidden="1">'[5]AL2 151'!#REF!</definedName>
    <definedName name="__123Graph_D" localSheetId="16" hidden="1">'[5]AL2 151'!#REF!</definedName>
    <definedName name="__123Graph_D" hidden="1">'[5]AL2 151'!#REF!</definedName>
    <definedName name="__123Graph_E" hidden="1">'[5]AL2 151'!#REF!</definedName>
    <definedName name="__123Graph_F" hidden="1">'[5]AL2 151'!#REF!</definedName>
    <definedName name="__123Graph_X" hidden="1">'[5]AL2 151'!#REF!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OFF2">'[6]DPLG-APRIL2001-TRANSCHECKOUT'!$AC$2:$AC$10</definedName>
    <definedName name="__PPP1">'[6]DPLG-APRIL2001-TRANSCHECKOUT'!$A$1:$D$27</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'[7]QRE Charts'!$D$223:$R$223</definedName>
    <definedName name="_10__123Graph_BQRE_S_BY_TYPE" hidden="1">'[2]QRE''s'!$D$100:$R$100</definedName>
    <definedName name="_11__123Graph_BCONTRACT_BY_B_U" hidden="1">'[7]QRE Charts'!$D$276:$Q$276</definedName>
    <definedName name="_11__123Graph_BSENS_COMPARISON" hidden="1">'[2]QRE Charts'!$E$366:$O$366</definedName>
    <definedName name="_12__123Graph_BQRE_S_BY_CO." hidden="1">'[7]QRE Charts'!$D$302:$R$302</definedName>
    <definedName name="_12__123Graph_BSUPPLIES_BY_B_U" hidden="1">'[2]QRE Charts'!$D$250:$Q$250</definedName>
    <definedName name="_123Graph_B.1" hidden="1">#REF!</definedName>
    <definedName name="_13__123Graph_BQRE_S_BY_TYPE" hidden="1">'[7]QRE''s'!$D$100:$R$100</definedName>
    <definedName name="_13__123Graph_BTAX_CREDIT" hidden="1">'[2]QRE Charts'!$E$332:$E$342</definedName>
    <definedName name="_14__123Graph_BSENS_COMPARISON" hidden="1">'[7]QRE Charts'!$E$366:$O$366</definedName>
    <definedName name="_14__123Graph_BWAGES_BY_B_U" hidden="1">'[2]QRE Charts'!$D$224:$R$224</definedName>
    <definedName name="_15__123Graph_BSUPPLIES_BY_B_U" hidden="1">'[7]QRE Charts'!$D$250:$Q$250</definedName>
    <definedName name="_15__123Graph_CCONTRACT_BY_B_U" hidden="1">'[2]QRE Charts'!$D$277:$Q$277</definedName>
    <definedName name="_16__123Graph_BTAX_CREDIT" hidden="1">'[7]QRE Charts'!$E$332:$E$342</definedName>
    <definedName name="_16__123Graph_CQRE_S_BY_CO." hidden="1">'[2]QRE Charts'!$D$303:$R$303</definedName>
    <definedName name="_17__123Graph_BWAGES_BY_B_U" hidden="1">'[7]QRE Charts'!$D$224:$R$224</definedName>
    <definedName name="_17__123Graph_CQRE_S_BY_TYPE" hidden="1">'[2]QRE''s'!$D$101:$R$101</definedName>
    <definedName name="_18__123Graph_CCONTRACT_BY_B_U" hidden="1">'[7]QRE Charts'!$D$277:$Q$277</definedName>
    <definedName name="_18__123Graph_CSENS_COMPARISON" hidden="1">'[2]QRE Charts'!$E$367:$O$367</definedName>
    <definedName name="_19__123Graph_CQRE_S_BY_CO." hidden="1">'[7]QRE Charts'!$D$303:$R$303</definedName>
    <definedName name="_19__123Graph_CSUPPLIES_BY_B_U" hidden="1">'[2]QRE Charts'!$D$251:$Q$251</definedName>
    <definedName name="_1K" hidden="1">[8]Masterdata!#REF!</definedName>
    <definedName name="_2__123Graph_AQRE_S_BY_CO." hidden="1">'[2]QRE Charts'!$D$301:$R$301</definedName>
    <definedName name="_20__123Graph_CQRE_S_BY_TYPE" hidden="1">'[7]QRE''s'!$D$101:$R$101</definedName>
    <definedName name="_20__123Graph_CWAGES_BY_B_U" hidden="1">'[2]QRE Charts'!$D$225:$R$225</definedName>
    <definedName name="_21__123Graph_CSENS_COMPARISON" hidden="1">'[7]QRE Charts'!$E$367:$O$367</definedName>
    <definedName name="_21__123Graph_DCONTRACT_BY_B_U" hidden="1">'[2]QRE Charts'!$D$278:$Q$278</definedName>
    <definedName name="_22__123Graph_CSUPPLIES_BY_B_U" hidden="1">'[7]QRE Charts'!$D$251:$Q$251</definedName>
    <definedName name="_22__123Graph_DQRE_S_BY_CO." hidden="1">'[2]QRE Charts'!$D$304:$R$304</definedName>
    <definedName name="_23__123Graph_CWAGES_BY_B_U" hidden="1">'[7]QRE Charts'!$D$225:$R$225</definedName>
    <definedName name="_23__123Graph_DSUPPLIES_BY_B_U" hidden="1">'[2]QRE Charts'!$D$252:$Q$252</definedName>
    <definedName name="_24__123Graph_DCONTRACT_BY_B_U" hidden="1">'[7]QRE Charts'!$D$278:$Q$278</definedName>
    <definedName name="_24__123Graph_DWAGES_BY_B_U" hidden="1">'[2]QRE Charts'!$D$226:$R$226</definedName>
    <definedName name="_25__123Graph_DQRE_S_BY_CO." hidden="1">'[7]QRE Charts'!$D$304:$R$304</definedName>
    <definedName name="_25__123Graph_ECONTRACT_BY_B_U" hidden="1">'[2]QRE Charts'!$D$279:$Q$279</definedName>
    <definedName name="_26__123Graph_DSUPPLIES_BY_B_U" hidden="1">'[7]QRE Charts'!$D$252:$Q$252</definedName>
    <definedName name="_26__123Graph_EQRE_S_BY_CO." hidden="1">'[2]QRE Charts'!$D$305:$R$305</definedName>
    <definedName name="_27__123Graph_DWAGES_BY_B_U" hidden="1">'[7]QRE Charts'!$D$226:$R$226</definedName>
    <definedName name="_27__123Graph_ESUPPLIES_BY_B_U" hidden="1">'[2]QRE Charts'!$D$253:$Q$253</definedName>
    <definedName name="_28__123Graph_ECONTRACT_BY_B_U" hidden="1">'[7]QRE Charts'!$D$279:$Q$279</definedName>
    <definedName name="_28__123Graph_EWAGES_BY_B_U" hidden="1">'[2]QRE Charts'!$D$227:$R$227</definedName>
    <definedName name="_29__123Graph_EQRE_S_BY_CO." hidden="1">'[7]QRE Charts'!$D$305:$R$305</definedName>
    <definedName name="_29__123Graph_FCONTRACT_BY_B_U" hidden="1">'[2]QRE Charts'!$D$280:$Q$280</definedName>
    <definedName name="_2K" hidden="1">[8]Masterdata!#REF!</definedName>
    <definedName name="_2S" hidden="1">[8]Masterdata!#REF!</definedName>
    <definedName name="_3__123Graph_AQRE_S_BY_TYPE" hidden="1">'[2]QRE''s'!$D$99:$R$99</definedName>
    <definedName name="_30__123Graph_ESUPPLIES_BY_B_U" hidden="1">'[7]QRE Charts'!$D$253:$Q$253</definedName>
    <definedName name="_30__123Graph_FQRE_S_BY_CO." hidden="1">'[2]QRE Charts'!$D$306:$R$306</definedName>
    <definedName name="_31__123Graph_EWAGES_BY_B_U" hidden="1">'[7]QRE Charts'!$D$227:$R$227</definedName>
    <definedName name="_31__123Graph_FSUPPLIES_BY_B_U" hidden="1">'[2]QRE Charts'!$D$254:$Q$254</definedName>
    <definedName name="_32__123Graph_FCONTRACT_BY_B_U" hidden="1">'[7]QRE Charts'!$D$280:$Q$280</definedName>
    <definedName name="_32__123Graph_FWAGES_BY_B_U" hidden="1">'[2]QRE Charts'!$D$228:$R$228</definedName>
    <definedName name="_33__123Graph_FQRE_S_BY_CO." hidden="1">'[7]QRE Charts'!$D$306:$R$306</definedName>
    <definedName name="_33__123Graph_XCONTRACT_BY_B_U" hidden="1">'[2]QRE Charts'!$D$222:$R$222</definedName>
    <definedName name="_34__123Graph_FSUPPLIES_BY_B_U" hidden="1">'[7]QRE Charts'!$D$254:$Q$254</definedName>
    <definedName name="_34__123Graph_XQRE_S_BY_CO." hidden="1">'[2]QRE Charts'!$D$222:$R$222</definedName>
    <definedName name="_35__123Graph_FWAGES_BY_B_U" hidden="1">'[7]QRE Charts'!$D$228:$R$228</definedName>
    <definedName name="_35__123Graph_XQRE_S_BY_TYPE" hidden="1">'[2]QRE Charts'!$D$222:$R$222</definedName>
    <definedName name="_36__123Graph_XCONTRACT_BY_B_U" hidden="1">'[7]QRE Charts'!$D$222:$R$222</definedName>
    <definedName name="_36__123Graph_XSUPPLIES_BY_B_U" hidden="1">'[2]QRE Charts'!$D$222:$R$222</definedName>
    <definedName name="_37__123Graph_XQRE_S_BY_CO." hidden="1">'[7]QRE Charts'!$D$222:$R$222</definedName>
    <definedName name="_37__123Graph_XTAX_CREDIT" hidden="1">'[2]QRE Charts'!$C$332:$C$342</definedName>
    <definedName name="_38__123Graph_XQRE_S_BY_TYPE" hidden="1">'[7]QRE Charts'!$D$222:$R$222</definedName>
    <definedName name="_39__123Graph_XSUPPLIES_BY_B_U" hidden="1">'[7]QRE Charts'!$D$222:$R$222</definedName>
    <definedName name="_4__123Graph_ACONTRACT_BY_B_U" hidden="1">'[7]QRE Charts'!$D$275:$Q$275</definedName>
    <definedName name="_4__123Graph_ASENS_COMPARISON" hidden="1">'[2]QRE Charts'!$E$365:$O$365</definedName>
    <definedName name="_40__123Graph_XTAX_CREDIT" hidden="1">'[7]QRE Charts'!$C$332:$C$342</definedName>
    <definedName name="_4S" hidden="1">[8]Masterdata!#REF!</definedName>
    <definedName name="_5__123Graph_AQRE_S_BY_CO." hidden="1">'[7]QRE Charts'!$D$301:$R$301</definedName>
    <definedName name="_5__123Graph_ASUPPLIES_BY_B_U" hidden="1">'[2]QRE Charts'!$D$249:$Q$249</definedName>
    <definedName name="_6__123Graph_AQRE_S_BY_TYPE" hidden="1">'[7]QRE''s'!$D$99:$R$99</definedName>
    <definedName name="_6__123Graph_ATAX_CREDIT" hidden="1">'[2]QRE Charts'!$D$332:$D$342</definedName>
    <definedName name="_7__123Graph_ASENS_COMPARISON" hidden="1">'[7]QRE Charts'!$E$365:$O$365</definedName>
    <definedName name="_7__123Graph_AWAGES_BY_B_U" hidden="1">'[2]QRE Charts'!$D$223:$R$223</definedName>
    <definedName name="_8__123Graph_ASUPPLIES_BY_B_U" hidden="1">'[7]QRE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'[7]QRE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16" hidden="1">#REF!</definedName>
    <definedName name="_Key1" hidden="1">#REF!</definedName>
    <definedName name="_Key2" hidden="1">'[9]Wage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 localSheetId="16">'[3]DPLG-APRIL2001-TRANSCHECKOUT'!$AC$2:$AC$10</definedName>
    <definedName name="_OFF2">'[4]DPLG-APRIL2001-TRANSCHECKOUT'!$AC$2:$AC$10</definedName>
    <definedName name="_Order.1" hidden="1">255</definedName>
    <definedName name="_Order1" hidden="1">255</definedName>
    <definedName name="_Order2">255</definedName>
    <definedName name="_p.choice" localSheetId="2">#REF!</definedName>
    <definedName name="_p.choice" localSheetId="3">#REF!</definedName>
    <definedName name="_p.choice" localSheetId="8">#REF!</definedName>
    <definedName name="_p.choice" localSheetId="12">#REF!</definedName>
    <definedName name="_p.choice" localSheetId="9">#REF!</definedName>
    <definedName name="_p.choice" localSheetId="13">#REF!</definedName>
    <definedName name="_p.choice" localSheetId="21">#REF!</definedName>
    <definedName name="_p.choice" localSheetId="22">#REF!</definedName>
    <definedName name="_p.choice">#REF!</definedName>
    <definedName name="_Parse_In" hidden="1">#REF!</definedName>
    <definedName name="_Parse_Out" hidden="1">#REF!</definedName>
    <definedName name="_PPP1" localSheetId="16">'[3]DPLG-APRIL2001-TRANSCHECKOUT'!$A$1:$D$27</definedName>
    <definedName name="_PPP1">'[4]DPLG-APRIL2001-TRANSCHECKOUT'!$A$1:$D$27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16"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 localSheetId="2">#REF!</definedName>
    <definedName name="AA.print" localSheetId="3">#REF!</definedName>
    <definedName name="AA.print" localSheetId="8">#REF!</definedName>
    <definedName name="AA.print" localSheetId="12">#REF!</definedName>
    <definedName name="AA.print" localSheetId="9">#REF!</definedName>
    <definedName name="AA.print" localSheetId="13">#REF!</definedName>
    <definedName name="AA.print" localSheetId="21">#REF!</definedName>
    <definedName name="AA.print" localSheetId="22">#REF!</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2">#REF!</definedName>
    <definedName name="AB.print" localSheetId="3">#REF!</definedName>
    <definedName name="AB.print" localSheetId="8">#REF!</definedName>
    <definedName name="AB.print" localSheetId="12">#REF!</definedName>
    <definedName name="AB.print" localSheetId="9">#REF!</definedName>
    <definedName name="AB.print" localSheetId="13">#REF!</definedName>
    <definedName name="AB.print" localSheetId="22">#REF!</definedName>
    <definedName name="AB.print">#REF!</definedName>
    <definedName name="above">OFFSET(!A1,-1,0)</definedName>
    <definedName name="AC_255">'[10]AC 255'!$A$1:$M$32</definedName>
    <definedName name="ActivityType">'[11]Activity Type'!$1:$1048576</definedName>
    <definedName name="Actual">[12]Assumptions!$E$52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'[13]A.2 PTP'!$P$55</definedName>
    <definedName name="ADTL">'[13]C. Input'!$F$144</definedName>
    <definedName name="ag_1">'[14]Input Page'!$G$7</definedName>
    <definedName name="ag_cap_indirect">'[15]Input Page'!$G$7</definedName>
    <definedName name="ag_mix_cap">'[15]Input Page'!$G$8</definedName>
    <definedName name="ag_mix_total">'[15]Input Page'!$G$9</definedName>
    <definedName name="AG_TST">'[13]A.2 PTP'!$P$111</definedName>
    <definedName name="aging" hidden="1">{#N/A,#N/A,FALSE,"Aging Summary";#N/A,#N/A,FALSE,"Ratio Analysis";#N/A,#N/A,FALSE,"Test 120 Day Accts";#N/A,#N/A,FALSE,"Tickmarks"}</definedName>
    <definedName name="AGXP">'[13]C.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[16]ALL!$B$25</definedName>
    <definedName name="ALLCGI">[16]ALL!$D$25</definedName>
    <definedName name="Allocator.gross.plant" localSheetId="16">'[17]Appendix A'!$H$29</definedName>
    <definedName name="Allocator.gross.plant">'[18]Appendix A'!$H$29</definedName>
    <definedName name="Allocator.net.plant" localSheetId="16">'[17]Appendix A'!$H$32</definedName>
    <definedName name="Allocator.net.plant">'[18]Appendix A'!$H$32</definedName>
    <definedName name="Allocator.wages.salary" localSheetId="16">'[17]Appendix A'!$H$17</definedName>
    <definedName name="Allocator.wages.salary">'[18]Appendix A'!$H$17</definedName>
    <definedName name="ALLRD">[16]ALL!$C$25</definedName>
    <definedName name="ALLSKP">[16]ALL!$E$25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 localSheetId="2">#REF!</definedName>
    <definedName name="AMHERST" localSheetId="3">#REF!</definedName>
    <definedName name="AMHERST" localSheetId="8">#REF!</definedName>
    <definedName name="AMHERST" localSheetId="12">#REF!</definedName>
    <definedName name="AMHERST" localSheetId="9">#REF!</definedName>
    <definedName name="AMHERST" localSheetId="13">#REF!</definedName>
    <definedName name="AMHERST" localSheetId="22">#REF!</definedName>
    <definedName name="AMHERST">#REF!</definedName>
    <definedName name="Amort_04">'[13]D.16.1.2 Table B 2004'!$A$24:$U$35</definedName>
    <definedName name="Amort_05">'[13]D.16.1.3 Table B 2005'!$A$24:$U$36</definedName>
    <definedName name="Amort_06">'[13]D.16.1.4 Table B 2006'!$A$24:$U$37</definedName>
    <definedName name="Amort_07">'[13]D.16.1.5 Table B 2007'!$A$24:$U$38</definedName>
    <definedName name="Amort_08">'[13]D.16.1.6 Table B 2008'!$A$24:$U$39</definedName>
    <definedName name="Amort_09">'[13]D.16.1.7 Table B 2009'!$A$24:$U$39</definedName>
    <definedName name="Amort_10">'[13]D.16.1.8 Table B 2010'!$A$24:$U$39</definedName>
    <definedName name="Amort_11">'[13]D.16.1.9 Table B 2011'!$A$24:$U$39</definedName>
    <definedName name="Amort_12">'[13]D.16.1.10 Table B 2012'!$A$24:$U$39</definedName>
    <definedName name="anscount" hidden="1">1</definedName>
    <definedName name="AO.print" localSheetId="2">#REF!</definedName>
    <definedName name="AO.print" localSheetId="3">#REF!</definedName>
    <definedName name="AO.print" localSheetId="8">#REF!</definedName>
    <definedName name="AO.print" localSheetId="12">#REF!</definedName>
    <definedName name="AO.print" localSheetId="9">#REF!</definedName>
    <definedName name="AO.print" localSheetId="13">#REF!</definedName>
    <definedName name="AO.print" localSheetId="22">#REF!</definedName>
    <definedName name="AO.print">#REF!</definedName>
    <definedName name="APN">'[19]Gas Ferc 2 2003'!$V$2</definedName>
    <definedName name="ARB_04">'[13]D.16.1.2 Table B 2004'!$A$39:$U$50</definedName>
    <definedName name="ARB_05">'[13]D.16.1.3 Table B 2005'!$A$40:$U$52</definedName>
    <definedName name="ARB_06">'[13]D.16.1.4 Table B 2006'!$A$41:$U$54</definedName>
    <definedName name="ARB_07">'[13]D.16.1.5 Table B 2007'!$A$42:$U$56</definedName>
    <definedName name="ARB_08">'[13]D.16.1.6 Table B 2008'!$A$43:$U$58</definedName>
    <definedName name="ARB_09">'[13]D.16.1.7 Table B 2009'!$A$43:$U$58</definedName>
    <definedName name="ARB_10">'[13]D.16.1.8 Table B 2010'!$A$43:$U$58</definedName>
    <definedName name="ARB_11">'[13]D.16.1.9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[20]Input!$B$6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 localSheetId="2">#REF!</definedName>
    <definedName name="AV.FM.1..adjusted..print" localSheetId="3">#REF!</definedName>
    <definedName name="AV.FM.1..adjusted..print" localSheetId="8">#REF!</definedName>
    <definedName name="AV.FM.1..adjusted..print" localSheetId="12">#REF!</definedName>
    <definedName name="AV.FM.1..adjusted..print" localSheetId="9">#REF!</definedName>
    <definedName name="AV.FM.1..adjusted..print" localSheetId="13">#REF!</definedName>
    <definedName name="AV.FM.1..adjusted..print" localSheetId="22">#REF!</definedName>
    <definedName name="AV.FM.1..adjusted..print">#REF!</definedName>
    <definedName name="AV.FM.1.print" localSheetId="2">#REF!</definedName>
    <definedName name="AV.FM.1.print" localSheetId="3">#REF!</definedName>
    <definedName name="AV.FM.1.print" localSheetId="8">#REF!</definedName>
    <definedName name="AV.FM.1.print" localSheetId="12">#REF!</definedName>
    <definedName name="AV.FM.1.print" localSheetId="9">#REF!</definedName>
    <definedName name="AV.FM.1.print" localSheetId="13">#REF!</definedName>
    <definedName name="AV.FM.1.print" localSheetId="22">#REF!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 localSheetId="2">#REF!</definedName>
    <definedName name="BA.print" localSheetId="3">#REF!</definedName>
    <definedName name="BA.print" localSheetId="8">#REF!</definedName>
    <definedName name="BA.print" localSheetId="12">#REF!</definedName>
    <definedName name="BA.print" localSheetId="9">#REF!</definedName>
    <definedName name="BA.print" localSheetId="13">#REF!</definedName>
    <definedName name="BA.print" localSheetId="22">#REF!</definedName>
    <definedName name="BA.print">#REF!</definedName>
    <definedName name="BALANCE">'[21]MTHLY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[12]Assumptions!$H$15</definedName>
    <definedName name="BB.print" localSheetId="2">#REF!</definedName>
    <definedName name="BB.print" localSheetId="3">#REF!</definedName>
    <definedName name="BB.print" localSheetId="8">#REF!</definedName>
    <definedName name="BB.print" localSheetId="12">#REF!</definedName>
    <definedName name="BB.print" localSheetId="9">#REF!</definedName>
    <definedName name="BB.print" localSheetId="13">#REF!</definedName>
    <definedName name="BB.print" localSheetId="22">#REF!</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 localSheetId="2">#REF!</definedName>
    <definedName name="BEACH_CITY" localSheetId="3">#REF!</definedName>
    <definedName name="BEACH_CITY" localSheetId="8">#REF!</definedName>
    <definedName name="BEACH_CITY" localSheetId="12">#REF!</definedName>
    <definedName name="BEACH_CITY" localSheetId="9">#REF!</definedName>
    <definedName name="BEACH_CITY" localSheetId="13">#REF!</definedName>
    <definedName name="BEACH_CITY" localSheetId="22">#REF!</definedName>
    <definedName name="BEACH_CITY">#REF!</definedName>
    <definedName name="beg_CWIP">'[22]Input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'[23]10.08.5 - 2008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'[23]10.08.3 - 2008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'[23]10.08.5 - 2008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'[23]10.08.5 - 2008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'[23]10.08.2 - 2008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'[23]10.08.3 - 2008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'[23]10.08.4 -2008 Capital'!#REF!</definedName>
    <definedName name="BEx1U15M7LVVFZENH830B2BGWC04" hidden="1">#REF!</definedName>
    <definedName name="BEx1U5NGVTXGL4CIPVT5O034KGGR" hidden="1">'[23]10.08.3 - 2008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'[23]10.08.5 - 2008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'[23]10.08.5 - 2008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[24]Table!#REF!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'[23]10.08.5 - 2008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'[23]10.08.5 - 2008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'[23]10.08.3 - 2008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[24]Table!#REF!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'[23]10.08.5 - 2008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'[23]10.08.4 -2008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'[23]10.08.5 - 2008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'[23]10.08.5 - 2008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'[23]10.08.4 -2008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'[23]10.08.5 - 2008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'[23]10.08.3 - 2008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'[23]10.08.2 - 2008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'[23]10.08.3 - 2008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'[23]10.08.5 - 2008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'[23]10.08.5 - 2008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'[23]10.08.5 - 2008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'[23]10.08.2 - 2008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'[23]10.08.5 - 2008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'[23]10.08.2 - 2008 Expense'!#REF!</definedName>
    <definedName name="BExCUW1QXVMEP3B9SFPNEEWCG9I0" hidden="1">'[23]10.08.5 - 2008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'[23]10.08.4 -2008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'[23]10.08.2 - 2008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'[23]10.08.3 - 2008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[24]Table!#REF!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'[23]10.08.4 -2008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'[23]10.08.4 -2008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'[23]10.08.2 - 2008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'[23]10.08.5 - 2008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'[23]10.08.4 -2008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'[23]10.08.5 - 2008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'[23]10.08.4 -2008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'[23]10.08.4 -2008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'[23]10.08.2 - 2008 Expense'!#REF!</definedName>
    <definedName name="BExIM2RXHXBO63HBPUTHF775IIRY" hidden="1">#REF!</definedName>
    <definedName name="BExIM2RXYS5BGYBDMFLU1RE8039Z" hidden="1">#REF!</definedName>
    <definedName name="BExIM2X90EG7J3TG4STQ3J1OK4O0" hidden="1">'[23]10.08.5 - 2008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'[23]10.08.5 - 2008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'[23]10.08.5 - 2008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'[23]10.08.2 - 2008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'[23]10.08.4 -2008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'[23]10.08.4 -2008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'[23]10.08.5 - 2008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[24]Table!#REF!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'[23]10.08.5 - 2008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'[23]10.08.5 - 2008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'[23]10.08.5 - 2008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'[23]10.08.3 - 2008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'[23]10.08.2 - 2008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'[23]10.08.5 - 2008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[24]Table!#REF!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'[23]10.08.2 - 2008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'[23]10.08.5 - 2008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'[23]10.08.3 - 2008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'[23]10.08.2 - 2008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'[23]10.08.2 - 2008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[24]Table!#REF!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'[23]10.08.4 -2008 Capital'!#REF!</definedName>
    <definedName name="BExTYLUCLWGGQOEPH6W91DIYL3RQ" hidden="1">#REF!</definedName>
    <definedName name="BExTYOZQGNRDMMFZOG8515WQDGU3" hidden="1">'[23]10.08.5 - 2008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'[23]10.08.2 - 2008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'[23]10.08.5 - 2008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'[23]10.08.5 - 2008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'[23]10.08.5 - 2008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'[23]10.08.3 - 2008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'[23]10.08.2 - 2008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'[23]10.08.5 - 2008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'[23]10.08.3 - 2008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'[23]10.08.5 - 2008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'[23]10.08.2 - 2008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'[23]10.08.3 - 2008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'[23]10.08.5 - 2008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'[23]10.08.5 - 2008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'[23]10.08.5 - 2008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2">#REF!</definedName>
    <definedName name="BG.print" localSheetId="3">#REF!</definedName>
    <definedName name="BG.print" localSheetId="8">#REF!</definedName>
    <definedName name="BG.print" localSheetId="12">#REF!</definedName>
    <definedName name="BG.print" localSheetId="9">#REF!</definedName>
    <definedName name="BG.print" localSheetId="13">#REF!</definedName>
    <definedName name="BG.print" localSheetId="22">#REF!</definedName>
    <definedName name="BG.print">#REF!</definedName>
    <definedName name="BGS_Cost_Scenario">[12]Assumptions!$E$33</definedName>
    <definedName name="BGS_RFP">[12]Assumptions!$E$36</definedName>
    <definedName name="BILLCO" localSheetId="16">'[3]DPLG-APRIL2001-TRANSCHECKOUT'!$M$1:$P$65536</definedName>
    <definedName name="BILLCO" localSheetId="21">'[4]DPLG-APRIL2001-TRANSCHECKOUT'!$M:$P</definedName>
    <definedName name="BILLCO" localSheetId="22">'[4]DPLG-APRIL2001-TRANSCHECKOUT'!$M:$P</definedName>
    <definedName name="BILLCO">'[4]DPLG-APRIL2001-TRANSCHECKOUT'!$M$1:$P$65536</definedName>
    <definedName name="BK..FM1.Adjusted..print" localSheetId="2">#REF!</definedName>
    <definedName name="BK..FM1.Adjusted..print" localSheetId="3">#REF!</definedName>
    <definedName name="BK..FM1.Adjusted..print" localSheetId="8">#REF!</definedName>
    <definedName name="BK..FM1.Adjusted..print" localSheetId="12">#REF!</definedName>
    <definedName name="BK..FM1.Adjusted..print" localSheetId="9">#REF!</definedName>
    <definedName name="BK..FM1.Adjusted..print" localSheetId="13">#REF!</definedName>
    <definedName name="BK..FM1.Adjusted..print" localSheetId="21">#REF!</definedName>
    <definedName name="BK..FM1.Adjusted..print" localSheetId="22">#REF!</definedName>
    <definedName name="BK..FM1.Adjusted..print">#REF!</definedName>
    <definedName name="BK..FM1.ROR..print" localSheetId="2">#REF!</definedName>
    <definedName name="BK..FM1.ROR..print" localSheetId="3">#REF!</definedName>
    <definedName name="BK..FM1.ROR..print" localSheetId="8">#REF!</definedName>
    <definedName name="BK..FM1.ROR..print" localSheetId="12">#REF!</definedName>
    <definedName name="BK..FM1.ROR..print" localSheetId="9">#REF!</definedName>
    <definedName name="BK..FM1.ROR..print" localSheetId="13">#REF!</definedName>
    <definedName name="BK..FM1.ROR..print" localSheetId="22">#REF!</definedName>
    <definedName name="BK..FM1.ROR..print">#REF!</definedName>
    <definedName name="BLE_Close_Date">[25]Assumptions!$E$28</definedName>
    <definedName name="BowlingGreen" localSheetId="2">#REF!</definedName>
    <definedName name="BowlingGreen" localSheetId="3">#REF!</definedName>
    <definedName name="BowlingGreen" localSheetId="8">#REF!</definedName>
    <definedName name="BowlingGreen" localSheetId="12">#REF!</definedName>
    <definedName name="BowlingGreen" localSheetId="9">#REF!</definedName>
    <definedName name="BowlingGreen" localSheetId="13">#REF!</definedName>
    <definedName name="BowlingGreen" localSheetId="22">#REF!</definedName>
    <definedName name="BowlingGreen">#REF!</definedName>
    <definedName name="BowlingGreenWater" localSheetId="2">#REF!</definedName>
    <definedName name="BowlingGreenWater" localSheetId="3">#REF!</definedName>
    <definedName name="BowlingGreenWater" localSheetId="8">#REF!</definedName>
    <definedName name="BowlingGreenWater" localSheetId="12">#REF!</definedName>
    <definedName name="BowlingGreenWater" localSheetId="9">#REF!</definedName>
    <definedName name="BowlingGreenWater" localSheetId="13">#REF!</definedName>
    <definedName name="BowlingGreenWater" localSheetId="22">#REF!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 localSheetId="2">#REF!</definedName>
    <definedName name="Bradner" localSheetId="3">#REF!</definedName>
    <definedName name="Bradner" localSheetId="8">#REF!</definedName>
    <definedName name="Bradner" localSheetId="12">#REF!</definedName>
    <definedName name="Bradner" localSheetId="9">#REF!</definedName>
    <definedName name="Bradner" localSheetId="13">#REF!</definedName>
    <definedName name="Bradner" localSheetId="22">#REF!</definedName>
    <definedName name="Bradner">#REF!</definedName>
    <definedName name="BREWSTER" localSheetId="2">#REF!</definedName>
    <definedName name="BREWSTER" localSheetId="3">#REF!</definedName>
    <definedName name="BREWSTER" localSheetId="8">#REF!</definedName>
    <definedName name="BREWSTER" localSheetId="12">#REF!</definedName>
    <definedName name="BREWSTER" localSheetId="9">#REF!</definedName>
    <definedName name="BREWSTER" localSheetId="13">#REF!</definedName>
    <definedName name="BREWSTER" localSheetId="22">#REF!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'[22]Input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'[13]A.2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'[26]Attachment H-4A JCP&amp;L '!#REF!</definedName>
    <definedName name="CE_EAI">'[13]C. Input'!$I$37</definedName>
    <definedName name="CE_EGSI">'[13]C. Input'!$L$37</definedName>
    <definedName name="CE_ELI">'[13]C. Input'!$O$37</definedName>
    <definedName name="CE_EMI">'[13]C. Input'!$R$37</definedName>
    <definedName name="CE_ENOI">'[13]C. Input'!$X$37</definedName>
    <definedName name="cell.above">!A1048576</definedName>
    <definedName name="cell.below">!A2</definedName>
    <definedName name="cell.left">!XFD1</definedName>
    <definedName name="cell.right">!B1</definedName>
    <definedName name="CEP_Amortization">'[25]JFJ-4 CEP Rate'!$A$28:$F$78</definedName>
    <definedName name="CH_COS" localSheetId="2">#REF!</definedName>
    <definedName name="CH_COS" localSheetId="3">#REF!</definedName>
    <definedName name="CH_COS" localSheetId="6">#REF!</definedName>
    <definedName name="CH_COS" localSheetId="8">#REF!</definedName>
    <definedName name="CH_COS" localSheetId="12">#REF!</definedName>
    <definedName name="CH_COS" localSheetId="9">#REF!</definedName>
    <definedName name="CH_COS" localSheetId="13">#REF!</definedName>
    <definedName name="CH_COS" localSheetId="22">#REF!</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'[27]Array Tables'!$B$4:$B$236</definedName>
    <definedName name="COGEN">'[28]October Tariff kwh'!$A$1:$H$83</definedName>
    <definedName name="Company_Name">[2]Menu!$I$11</definedName>
    <definedName name="CompanyCount">'[2]QRE Charts'!$F$214</definedName>
    <definedName name="CompanyName">'[29]Title Page'!$A$22</definedName>
    <definedName name="COMPAR_PRT_RNG">[2]Comparison!$B$8:$BT$170</definedName>
    <definedName name="compInc">[30]Inputs!$B$4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'[31]2004 TAX PROV'!$U$11:$AR$764</definedName>
    <definedName name="Cost_Center">'[27]Array Tables'!$A$4:$A$236</definedName>
    <definedName name="cost_of_good_sold">'[22]Input Page'!$E$11</definedName>
    <definedName name="cost2001">[32]Input!$M$23</definedName>
    <definedName name="COUNTER">'[2]Macro Tables'!$C$21</definedName>
    <definedName name="CR">'[13]C. Input'!$F$27</definedName>
    <definedName name="credit_rate">[2]Print!$I$18</definedName>
    <definedName name="creditsummary">[2]Model!$A$180:$E$201</definedName>
    <definedName name="CTF">'[26]Attachment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 localSheetId="2">#REF!</definedName>
    <definedName name="CUSTAR" localSheetId="3">#REF!</definedName>
    <definedName name="CUSTAR" localSheetId="8">#REF!</definedName>
    <definedName name="CUSTAR" localSheetId="12">#REF!</definedName>
    <definedName name="CUSTAR" localSheetId="9">#REF!</definedName>
    <definedName name="CUSTAR" localSheetId="13">#REF!</definedName>
    <definedName name="CUSTAR" localSheetId="22">#REF!</definedName>
    <definedName name="CUSTAR">#REF!</definedName>
    <definedName name="CUT">[33]AFUDC_CCRF!$A$1:$N$303</definedName>
    <definedName name="CUTINS">[33]AFUDC_CCRF!$A$73:$N$160</definedName>
    <definedName name="CUYAHOGA_FALLS" localSheetId="2">#REF!</definedName>
    <definedName name="CUYAHOGA_FALLS" localSheetId="3">#REF!</definedName>
    <definedName name="CUYAHOGA_FALLS" localSheetId="8">#REF!</definedName>
    <definedName name="CUYAHOGA_FALLS" localSheetId="12">#REF!</definedName>
    <definedName name="CUYAHOGA_FALLS" localSheetId="9">#REF!</definedName>
    <definedName name="CUYAHOGA_FALLS" localSheetId="13">#REF!</definedName>
    <definedName name="CUYAHOGA_FALLS" localSheetId="22">#REF!</definedName>
    <definedName name="CUYAHOGA_FALLS">#REF!</definedName>
    <definedName name="D">'[13]C. Input'!$F$33</definedName>
    <definedName name="D_1">#REF!</definedName>
    <definedName name="D_2">#REF!</definedName>
    <definedName name="D_EAI">'[13]C. Input'!$I$33</definedName>
    <definedName name="D_EGSI">'[13]C. Input'!$L$33</definedName>
    <definedName name="D_EMI">'[13]C. Input'!$R$33</definedName>
    <definedName name="D_ENOI">'[13]C. Input'!$X$33</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 localSheetId="16">'[17]Appendix A'!$H$5</definedName>
    <definedName name="data_year">'[18]Appendix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[34]!DATAFEEDER</definedName>
    <definedName name="Date">[35]Settings!$F$23</definedName>
    <definedName name="DAYs">[36]A!$Q$60</definedName>
    <definedName name="DD.">[37]Input!$F$33</definedName>
    <definedName name="ddd">[38]Sheet1!$J$130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[12]Assumptions!$H$14</definedName>
    <definedName name="Deferral_Recovery">'[25]JFJ-1 Deferral Recovery Rate'!$A$14:$F$64</definedName>
    <definedName name="delete" hidden="1">{#N/A,#N/A,FALSE,"CURRENT"}</definedName>
    <definedName name="Depr_Life">'[39]T&amp;D Split Substation Summary'!$B$39</definedName>
    <definedName name="DF_GRID_1">#REF!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'[13]A.2 PTP'!$P$288</definedName>
    <definedName name="DocumentName" hidden="1">"b1"</definedName>
    <definedName name="DocumentNum" hidden="1">"a1"</definedName>
    <definedName name="DOFTSR">'[13]A.2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'[13]C. Input'!$F$166</definedName>
    <definedName name="DR">'[13]C.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6">'[3]DPLG-APRIL2001-TRANSCHECKOUT'!$Q$1:$R$65536</definedName>
    <definedName name="DUEDATE" localSheetId="21">'[4]DPLG-APRIL2001-TRANSCHECKOUT'!$Q:$R</definedName>
    <definedName name="DUEDATE" localSheetId="22">'[4]DPLG-APRIL2001-TRANSCHECKOUT'!$Q:$R</definedName>
    <definedName name="DUEDATE">'[4]DPLG-APRIL2001-TRANSCHECKOUT'!$Q$1:$R$65536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'[40]#REF'!$AS$5:$AS$85</definedName>
    <definedName name="EDGERTON" localSheetId="2">#REF!</definedName>
    <definedName name="EDGERTON" localSheetId="3">#REF!</definedName>
    <definedName name="EDGERTON" localSheetId="8">#REF!</definedName>
    <definedName name="EDGERTON" localSheetId="12">#REF!</definedName>
    <definedName name="EDGERTON" localSheetId="9">#REF!</definedName>
    <definedName name="EDGERTON" localSheetId="13">#REF!</definedName>
    <definedName name="EDGERTON" localSheetId="22">#REF!</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'[13]C. Input'!$F$205</definedName>
    <definedName name="Ellwood_City" localSheetId="2">#REF!</definedName>
    <definedName name="Ellwood_City" localSheetId="3">#REF!</definedName>
    <definedName name="Ellwood_City" localSheetId="8">#REF!</definedName>
    <definedName name="Ellwood_City" localSheetId="12">#REF!</definedName>
    <definedName name="Ellwood_City" localSheetId="9">#REF!</definedName>
    <definedName name="Ellwood_City" localSheetId="13">#REF!</definedName>
    <definedName name="Ellwood_City" localSheetId="22">#REF!</definedName>
    <definedName name="Ellwood_City">#REF!</definedName>
    <definedName name="ELMORE" localSheetId="2">#REF!</definedName>
    <definedName name="ELMORE" localSheetId="3">#REF!</definedName>
    <definedName name="ELMORE" localSheetId="8">#REF!</definedName>
    <definedName name="ELMORE" localSheetId="12">#REF!</definedName>
    <definedName name="ELMORE" localSheetId="9">#REF!</definedName>
    <definedName name="ELMORE" localSheetId="13">#REF!</definedName>
    <definedName name="ELMORE" localSheetId="22">#REF!</definedName>
    <definedName name="ELMORE">#REF!</definedName>
    <definedName name="eng_design">'[15]Input Page'!$G$17</definedName>
    <definedName name="Entities">[11]Entities!$1:$1048576</definedName>
    <definedName name="ENTITY">[35]Settings!$F$17</definedName>
    <definedName name="EPRI">'[13]C. Input'!$F$203</definedName>
    <definedName name="EROA">[30]Inputs!$B$3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'[22]Input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 localSheetId="16">'[17]FERC Form 1 data'!$B$7:$L$87</definedName>
    <definedName name="FF1_INPUT">'[18]FERC Form 1 data'!$B$7:$L$87</definedName>
    <definedName name="FF1_INPUT_columns" localSheetId="16">'[17]FERC Form 1 data'!$B$6:$L$6</definedName>
    <definedName name="FF1_INPUT_columns">'[18]FERC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[41]A!$A$1</definedName>
    <definedName name="FIT">'[26]Attachment 15 - Income Taxes'!$K$7</definedName>
    <definedName name="fleet_cap">'[22]Input Page'!$E$7</definedName>
    <definedName name="fleet_total">'[22]Input Page'!$E$8</definedName>
    <definedName name="Fossil_BGS">[25]Assumptions!$E$58</definedName>
    <definedName name="Fossil_Secur_Date">[12]Assumptions!$E$22</definedName>
    <definedName name="FREV">'[13]C.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[42]Input1!$B$6</definedName>
    <definedName name="FYR">'[19]Gas Ferc 2 2003'!$V$3</definedName>
    <definedName name="GALION" localSheetId="2">#REF!</definedName>
    <definedName name="GALION" localSheetId="3">#REF!</definedName>
    <definedName name="GALION" localSheetId="8">#REF!</definedName>
    <definedName name="GALION" localSheetId="12">#REF!</definedName>
    <definedName name="GALION" localSheetId="9">#REF!</definedName>
    <definedName name="GALION" localSheetId="13">#REF!</definedName>
    <definedName name="GALION" localSheetId="22">#REF!</definedName>
    <definedName name="GALION">#REF!</definedName>
    <definedName name="GDR">'[13]C. Input'!$F$237</definedName>
    <definedName name="GDX">'[13]C. Input'!$F$309</definedName>
    <definedName name="GenLedger">[43]PEPCO!$A$9:$H$774</definedName>
    <definedName name="GENOA" localSheetId="2">#REF!</definedName>
    <definedName name="GENOA" localSheetId="3">#REF!</definedName>
    <definedName name="GENOA" localSheetId="8">#REF!</definedName>
    <definedName name="GENOA" localSheetId="12">#REF!</definedName>
    <definedName name="GENOA" localSheetId="9">#REF!</definedName>
    <definedName name="GENOA" localSheetId="13">#REF!</definedName>
    <definedName name="GENOA" localSheetId="22">#REF!</definedName>
    <definedName name="GENOA">#REF!</definedName>
    <definedName name="GENOA_NORTH" localSheetId="2">#REF!</definedName>
    <definedName name="GENOA_NORTH" localSheetId="3">#REF!</definedName>
    <definedName name="GENOA_NORTH" localSheetId="8">#REF!</definedName>
    <definedName name="GENOA_NORTH" localSheetId="12">#REF!</definedName>
    <definedName name="GENOA_NORTH" localSheetId="9">#REF!</definedName>
    <definedName name="GENOA_NORTH" localSheetId="13">#REF!</definedName>
    <definedName name="GENOA_NORTH" localSheetId="22">#REF!</definedName>
    <definedName name="GENOA_NORTH">#REF!</definedName>
    <definedName name="GENOA_SOUTH" localSheetId="2">#REF!</definedName>
    <definedName name="GENOA_SOUTH" localSheetId="3">#REF!</definedName>
    <definedName name="GENOA_SOUTH" localSheetId="8">#REF!</definedName>
    <definedName name="GENOA_SOUTH" localSheetId="12">#REF!</definedName>
    <definedName name="GENOA_SOUTH" localSheetId="9">#REF!</definedName>
    <definedName name="GENOA_SOUTH" localSheetId="13">#REF!</definedName>
    <definedName name="GENOA_SOUTH" localSheetId="22">#REF!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NOT(ISERROR([72]!Print_Area))</definedName>
    <definedName name="gIsInPrintTitles" hidden="1">NOT(ISERROR([72]!Print_Titles))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'[26]Attachment H-4A JCP&amp;L '!$G$57</definedName>
    <definedName name="GPLT">'[13]C. Input'!$F$168</definedName>
    <definedName name="GR_PRT_RANGE">[2]Gross_Rec!$A$8:$R$52</definedName>
    <definedName name="GRAFTON" localSheetId="2">#REF!</definedName>
    <definedName name="GRAFTON" localSheetId="3">#REF!</definedName>
    <definedName name="GRAFTON" localSheetId="8">#REF!</definedName>
    <definedName name="GRAFTON" localSheetId="12">#REF!</definedName>
    <definedName name="GRAFTON" localSheetId="9">#REF!</definedName>
    <definedName name="GRAFTON" localSheetId="13">#REF!</definedName>
    <definedName name="GRAFTON" localSheetId="22">#REF!</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 localSheetId="2">#REF!</definedName>
    <definedName name="Grove_City" localSheetId="3">#REF!</definedName>
    <definedName name="Grove_City" localSheetId="8">#REF!</definedName>
    <definedName name="Grove_City" localSheetId="12">#REF!</definedName>
    <definedName name="Grove_City" localSheetId="9">#REF!</definedName>
    <definedName name="Grove_City" localSheetId="13">#REF!</definedName>
    <definedName name="Grove_City" localSheetId="22">#REF!</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 localSheetId="2">#REF!</definedName>
    <definedName name="HASKINS" localSheetId="3">#REF!</definedName>
    <definedName name="HASKINS" localSheetId="8">#REF!</definedName>
    <definedName name="HASKINS" localSheetId="12">#REF!</definedName>
    <definedName name="HASKINS" localSheetId="9">#REF!</definedName>
    <definedName name="HASKINS" localSheetId="13">#REF!</definedName>
    <definedName name="HASKINS" localSheetId="22">#REF!</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'[44]Tony''s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'[13]A.2 PTP'!$P$333</definedName>
    <definedName name="hourending" localSheetId="2">#REF!</definedName>
    <definedName name="hourending" localSheetId="3">#REF!</definedName>
    <definedName name="hourending" localSheetId="8">#REF!</definedName>
    <definedName name="hourending" localSheetId="12">#REF!</definedName>
    <definedName name="hourending" localSheetId="9">#REF!</definedName>
    <definedName name="hourending" localSheetId="13">#REF!</definedName>
    <definedName name="hourending" localSheetId="22">#REF!</definedName>
    <definedName name="hourending">#REF!</definedName>
    <definedName name="HOURs">[36]A!$Q$61</definedName>
    <definedName name="HPNTSR">'[13]A.2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 localSheetId="2">#REF!</definedName>
    <definedName name="HUBBARD" localSheetId="3">#REF!</definedName>
    <definedName name="HUBBARD" localSheetId="8">#REF!</definedName>
    <definedName name="HUBBARD" localSheetId="12">#REF!</definedName>
    <definedName name="HUBBARD" localSheetId="9">#REF!</definedName>
    <definedName name="HUBBARD" localSheetId="13">#REF!</definedName>
    <definedName name="HUBBARD" localSheetId="22">#REF!</definedName>
    <definedName name="HUBBARD">#REF!</definedName>
    <definedName name="Input_Range">'[45]Nonlevelized-IOU'!$K$7,'[45]Nonlevelized-IOU'!$D$10,'[45]Nonlevelized-IOU'!$I$26,'[45]Nonlevelized-IOU'!$D$89:$D$92,'[45]Nonlevelized-IOU'!$D$97:$D$100,'[45]Nonlevelized-IOU'!$D$113:$D$116,'[45]Nonlevelized-IOU'!$D$124:$D$125,'[45]Nonlevelized-IOU'!$D$162,'[45]Nonlevelized-IOU'!$D$164:$D$165,'[45]Nonlevelized-IOU'!$D$167,'[45]Nonlevelized-IOU'!$D$174:$D$175,'[45]Nonlevelized-IOU'!$D$181,'[45]Nonlevelized-IOU'!$D$184,'[45]Nonlevelized-IOU'!$I$233:$I$234,'[45]Nonlevelized-IOU'!$D$250:$D$253,'[45]Nonlevelized-IOU'!$D$257:$D$259,'[45]Nonlevelized-IOU'!$I$263,'[45]Nonlevelized-IOU'!$I$265,'[45]Nonlevelized-IOU'!$I$268,'[45]Nonlevelized-IOU'!$D$274:$D$275,'[45]Nonlevelized-IOU'!$I$289,'[45]Nonlevelized-IOU'!$D$325:$D$327</definedName>
    <definedName name="Inputs_EndYrBal" localSheetId="16">[17]Inputs!$E$15:$E$72</definedName>
    <definedName name="Inputs_EndYrBal">[18]Inputs!$E$15:$E$72</definedName>
    <definedName name="Inputs_EndYrBal_prior" localSheetId="16">[17]Inputs!$D$15:$D$72</definedName>
    <definedName name="Inputs_EndYrBal_prior">[18]Inputs!$D$15:$D$72</definedName>
    <definedName name="Inputs_FF1_Map" localSheetId="16">[17]Inputs!$F$15:$F$72</definedName>
    <definedName name="Inputs_FF1_Map">[18]Inputs!$F$15:$F$72</definedName>
    <definedName name="intang_afudc910">[46]criteria!$A$5:$B$6</definedName>
    <definedName name="INTQ">'[47]IR COMP'!$B$39</definedName>
    <definedName name="INTY">'[47]IR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'[13]C. Input'!$F$146</definedName>
    <definedName name="ITCWO">'[13]C. Input'!$F$325</definedName>
    <definedName name="ITE">[48]PL!$A:$IV</definedName>
    <definedName name="itec">[48]PL!$A$1:$A$65536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16"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'[44]Tony''s Categories'!$D$6:$D$100</definedName>
    <definedName name="KeyCon_Close_Date">[25]Assumptions!$E$29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 localSheetId="2">#REF!</definedName>
    <definedName name="Levelized..FM1.ROR..print" localSheetId="3">#REF!</definedName>
    <definedName name="Levelized..FM1.ROR..print" localSheetId="8">#REF!</definedName>
    <definedName name="Levelized..FM1.ROR..print" localSheetId="12">#REF!</definedName>
    <definedName name="Levelized..FM1.ROR..print" localSheetId="9">#REF!</definedName>
    <definedName name="Levelized..FM1.ROR..print" localSheetId="13">#REF!</definedName>
    <definedName name="Levelized..FM1.ROR..print" localSheetId="22">#REF!</definedName>
    <definedName name="Levelized..FM1.ROR..print">#REF!</definedName>
    <definedName name="LFTSR">'[13]A.2 PTP'!$P$230</definedName>
    <definedName name="Library" hidden="1">"a1"</definedName>
    <definedName name="LicenseCOS">0.01</definedName>
    <definedName name="limcount" hidden="1">1</definedName>
    <definedName name="LK">{"'Metretek HTML'!$A$7:$W$42"}</definedName>
    <definedName name="ll" hidden="1">{#N/A,#N/A,FALSE,"EMPPAY"}</definedName>
    <definedName name="LODI" localSheetId="2">#REF!</definedName>
    <definedName name="LODI" localSheetId="3">#REF!</definedName>
    <definedName name="LODI" localSheetId="8">#REF!</definedName>
    <definedName name="LODI" localSheetId="12">#REF!</definedName>
    <definedName name="LODI" localSheetId="9">#REF!</definedName>
    <definedName name="LODI" localSheetId="13">#REF!</definedName>
    <definedName name="LODI" localSheetId="22">#REF!</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'[44]Tony''s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 localSheetId="2">#REF!</definedName>
    <definedName name="LUCAS" localSheetId="3">#REF!</definedName>
    <definedName name="LUCAS" localSheetId="8">#REF!</definedName>
    <definedName name="LUCAS" localSheetId="12">#REF!</definedName>
    <definedName name="LUCAS" localSheetId="9">#REF!</definedName>
    <definedName name="LUCAS" localSheetId="13">#REF!</definedName>
    <definedName name="LUCAS" localSheetId="22">#REF!</definedName>
    <definedName name="LUCAS">#REF!</definedName>
    <definedName name="M21Laurie" localSheetId="2">#N/A</definedName>
    <definedName name="M21Laurie" localSheetId="3">#N/A</definedName>
    <definedName name="M21Laurie" localSheetId="8">#N/A</definedName>
    <definedName name="M21Laurie" localSheetId="12">#N/A</definedName>
    <definedName name="M21Laurie" localSheetId="9">'Appendix G-Inc Tax Adj'!M21Laurie</definedName>
    <definedName name="M21Laurie" localSheetId="16">#N/A</definedName>
    <definedName name="M21Laurie" localSheetId="21">'WP07 Stated-value Inputs'!M21Laurie</definedName>
    <definedName name="M21Laurie" localSheetId="22">'WP08 Tax Rates'!M21Laurie</definedName>
    <definedName name="M21Laurie">'Appendix B-Veg'!M21Laurie</definedName>
    <definedName name="Maintenance">0.15</definedName>
    <definedName name="MFTSR">'[13]A.2 PTP'!$P$276</definedName>
    <definedName name="MILAN" localSheetId="2">#REF!</definedName>
    <definedName name="MILAN" localSheetId="3">#REF!</definedName>
    <definedName name="MILAN" localSheetId="8">#REF!</definedName>
    <definedName name="MILAN" localSheetId="12">#REF!</definedName>
    <definedName name="MILAN" localSheetId="9">#REF!</definedName>
    <definedName name="MILAN" localSheetId="13">#REF!</definedName>
    <definedName name="MILAN" localSheetId="22">#REF!</definedName>
    <definedName name="MILAN">#REF!</definedName>
    <definedName name="million">1000000</definedName>
    <definedName name="minus_S_W_2001">'[49]Last year''s minus S&amp;W'!$A$1</definedName>
    <definedName name="modelgrheader">[2]Model!$A$3</definedName>
    <definedName name="modelqreheader">[2]Model!$A$78</definedName>
    <definedName name="MONROEVILLE" localSheetId="2">#REF!</definedName>
    <definedName name="MONROEVILLE" localSheetId="3">#REF!</definedName>
    <definedName name="MONROEVILLE" localSheetId="8">#REF!</definedName>
    <definedName name="MONROEVILLE" localSheetId="12">#REF!</definedName>
    <definedName name="MONROEVILLE" localSheetId="9">#REF!</definedName>
    <definedName name="MONROEVILLE" localSheetId="13">#REF!</definedName>
    <definedName name="MONROEVILLE" localSheetId="22">#REF!</definedName>
    <definedName name="MONROEVILLE">#REF!</definedName>
    <definedName name="MONTH">[36]A!$Q$58</definedName>
    <definedName name="MonthDate">[50]Index!$A$4</definedName>
    <definedName name="MREV">'[13]C. Input'!$F$295</definedName>
    <definedName name="MS">'[13]C. Input'!$F$242</definedName>
    <definedName name="MTC_Amortization">'[25]JFJ-3 MTC Rate'!$A$32:$F$82</definedName>
    <definedName name="NAPOLEON" localSheetId="2">#REF!</definedName>
    <definedName name="NAPOLEON" localSheetId="3">#REF!</definedName>
    <definedName name="NAPOLEON" localSheetId="8">#REF!</definedName>
    <definedName name="NAPOLEON" localSheetId="12">#REF!</definedName>
    <definedName name="NAPOLEON" localSheetId="9">#REF!</definedName>
    <definedName name="NAPOLEON" localSheetId="13">#REF!</definedName>
    <definedName name="NAPOLEON" localSheetId="22">#REF!</definedName>
    <definedName name="NAPOLEON">#REF!</definedName>
    <definedName name="NEASG" localSheetId="2">#REF!</definedName>
    <definedName name="NEASG" localSheetId="3">#REF!</definedName>
    <definedName name="NEASG" localSheetId="8">#REF!</definedName>
    <definedName name="NEASG" localSheetId="12">#REF!</definedName>
    <definedName name="NEASG" localSheetId="9">#REF!</definedName>
    <definedName name="NEASG" localSheetId="13">#REF!</definedName>
    <definedName name="NEASG" localSheetId="22">#REF!</definedName>
    <definedName name="NEASG">#REF!</definedName>
    <definedName name="new" hidden="1">{#N/A,#N/A,FALSE,"O&amp;M by processes";#N/A,#N/A,FALSE,"Elec Act vs Bud";#N/A,#N/A,FALSE,"G&amp;A";#N/A,#N/A,FALSE,"BGS";#N/A,#N/A,FALSE,"Res Cost"}</definedName>
    <definedName name="New_99_IS">'[51]2nd qtr 2000'!$A$1:$I$58,'[51]2nd qtr 2000'!$K$1:$T$58,'[51]2nd qtr 2000'!$V$1:$AI$58</definedName>
    <definedName name="New_Wilmington" localSheetId="2">#REF!</definedName>
    <definedName name="New_Wilmington" localSheetId="3">#REF!</definedName>
    <definedName name="New_Wilmington" localSheetId="8">#REF!</definedName>
    <definedName name="New_Wilmington" localSheetId="12">#REF!</definedName>
    <definedName name="New_Wilmington" localSheetId="9">#REF!</definedName>
    <definedName name="New_Wilmington" localSheetId="13">#REF!</definedName>
    <definedName name="New_Wilmington" localSheetId="22">#REF!</definedName>
    <definedName name="New_Wilmington">#REF!</definedName>
    <definedName name="NewHire">8500</definedName>
    <definedName name="NEWTON_FALLS" localSheetId="2">#REF!</definedName>
    <definedName name="NEWTON_FALLS" localSheetId="3">#REF!</definedName>
    <definedName name="NEWTON_FALLS" localSheetId="8">#REF!</definedName>
    <definedName name="NEWTON_FALLS" localSheetId="12">#REF!</definedName>
    <definedName name="NEWTON_FALLS" localSheetId="9">#REF!</definedName>
    <definedName name="NEWTON_FALLS" localSheetId="13">#REF!</definedName>
    <definedName name="NEWTON_FALLS" localSheetId="22">#REF!</definedName>
    <definedName name="NEWTON_FALLS">#REF!</definedName>
    <definedName name="NEXT_STEP">[2]Comparison!$CK$14</definedName>
    <definedName name="NILES" localSheetId="2">#REF!</definedName>
    <definedName name="NILES" localSheetId="3">#REF!</definedName>
    <definedName name="NILES" localSheetId="8">#REF!</definedName>
    <definedName name="NILES" localSheetId="12">#REF!</definedName>
    <definedName name="NILES" localSheetId="9">#REF!</definedName>
    <definedName name="NILES" localSheetId="13">#REF!</definedName>
    <definedName name="NILES" localSheetId="22">#REF!</definedName>
    <definedName name="NILES">#REF!</definedName>
    <definedName name="Node">[52]Hierarchy!$B$2:$E$16455</definedName>
    <definedName name="non_cap_int">'[22]Input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 localSheetId="2">#REF!</definedName>
    <definedName name="NSP_COS" localSheetId="3">#REF!</definedName>
    <definedName name="NSP_COS" localSheetId="6">#REF!</definedName>
    <definedName name="NSP_COS" localSheetId="8">#REF!</definedName>
    <definedName name="NSP_COS" localSheetId="12">#REF!</definedName>
    <definedName name="NSP_COS" localSheetId="9">#REF!</definedName>
    <definedName name="NSP_COS" localSheetId="13">#REF!</definedName>
    <definedName name="NSP_COS" localSheetId="22">#REF!</definedName>
    <definedName name="NSP_COS">#REF!</definedName>
    <definedName name="NTDR">'[13]C. Input'!$F$234</definedName>
    <definedName name="NTPLT">'[13]C. Input'!$F$164</definedName>
    <definedName name="NTSRR">'[13]B.2 NITS '!$P$220</definedName>
    <definedName name="Nuclear_Secur_Date">[12]Assumptions!$E$21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[53]Sheet1!$H$75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 localSheetId="2">#REF!</definedName>
    <definedName name="NWASG" localSheetId="3">#REF!</definedName>
    <definedName name="NWASG" localSheetId="8">#REF!</definedName>
    <definedName name="NWASG" localSheetId="12">#REF!</definedName>
    <definedName name="NWASG" localSheetId="9">#REF!</definedName>
    <definedName name="NWASG" localSheetId="13">#REF!</definedName>
    <definedName name="NWASG" localSheetId="22">#REF!</definedName>
    <definedName name="NWASG">#REF!</definedName>
    <definedName name="OAK_HARBOR" localSheetId="2">#REF!</definedName>
    <definedName name="OAK_HARBOR" localSheetId="3">#REF!</definedName>
    <definedName name="OAK_HARBOR" localSheetId="8">#REF!</definedName>
    <definedName name="OAK_HARBOR" localSheetId="12">#REF!</definedName>
    <definedName name="OAK_HARBOR" localSheetId="9">#REF!</definedName>
    <definedName name="OAK_HARBOR" localSheetId="13">#REF!</definedName>
    <definedName name="OAK_HARBOR" localSheetId="22">#REF!</definedName>
    <definedName name="OAK_HARBOR">#REF!</definedName>
    <definedName name="OBERLIN" localSheetId="2">#REF!</definedName>
    <definedName name="OBERLIN" localSheetId="3">#REF!</definedName>
    <definedName name="OBERLIN" localSheetId="8">#REF!</definedName>
    <definedName name="OBERLIN" localSheetId="12">#REF!</definedName>
    <definedName name="OBERLIN" localSheetId="9">#REF!</definedName>
    <definedName name="OBERLIN" localSheetId="13">#REF!</definedName>
    <definedName name="OBERLIN" localSheetId="22">#REF!</definedName>
    <definedName name="OBERLIN">#REF!</definedName>
    <definedName name="OFF" localSheetId="16">'[3]DPLG-APRIL2001-TRANSCHECKOUT'!$F$2:$L$10</definedName>
    <definedName name="OFF">'[4]DPLG-APRIL2001-TRANSCHECKOUT'!$F$2:$L$10</definedName>
    <definedName name="ok">"46A77S0J3A6DMSOD9MQSK0ZYO"</definedName>
    <definedName name="ON" localSheetId="16">'[3]DPLG-APRIL2001-TRANSCHECKOUT'!$M$2:$AC$10</definedName>
    <definedName name="ON">'[4]DPLG-APRIL2001-TRANSCHECKOUT'!$M$2:$AC$10</definedName>
    <definedName name="one">1</definedName>
    <definedName name="ORACLE_DEPRECIATION">'[54]Agriliance-allassets'!$A$1:$EG$15622</definedName>
    <definedName name="other_mix_cap">'[15]Input Page'!$G$10</definedName>
    <definedName name="other_mix_total">'[15]Input Page'!$G$11</definedName>
    <definedName name="OTR_TST">'[13]A.2 PTP'!$P$129</definedName>
    <definedName name="P">'[26]Attachment 15 - Income Taxes'!$K$12</definedName>
    <definedName name="pctHW">[32]Input!$M$24</definedName>
    <definedName name="pctSWExp">[32]Input!$M$26</definedName>
    <definedName name="pctTraining">[32]Input!$M$25</definedName>
    <definedName name="pe">[2]Print!$A$2</definedName>
    <definedName name="PEMBERVILLE" localSheetId="2">#REF!</definedName>
    <definedName name="PEMBERVILLE" localSheetId="3">#REF!</definedName>
    <definedName name="PEMBERVILLE" localSheetId="8">#REF!</definedName>
    <definedName name="PEMBERVILLE" localSheetId="12">#REF!</definedName>
    <definedName name="PEMBERVILLE" localSheetId="9">#REF!</definedName>
    <definedName name="PEMBERVILLE" localSheetId="13">#REF!</definedName>
    <definedName name="PEMBERVILLE" localSheetId="22">#REF!</definedName>
    <definedName name="PEMBERVILLE">#REF!</definedName>
    <definedName name="PF">'[13]C. Input'!$F$35</definedName>
    <definedName name="PF_EAI">'[13]C. Input'!$I$35</definedName>
    <definedName name="PF_EGSI">'[13]C. Input'!$L$35</definedName>
    <definedName name="PF_ELI">'[13]C. Input'!$O$35</definedName>
    <definedName name="PF_EMI">'[13]C. Input'!$R$35</definedName>
    <definedName name="PF_ENOI">'[13]C. Input'!$X$35</definedName>
    <definedName name="Phase">'[2]Macro Tables'!$F$21</definedName>
    <definedName name="PIONEER" localSheetId="2">#REF!</definedName>
    <definedName name="PIONEER" localSheetId="3">#REF!</definedName>
    <definedName name="PIONEER" localSheetId="8">#REF!</definedName>
    <definedName name="PIONEER" localSheetId="12">#REF!</definedName>
    <definedName name="PIONEER" localSheetId="9">#REF!</definedName>
    <definedName name="PIONEER" localSheetId="13">#REF!</definedName>
    <definedName name="PIONEER" localSheetId="22">#REF!</definedName>
    <definedName name="PIONEER">#REF!</definedName>
    <definedName name="post_fossil">[25]Assumptions!$E$59</definedName>
    <definedName name="PPA">[12]Assumptions!$E$38</definedName>
    <definedName name="PPLT">'[13]C. Input'!$F$152</definedName>
    <definedName name="pPRINT" localSheetId="16">'[3]DPLG-APRIL2001-TRANSCHECKOUT'!$A$1:$I$49</definedName>
    <definedName name="pPRINT">'[4]DPLG-APRIL2001-TRANSCHECKOUT'!$A$1:$I$49</definedName>
    <definedName name="PPT">'[13]C. Input'!$F$244</definedName>
    <definedName name="PR">'[13]C. Input'!$F$25</definedName>
    <definedName name="PreTaxDebt">'[25]MTC Return'!$F$18</definedName>
    <definedName name="PRINT" localSheetId="16">'[3]DPLG-APRIL2001-TRANSCHECKOUT'!$A$2:$K$55</definedName>
    <definedName name="PRINT">'[4]DPLG-APRIL2001-TRANSCHECKOUT'!$A$2:$K$55</definedName>
    <definedName name="Print.selection.print" localSheetId="2">#REF!</definedName>
    <definedName name="Print.selection.print" localSheetId="3">#REF!</definedName>
    <definedName name="Print.selection.print" localSheetId="8">#REF!</definedName>
    <definedName name="Print.selection.print" localSheetId="12">#REF!</definedName>
    <definedName name="Print.selection.print" localSheetId="9">#REF!</definedName>
    <definedName name="Print.selection.print" localSheetId="13">#REF!</definedName>
    <definedName name="Print.selection.print" localSheetId="21">#REF!</definedName>
    <definedName name="Print.selection.print" localSheetId="22">#REF!</definedName>
    <definedName name="Print.selection.print">#REF!</definedName>
    <definedName name="Print_99_IS">'[51]2nd qtr 2000'!$D$1:$I$58,'[51]2nd qtr 2000'!$N$1:$T$58,'[51]2nd qtr 2000'!$AA$1:$AH$57</definedName>
    <definedName name="_xlnm.Print_Area" localSheetId="1">'Appendix A-ATSI Sched 1A'!$A$1:$J$18</definedName>
    <definedName name="_xlnm.Print_Area" localSheetId="2">'Appendix B-Veg'!$A$1:$K$29</definedName>
    <definedName name="_xlnm.Print_Area" localSheetId="3">'Appendix C-RRCA'!$A$1:$K$29</definedName>
    <definedName name="_xlnm.Print_Area" localSheetId="4">'Appendix D-TEC'!$A$1:$O$83</definedName>
    <definedName name="_xlnm.Print_Area" localSheetId="5">'Appendix D-True-up'!$A$1:$M$45</definedName>
    <definedName name="_xlnm.Print_Area" localSheetId="6">'Appendix E-MTEP Credit'!$A$1:$P$101</definedName>
    <definedName name="_xlnm.Print_Area" localSheetId="7">'Appendix E-True-up'!$A$1:$M$42</definedName>
    <definedName name="_xlnm.Print_Area" localSheetId="8">'Appendix F-MTEP Debit'!$A$1:$K$29</definedName>
    <definedName name="_xlnm.Print_Area" localSheetId="11">'Appendix G(2) -Excess_Def WP'!$A$1:$O$129</definedName>
    <definedName name="_xlnm.Print_Area" localSheetId="12">'Appendix G(3) - ADIT'!$A$1:$P$70</definedName>
    <definedName name="_xlnm.Print_Area" localSheetId="9">'Appendix G-Inc Tax Adj'!$A$1:$G$29</definedName>
    <definedName name="_xlnm.Print_Area" localSheetId="13">'Appendix H-Rev Req True-up Adj'!$A$1:$J$55</definedName>
    <definedName name="_xlnm.Print_Area" localSheetId="0">'Attachment H-21-A ATSI '!$A$1:$K$323</definedName>
    <definedName name="_xlnm.Print_Area" localSheetId="16">'WP03-A - ADIT Norm'!$A$1:$M$52</definedName>
    <definedName name="_xlnm.Print_Area" localSheetId="17">'WP03-B - ADIT Detail'!$A$1:$K$313</definedName>
    <definedName name="_xlnm.Print_Area" localSheetId="18">'WP04 Other RB'!$A$1:$K$32</definedName>
    <definedName name="_xlnm.Print_Area" localSheetId="19">'WP05 Other Tax'!$A$1:$D$37</definedName>
    <definedName name="_xlnm.Print_Area" localSheetId="22">'WP08 Tax Rates'!$A$1:$I$31</definedName>
    <definedName name="Print_Area_MI">#REF!</definedName>
    <definedName name="Print_TFI_use">'[55]TFI use'!$A$1:$P$40,'[55]TFI use'!$A$42:$P$65,'[55]TFI use'!$A$67:$R$84</definedName>
    <definedName name="_xlnm.Print_Titles" localSheetId="4">'Appendix D-TEC'!$C:$D</definedName>
    <definedName name="_xlnm.Print_Titles" localSheetId="5">'Appendix D-True-up'!$C:$D</definedName>
    <definedName name="_xlnm.Print_Titles" localSheetId="7">'Appendix E-True-up'!$C:$D</definedName>
    <definedName name="Print_Titles_MI">'[56]DACTIVE$'!$A$1:$IV$4,'[56]DACTIVE$'!$A$1:$A$65536</definedName>
    <definedName name="Print1" localSheetId="2">#REF!</definedName>
    <definedName name="Print1" localSheetId="3">#REF!</definedName>
    <definedName name="Print1" localSheetId="6">#REF!</definedName>
    <definedName name="Print1" localSheetId="8">#REF!</definedName>
    <definedName name="Print1" localSheetId="12">#REF!</definedName>
    <definedName name="Print1" localSheetId="9">#REF!</definedName>
    <definedName name="Print1" localSheetId="13">#REF!</definedName>
    <definedName name="Print1" localSheetId="22">#REF!</definedName>
    <definedName name="Print1">#REF!</definedName>
    <definedName name="Print3" localSheetId="2">#REF!</definedName>
    <definedName name="Print3" localSheetId="3">#REF!</definedName>
    <definedName name="Print3" localSheetId="6">#REF!</definedName>
    <definedName name="Print3" localSheetId="8">#REF!</definedName>
    <definedName name="Print3" localSheetId="12">#REF!</definedName>
    <definedName name="Print3" localSheetId="9">#REF!</definedName>
    <definedName name="Print3" localSheetId="13">#REF!</definedName>
    <definedName name="Print3" localSheetId="22">#REF!</definedName>
    <definedName name="Print3">#REF!</definedName>
    <definedName name="Print4" localSheetId="2">#REF!</definedName>
    <definedName name="Print4" localSheetId="3">#REF!</definedName>
    <definedName name="Print4" localSheetId="6">#REF!</definedName>
    <definedName name="Print4" localSheetId="8">#REF!</definedName>
    <definedName name="Print4" localSheetId="12">#REF!</definedName>
    <definedName name="Print4" localSheetId="9">#REF!</definedName>
    <definedName name="Print4" localSheetId="13">#REF!</definedName>
    <definedName name="Print4" localSheetId="22">#REF!</definedName>
    <definedName name="Print4">#REF!</definedName>
    <definedName name="Print5" localSheetId="2">#REF!</definedName>
    <definedName name="Print5" localSheetId="3">#REF!</definedName>
    <definedName name="Print5" localSheetId="6">#REF!</definedName>
    <definedName name="Print5" localSheetId="8">#REF!</definedName>
    <definedName name="Print5" localSheetId="12">#REF!</definedName>
    <definedName name="Print5" localSheetId="9">#REF!</definedName>
    <definedName name="Print5" localSheetId="13">#REF!</definedName>
    <definedName name="Print5" localSheetId="22">#REF!</definedName>
    <definedName name="Print5">#REF!</definedName>
    <definedName name="PrintareaDec">'[57]kWh-Mcf'!$E$97,'[57]kWh-Mcf'!$A$81:$E$118,'[57]kWh-Mcf'!$AM$86:$AO$118</definedName>
    <definedName name="prior_year_fuel_adj">'[15]Input Page'!$G$30</definedName>
    <definedName name="prod_depr">'[22]Input Page'!$E$17</definedName>
    <definedName name="Proj_PIS" localSheetId="16">'[58]Final Summary Sheet'!$AB$132:$AM$141</definedName>
    <definedName name="Proj_PIS">'[59]Final Summary Sheet'!$AB$132:$AM$141</definedName>
    <definedName name="Projection">"Projection"</definedName>
    <definedName name="ProjIDList" localSheetId="2">#REF!</definedName>
    <definedName name="ProjIDList" localSheetId="3">#REF!</definedName>
    <definedName name="ProjIDList" localSheetId="8">#REF!</definedName>
    <definedName name="ProjIDList" localSheetId="12">#REF!</definedName>
    <definedName name="ProjIDList" localSheetId="9">#REF!</definedName>
    <definedName name="ProjIDList" localSheetId="13">#REF!</definedName>
    <definedName name="ProjIDList" localSheetId="22">#REF!</definedName>
    <definedName name="ProjIDList">#REF!</definedName>
    <definedName name="PROSPECT" localSheetId="2">#REF!</definedName>
    <definedName name="PROSPECT" localSheetId="3">#REF!</definedName>
    <definedName name="PROSPECT" localSheetId="8">#REF!</definedName>
    <definedName name="PROSPECT" localSheetId="12">#REF!</definedName>
    <definedName name="PROSPECT" localSheetId="9">#REF!</definedName>
    <definedName name="PROSPECT" localSheetId="13">#REF!</definedName>
    <definedName name="PROSPECT" localSheetId="22">#REF!</definedName>
    <definedName name="PROSPECT">#REF!</definedName>
    <definedName name="PSCo_COS" localSheetId="2">#REF!</definedName>
    <definedName name="PSCo_COS" localSheetId="3">#REF!</definedName>
    <definedName name="PSCo_COS" localSheetId="6">#REF!</definedName>
    <definedName name="PSCo_COS" localSheetId="8">#REF!</definedName>
    <definedName name="PSCo_COS" localSheetId="12">#REF!</definedName>
    <definedName name="PSCo_COS" localSheetId="9">#REF!</definedName>
    <definedName name="PSCo_COS" localSheetId="13">#REF!</definedName>
    <definedName name="PSCo_COS" localSheetId="22">#REF!</definedName>
    <definedName name="PSCo_COS">#REF!</definedName>
    <definedName name="PXAG">'[13]C. Input'!$F$185</definedName>
    <definedName name="PYTX">'[13]C. Input'!$F$220</definedName>
    <definedName name="q_MTEP06_App_AB_Facility" localSheetId="2">#REF!</definedName>
    <definedName name="q_MTEP06_App_AB_Facility" localSheetId="3">#REF!</definedName>
    <definedName name="q_MTEP06_App_AB_Facility" localSheetId="8">#REF!</definedName>
    <definedName name="q_MTEP06_App_AB_Facility" localSheetId="12">#REF!</definedName>
    <definedName name="q_MTEP06_App_AB_Facility" localSheetId="9">#REF!</definedName>
    <definedName name="q_MTEP06_App_AB_Facility" localSheetId="13">#REF!</definedName>
    <definedName name="q_MTEP06_App_AB_Facility" localSheetId="22">#REF!</definedName>
    <definedName name="q_MTEP06_App_AB_Facility">#REF!</definedName>
    <definedName name="q_MTEP06_App_AB_Projects" localSheetId="2">#REF!</definedName>
    <definedName name="q_MTEP06_App_AB_Projects" localSheetId="3">#REF!</definedName>
    <definedName name="q_MTEP06_App_AB_Projects" localSheetId="8">#REF!</definedName>
    <definedName name="q_MTEP06_App_AB_Projects" localSheetId="12">#REF!</definedName>
    <definedName name="q_MTEP06_App_AB_Projects" localSheetId="9">#REF!</definedName>
    <definedName name="q_MTEP06_App_AB_Projects" localSheetId="13">#REF!</definedName>
    <definedName name="q_MTEP06_App_AB_Projects" localSheetId="22">#REF!</definedName>
    <definedName name="q_MTEP06_App_AB_Projects">#REF!</definedName>
    <definedName name="QES">'[2]Gross_Rec:QRE''s'!$B$53:$N$112</definedName>
    <definedName name="QRE_SUMMARY">'[2]QRE''s'!$A$7:$R$102</definedName>
    <definedName name="query">'[60]Boston Edison'!$A$1:$M$3434</definedName>
    <definedName name="qw">{"'Metretek HTML'!$A$7:$W$42"}</definedName>
    <definedName name="RA">'[13]C.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'[61]Employee Headcount'!$N$6:$S$803</definedName>
    <definedName name="retail" localSheetId="16"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#REF!</definedName>
    <definedName name="revreq" localSheetId="3">#REF!</definedName>
    <definedName name="revreq" localSheetId="6">#REF!</definedName>
    <definedName name="revreq" localSheetId="8">#REF!</definedName>
    <definedName name="revreq" localSheetId="12">#REF!</definedName>
    <definedName name="revreq" localSheetId="9">#REF!</definedName>
    <definedName name="revreq" localSheetId="13">#REF!</definedName>
    <definedName name="revreq" localSheetId="22">#REF!</definedName>
    <definedName name="revreq">#REF!</definedName>
    <definedName name="right">OFFSET(!A1,0,1)</definedName>
    <definedName name="ROR">'[26]Attachment H-4A JCP&amp;L '!$I$205</definedName>
    <definedName name="RRE">'[13]C. Input'!$F$207</definedName>
    <definedName name="rrrr" hidden="1">{#N/A,#N/A,FALSE,"O&amp;M by processes";#N/A,#N/A,FALSE,"Elec Act vs Bud";#N/A,#N/A,FALSE,"G&amp;A";#N/A,#N/A,FALSE,"BGS";#N/A,#N/A,FALSE,"Res Cost"}</definedName>
    <definedName name="RTX">'[13]C. Input'!$F$222</definedName>
    <definedName name="S">'[13]C. Input'!$F$76</definedName>
    <definedName name="SAPBEXdnldView">"467GDHUY063FE1Q3S2Y9KSMQ8"</definedName>
    <definedName name="SAPBEXdnldView_1">"467GDHUY063FE1Q3S2Y9KSMQ8"</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'[13]C. Input'!$F$353</definedName>
    <definedName name="SECUR_IS">'[13]C. Input'!$F$357</definedName>
    <definedName name="SECUR_KR">'[13]C.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 localSheetId="2">#REF!</definedName>
    <definedName name="SEVILLE" localSheetId="3">#REF!</definedName>
    <definedName name="SEVILLE" localSheetId="8">#REF!</definedName>
    <definedName name="SEVILLE" localSheetId="12">#REF!</definedName>
    <definedName name="SEVILLE" localSheetId="9">#REF!</definedName>
    <definedName name="SEVILLE" localSheetId="13">#REF!</definedName>
    <definedName name="SEVILLE" localSheetId="22">#REF!</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localSheetId="16"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'[26]Attachment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OUTH_VIENNA" localSheetId="2">#REF!</definedName>
    <definedName name="SOUTH_VIENNA" localSheetId="3">#REF!</definedName>
    <definedName name="SOUTH_VIENNA" localSheetId="8">#REF!</definedName>
    <definedName name="SOUTH_VIENNA" localSheetId="12">#REF!</definedName>
    <definedName name="SOUTH_VIENNA" localSheetId="9">#REF!</definedName>
    <definedName name="SOUTH_VIENNA" localSheetId="13">#REF!</definedName>
    <definedName name="SOUTH_VIENNA" localSheetId="22">#REF!</definedName>
    <definedName name="SOUTH_VIENNA">#REF!</definedName>
    <definedName name="SPS_COS" localSheetId="2">#REF!</definedName>
    <definedName name="SPS_COS" localSheetId="3">#REF!</definedName>
    <definedName name="SPS_COS" localSheetId="6">#REF!</definedName>
    <definedName name="SPS_COS" localSheetId="8">#REF!</definedName>
    <definedName name="SPS_COS" localSheetId="12">#REF!</definedName>
    <definedName name="SPS_COS" localSheetId="9">#REF!</definedName>
    <definedName name="SPS_COS" localSheetId="13">#REF!</definedName>
    <definedName name="SPS_COS" localSheetId="22">#REF!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[62]List!$A$2:$A$53</definedName>
    <definedName name="statsrevised" hidden="1">{#N/A,#N/A,FALSE,"O&amp;M by processes";#N/A,#N/A,FALSE,"Elec Act vs Bud";#N/A,#N/A,FALSE,"G&amp;A";#N/A,#N/A,FALSE,"BGS";#N/A,#N/A,FALSE,"Res Cost"}</definedName>
    <definedName name="STILL1040">'[63]Addt''l 1040 Exclusions'!$A$5:$U$44</definedName>
    <definedName name="store_cap">'[22]Input Page'!$E$9</definedName>
    <definedName name="store_total">'[22]Input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'[25]Keystone Swap Amort Sched'!$A$1:$F$241</definedName>
    <definedName name="T">'[26]Attachment 15 - Income Taxes'!$E$14</definedName>
    <definedName name="Tacx_Factor">[25]Assumptions!$E$52</definedName>
    <definedName name="tax_base_on_inc">'[22]Input Page'!$E$14</definedName>
    <definedName name="tax_basis">'[22]Input Page'!$E$18</definedName>
    <definedName name="Taxrate">'[64]Case study '!$C$28</definedName>
    <definedName name="tblCharts">'[2]Macro Tables'!$I$5:$I$16</definedName>
    <definedName name="tblHelp">'[2]Macro Tables'!$N$5:$N$16</definedName>
    <definedName name="tblReports">'[2]Macro Tables'!$B$5:$B$16</definedName>
    <definedName name="tblWorksheets">'[2]Macro Tables'!$E$5:$E$16</definedName>
    <definedName name="TDRXS">'[13]C. Input'!$F$234</definedName>
    <definedName name="TDX">'[13]C. Input'!$F$304</definedName>
    <definedName name="TE">'[26]Attachment H-4A JCP&amp;L '!#REF!</definedName>
    <definedName name="TEQ">'[13]C.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'[26]Attachment 15 - Income Taxes'!$E$18</definedName>
    <definedName name="thousand">1000</definedName>
    <definedName name="Time" hidden="1">"b1"</definedName>
    <definedName name="TKW">'[13]C. Input'!$F$330</definedName>
    <definedName name="TL">'[13]C. Input'!$F$178</definedName>
    <definedName name="TLR_TST">'[13]A.2 PTP'!$P$91</definedName>
    <definedName name="Toggle" localSheetId="16">Projection</definedName>
    <definedName name="Toggle">Projection</definedName>
    <definedName name="Toggle.list" localSheetId="16">'[17]Appendix A'!$P$5:$P$6</definedName>
    <definedName name="Toggle.list">'[18]Appendix A'!$P$5:$P$6</definedName>
    <definedName name="TOM">'[13]C.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'[22]Input Page'!$E$12</definedName>
    <definedName name="TOTAL_COLUMBIANA" localSheetId="2">#REF!</definedName>
    <definedName name="TOTAL_COLUMBIANA" localSheetId="3">#REF!</definedName>
    <definedName name="TOTAL_COLUMBIANA" localSheetId="8">#REF!</definedName>
    <definedName name="TOTAL_COLUMBIANA" localSheetId="12">#REF!</definedName>
    <definedName name="TOTAL_COLUMBIANA" localSheetId="9">#REF!</definedName>
    <definedName name="TOTAL_COLUMBIANA" localSheetId="13">#REF!</definedName>
    <definedName name="TOTAL_COLUMBIANA" localSheetId="22">#REF!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12">#REF!</definedName>
    <definedName name="Total_Grove_City" localSheetId="9">#REF!</definedName>
    <definedName name="Total_Grove_City" localSheetId="13">#REF!</definedName>
    <definedName name="Total_Grove_City" localSheetId="22">#REF!</definedName>
    <definedName name="Total_Grove_City">#REF!</definedName>
    <definedName name="TOTAL_HUDSON" localSheetId="2">#REF!</definedName>
    <definedName name="TOTAL_HUDSON" localSheetId="3">#REF!</definedName>
    <definedName name="TOTAL_HUDSON" localSheetId="8">#REF!</definedName>
    <definedName name="TOTAL_HUDSON" localSheetId="12">#REF!</definedName>
    <definedName name="TOTAL_HUDSON" localSheetId="9">#REF!</definedName>
    <definedName name="TOTAL_HUDSON" localSheetId="13">#REF!</definedName>
    <definedName name="TOTAL_HUDSON" localSheetId="22">#REF!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12">#REF!</definedName>
    <definedName name="TOTAL_MONTPELIER" localSheetId="9">#REF!</definedName>
    <definedName name="TOTAL_MONTPELIER" localSheetId="13">#REF!</definedName>
    <definedName name="TOTAL_MONTPELIER" localSheetId="22">#REF!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12">#REF!</definedName>
    <definedName name="TOTAL_WOODVILLE" localSheetId="9">#REF!</definedName>
    <definedName name="TOTAL_WOODVILLE" localSheetId="13">#REF!</definedName>
    <definedName name="TOTAL_WOODVILLE" localSheetId="22">#REF!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'[26]Attachment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'[13]C. Input'!$F$161</definedName>
    <definedName name="TPLTXS">'[13]C. Input'!$F$164</definedName>
    <definedName name="TPR_TST">'[13]A.2 PTP'!$P$75</definedName>
    <definedName name="transmission.fixed.charge.rate">0.1525</definedName>
    <definedName name="TRB">'[13]A.2 PTP'!$P$165</definedName>
    <definedName name="TREV">'[13]C. Input'!$F$287</definedName>
    <definedName name="True_up" localSheetId="16">'[17]Appendix A'!$P$6</definedName>
    <definedName name="True_up">'[18]Appendix A'!$P$6</definedName>
    <definedName name="tsgsf">"467GDHUY063FE1Q3S2Y9KSMQ8"</definedName>
    <definedName name="TX">'[13]A.2 PTP'!$P$31</definedName>
    <definedName name="TXO">'[13]C. Input'!$F$215</definedName>
    <definedName name="TXP_TST">'[13]A.2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'[13]C. Input'!$F$337</definedName>
    <definedName name="v">[65]Cover!$A$9</definedName>
    <definedName name="valDate">[30]Inputs!$B$1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[66]Cover!$A$9</definedName>
    <definedName name="WADSWORTH" localSheetId="2">#REF!</definedName>
    <definedName name="WADSWORTH" localSheetId="3">#REF!</definedName>
    <definedName name="WADSWORTH" localSheetId="8">#REF!</definedName>
    <definedName name="WADSWORTH" localSheetId="12">#REF!</definedName>
    <definedName name="WADSWORTH" localSheetId="9">#REF!</definedName>
    <definedName name="WADSWORTH" localSheetId="13">#REF!</definedName>
    <definedName name="WADSWORTH" localSheetId="22">#REF!</definedName>
    <definedName name="WADSWORTH">#REF!</definedName>
    <definedName name="WCCGCR2">[67]Rates!$B$96:$C$190</definedName>
    <definedName name="WCLTD">'[26]Attachment H-4A JCP&amp;L '!$I$202</definedName>
    <definedName name="we">{"'Metretek HTML'!$A$7:$W$42"}</definedName>
    <definedName name="WEEK">[36]A!$Q$59</definedName>
    <definedName name="WELLINGTON" localSheetId="2">#REF!</definedName>
    <definedName name="WELLINGTON" localSheetId="3">#REF!</definedName>
    <definedName name="WELLINGTON" localSheetId="8">#REF!</definedName>
    <definedName name="WELLINGTON" localSheetId="12">#REF!</definedName>
    <definedName name="WELLINGTON" localSheetId="9">#REF!</definedName>
    <definedName name="WELLINGTON" localSheetId="13">#REF!</definedName>
    <definedName name="WELLINGTON" localSheetId="22">#REF!</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'[13]A.2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'[68]WO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localSheetId="16" hidden="1">{#N/A,#N/A,FALSE,"Cover";#N/A,#N/A,FALSE,"Lead Sheet";#N/A,#N/A,FALSE,"T-Accounts";#N/A,#N/A,FALSE,"Ins &amp; Prem ActualEstimates"}</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localSheetId="16"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localSheetId="1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16"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localSheetId="16"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a">{"'Metretek HTML'!$A$7:$W$42"}</definedName>
    <definedName name="Xcel" localSheetId="2">'[69]Data Entry and Forecaster'!#REF!</definedName>
    <definedName name="Xcel" localSheetId="3">'[69]Data Entry and Forecaster'!#REF!</definedName>
    <definedName name="Xcel" localSheetId="5">'[69]Data Entry and Forecaster'!#REF!</definedName>
    <definedName name="Xcel" localSheetId="6">'[70]Data Entry and Forecaster'!#REF!</definedName>
    <definedName name="Xcel" localSheetId="7">'[69]Data Entry and Forecaster'!#REF!</definedName>
    <definedName name="Xcel" localSheetId="8">'[69]Data Entry and Forecaster'!#REF!</definedName>
    <definedName name="Xcel" localSheetId="12">'[69]Data Entry and Forecaster'!#REF!</definedName>
    <definedName name="Xcel" localSheetId="9">'[69]Data Entry and Forecaster'!#REF!</definedName>
    <definedName name="Xcel" localSheetId="13">'[69]Data Entry and Forecaster'!#REF!</definedName>
    <definedName name="Xcel" localSheetId="15">'[69]Data Entry and Forecaster'!#REF!</definedName>
    <definedName name="Xcel" localSheetId="18">'[69]Data Entry and Forecaster'!#REF!</definedName>
    <definedName name="Xcel" localSheetId="19">'[69]Data Entry and Forecaster'!#REF!</definedName>
    <definedName name="Xcel" localSheetId="20">'[69]Data Entry and Forecaster'!#REF!</definedName>
    <definedName name="Xcel" localSheetId="21">'[69]Data Entry and Forecaster'!#REF!</definedName>
    <definedName name="Xcel" localSheetId="22">'[69]Data Entry and Forecaster'!#REF!</definedName>
    <definedName name="Xcel">'[69]Data Entry and Forecaster'!#REF!</definedName>
    <definedName name="Xcel_COS" localSheetId="2">#REF!</definedName>
    <definedName name="Xcel_COS" localSheetId="3">#REF!</definedName>
    <definedName name="Xcel_COS" localSheetId="6">#REF!</definedName>
    <definedName name="Xcel_COS" localSheetId="8">#REF!</definedName>
    <definedName name="Xcel_COS" localSheetId="12">#REF!</definedName>
    <definedName name="Xcel_COS" localSheetId="9">#REF!</definedName>
    <definedName name="Xcel_COS" localSheetId="13">#REF!</definedName>
    <definedName name="Xcel_COS" localSheetId="22">#REF!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[71]INPUTS!$C$17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2" hidden="1">'Appendix B-Veg'!#REF!</definedName>
    <definedName name="Z_28948E05_8F34_4F1E_96FB_A80A6A844600_.wvu.Cols" localSheetId="3" hidden="1">'Appendix C-RRCA'!#REF!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Cols" localSheetId="8" hidden="1">'Appendix F-MTEP Debit'!#REF!</definedName>
    <definedName name="Z_28948E05_8F34_4F1E_96FB_A80A6A844600_.wvu.PrintTitles" localSheetId="2" hidden="1">'Appendix B-Veg'!#REF!</definedName>
    <definedName name="Z_28948E05_8F34_4F1E_96FB_A80A6A844600_.wvu.PrintTitles" localSheetId="3" hidden="1">'Appendix C-RRCA'!#REF!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28948E05_8F34_4F1E_96FB_A80A6A844600_.wvu.PrintTitles" localSheetId="8" hidden="1">'Appendix F-MTEP Debit'!#REF!</definedName>
    <definedName name="Z_3A38DF7A_C35E_4DD3_9893_26310A3EF836_.wvu.Cols" localSheetId="2" hidden="1">'Appendix B-Veg'!#REF!</definedName>
    <definedName name="Z_3A38DF7A_C35E_4DD3_9893_26310A3EF836_.wvu.Cols" localSheetId="3" hidden="1">'Appendix C-RRCA'!#REF!</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Cols" localSheetId="8" hidden="1">'Appendix F-MTEP Debit'!#REF!</definedName>
    <definedName name="Z_3A38DF7A_C35E_4DD3_9893_26310A3EF836_.wvu.PrintTitles" localSheetId="2" hidden="1">'Appendix B-Veg'!#REF!</definedName>
    <definedName name="Z_3A38DF7A_C35E_4DD3_9893_26310A3EF836_.wvu.PrintTitles" localSheetId="3" hidden="1">'Appendix C-RRCA'!#REF!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3A38DF7A_C35E_4DD3_9893_26310A3EF836_.wvu.PrintTitles" localSheetId="8" hidden="1">'Appendix F-MTEP Debit'!#REF!</definedName>
    <definedName name="Z_4C7C2344_134C_465A_ADEB_A5E96AAE2308_.wvu.Cols" localSheetId="2" hidden="1">'Appendix B-Veg'!#REF!</definedName>
    <definedName name="Z_4C7C2344_134C_465A_ADEB_A5E96AAE2308_.wvu.Cols" localSheetId="3" hidden="1">'Appendix C-RRCA'!#REF!</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Cols" localSheetId="8" hidden="1">'Appendix F-MTEP Debit'!#REF!</definedName>
    <definedName name="Z_4C7C2344_134C_465A_ADEB_A5E96AAE2308_.wvu.PrintTitles" localSheetId="2" hidden="1">'Appendix B-Veg'!#REF!</definedName>
    <definedName name="Z_4C7C2344_134C_465A_ADEB_A5E96AAE2308_.wvu.PrintTitles" localSheetId="3" hidden="1">'Appendix C-RRCA'!#REF!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4C7C2344_134C_465A_ADEB_A5E96AAE2308_.wvu.PrintTitles" localSheetId="8" hidden="1">'Appendix F-MTEP Debit'!#REF!</definedName>
    <definedName name="Z_71B42B22_A376_44B5_B0C1_23FC1AA3DBA2_.wvu.Cols" localSheetId="2" hidden="1">'Appendix B-Veg'!#REF!</definedName>
    <definedName name="Z_71B42B22_A376_44B5_B0C1_23FC1AA3DBA2_.wvu.Cols" localSheetId="3" hidden="1">'Appendix C-RRCA'!#REF!</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Cols" localSheetId="8" hidden="1">'Appendix F-MTEP Debit'!#REF!</definedName>
    <definedName name="Z_71B42B22_A376_44B5_B0C1_23FC1AA3DBA2_.wvu.PrintTitles" localSheetId="2" hidden="1">'Appendix B-Veg'!#REF!</definedName>
    <definedName name="Z_71B42B22_A376_44B5_B0C1_23FC1AA3DBA2_.wvu.PrintTitles" localSheetId="3" hidden="1">'Appendix C-RRCA'!#REF!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71B42B22_A376_44B5_B0C1_23FC1AA3DBA2_.wvu.PrintTitles" localSheetId="8" hidden="1">'Appendix F-MTEP Debit'!#REF!</definedName>
    <definedName name="Z_DA967730_B71F_4038_B1B7_9D4790729C5D_.wvu.Cols" localSheetId="2" hidden="1">'Appendix B-Veg'!#REF!</definedName>
    <definedName name="Z_DA967730_B71F_4038_B1B7_9D4790729C5D_.wvu.Cols" localSheetId="3" hidden="1">'Appendix C-RRCA'!#REF!</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Cols" localSheetId="8" hidden="1">'Appendix F-MTEP Debit'!#REF!</definedName>
    <definedName name="Z_DA967730_B71F_4038_B1B7_9D4790729C5D_.wvu.PrintTitles" localSheetId="2" hidden="1">'Appendix B-Veg'!#REF!</definedName>
    <definedName name="Z_DA967730_B71F_4038_B1B7_9D4790729C5D_.wvu.PrintTitles" localSheetId="3" hidden="1">'Appendix C-RRCA'!#REF!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A967730_B71F_4038_B1B7_9D4790729C5D_.wvu.PrintTitles" localSheetId="8" hidden="1">'Appendix F-MTEP Debit'!#REF!</definedName>
    <definedName name="Z_DC91DEF3_837B_4BB9_A81E_3B78C5914E6C_.wvu.Cols" localSheetId="2" hidden="1">'Appendix B-Veg'!#REF!</definedName>
    <definedName name="Z_DC91DEF3_837B_4BB9_A81E_3B78C5914E6C_.wvu.Cols" localSheetId="3" hidden="1">'Appendix C-RRCA'!#REF!</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Cols" localSheetId="8" hidden="1">'Appendix F-MTEP Debit'!#REF!</definedName>
    <definedName name="Z_DC91DEF3_837B_4BB9_A81E_3B78C5914E6C_.wvu.PrintTitles" localSheetId="2" hidden="1">'Appendix B-Veg'!#REF!</definedName>
    <definedName name="Z_DC91DEF3_837B_4BB9_A81E_3B78C5914E6C_.wvu.PrintTitles" localSheetId="3" hidden="1">'Appendix C-RRCA'!#REF!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DC91DEF3_837B_4BB9_A81E_3B78C5914E6C_.wvu.PrintTitles" localSheetId="8" hidden="1">'Appendix F-MTEP Debit'!#REF!</definedName>
    <definedName name="Z_E1861F40_EBD5_44AE_868B_FDE0ED504D72_.wvu.PrintArea" localSheetId="1" hidden="1">'Appendix A-ATSI Sched 1A'!$B$1:$I$18</definedName>
    <definedName name="Z_E1861F40_EBD5_44AE_868B_FDE0ED504D72_.wvu.PrintArea" localSheetId="2" hidden="1">'Appendix B-Veg'!$K$1:$K$24</definedName>
    <definedName name="Z_E1861F40_EBD5_44AE_868B_FDE0ED504D72_.wvu.PrintArea" localSheetId="3" hidden="1">'Appendix C-RRCA'!$K$1:$K$24</definedName>
    <definedName name="Z_E1861F40_EBD5_44AE_868B_FDE0ED504D72_.wvu.PrintArea" localSheetId="4" hidden="1">'Appendix D-TEC'!$A$1:$O$83</definedName>
    <definedName name="Z_E1861F40_EBD5_44AE_868B_FDE0ED504D72_.wvu.PrintArea" localSheetId="5" hidden="1">'Appendix D-True-up'!$A$1:$L$45</definedName>
    <definedName name="Z_E1861F40_EBD5_44AE_868B_FDE0ED504D72_.wvu.PrintArea" localSheetId="6" hidden="1">'Appendix E-MTEP Credit'!$A$1:$P$101</definedName>
    <definedName name="Z_E1861F40_EBD5_44AE_868B_FDE0ED504D72_.wvu.PrintArea" localSheetId="7" hidden="1">'Appendix E-True-up'!$A$1:$L$42</definedName>
    <definedName name="Z_E1861F40_EBD5_44AE_868B_FDE0ED504D72_.wvu.PrintArea" localSheetId="8" hidden="1">'Appendix F-MTEP Debit'!$K$1:$K$24</definedName>
    <definedName name="Z_E1861F40_EBD5_44AE_868B_FDE0ED504D72_.wvu.PrintArea" localSheetId="0" hidden="1">'Attachment H-21-A ATSI '!$A$1:$K$323</definedName>
    <definedName name="Z_E1861F40_EBD5_44AE_868B_FDE0ED504D72_.wvu.PrintTitles" localSheetId="2" hidden="1">'Appendix B-Veg'!#REF!</definedName>
    <definedName name="Z_E1861F40_EBD5_44AE_868B_FDE0ED504D72_.wvu.PrintTitles" localSheetId="3" hidden="1">'Appendix C-RRCA'!#REF!</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E1861F40_EBD5_44AE_868B_FDE0ED504D72_.wvu.PrintTitles" localSheetId="8" hidden="1">'Appendix F-MTEP Debit'!#REF!</definedName>
    <definedName name="Z_F96D6087_3330_4A81_95EC_26BA83722A49_.wvu.Cols" localSheetId="2" hidden="1">'Appendix B-Veg'!#REF!</definedName>
    <definedName name="Z_F96D6087_3330_4A81_95EC_26BA83722A49_.wvu.Cols" localSheetId="3" hidden="1">'Appendix C-RRCA'!#REF!</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Cols" localSheetId="8" hidden="1">'Appendix F-MTEP Debit'!#REF!</definedName>
    <definedName name="Z_F96D6087_3330_4A81_95EC_26BA83722A49_.wvu.PrintTitles" localSheetId="2" hidden="1">'Appendix B-Veg'!#REF!</definedName>
    <definedName name="Z_F96D6087_3330_4A81_95EC_26BA83722A49_.wvu.PrintTitles" localSheetId="3" hidden="1">'Appendix C-RRCA'!#REF!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96D6087_3330_4A81_95EC_26BA83722A49_.wvu.PrintTitles" localSheetId="8" hidden="1">'Appendix F-MTEP Debit'!#REF!</definedName>
    <definedName name="Z_FAAD9AAC_1337_43AB_BF1F_CCF9DFCF5B78_.wvu.Cols" localSheetId="2" hidden="1">'Appendix B-Veg'!#REF!</definedName>
    <definedName name="Z_FAAD9AAC_1337_43AB_BF1F_CCF9DFCF5B78_.wvu.Cols" localSheetId="3" hidden="1">'Appendix C-RRCA'!#REF!</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Cols" localSheetId="8" hidden="1">'Appendix F-MTEP Debit'!#REF!</definedName>
    <definedName name="Z_FAAD9AAC_1337_43AB_BF1F_CCF9DFCF5B78_.wvu.PrintTitles" localSheetId="2" hidden="1">'Appendix B-Veg'!#REF!</definedName>
    <definedName name="Z_FAAD9AAC_1337_43AB_BF1F_CCF9DFCF5B78_.wvu.PrintTitles" localSheetId="3" hidden="1">'Appendix C-RRCA'!#REF!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 name="Z_FAAD9AAC_1337_43AB_BF1F_CCF9DFCF5B78_.wvu.PrintTitles" localSheetId="8" hidden="1">'Appendix F-MTEP Debit'!#REF!</definedName>
    <definedName name="zero">0</definedName>
    <definedName name="Zone_Inputs">'[45]Attachment O'!$I$19,'[45]Attachment O'!$I$24,'[45]Attachment O'!$D$36:$D$37,'[45]Attachment O'!$D$82:$D$86,'[45]Attachment O'!$D$90:$D$94,'[45]Attachment O'!$D$106:$D$112,'[45]Attachment O'!$D$116,'[45]Attachment O'!$D$120:$D$121,'[45]Attachment O'!$D$139:$D$146,'[45]Attachment O'!$D$150:$D$154,'[45]Attachment O'!$D$159:$D$160,'[45]Attachment O'!$D$162:$D$165,'[45]Attachment O'!$D$174,'[45]Attachment O'!$D$174,'[45]Attachment O'!$D$178,'[45]Attachment O'!$I$188,'[45]Attachment O'!$D$188,'[45]Attachment O'!$D$192,'[45]Attachment O'!$I$192,'[45]Attachment O'!$I$207:$I$208,'[45]Attachment O'!$D$214:$D$217,'[45]Attachment O'!$D$221:$D$223,'[45]Attachment O'!$I$227,'[45]Attachment O'!$I$229,'[45]Attachment O'!$I$232,'[45]Attachment O'!$D$238:$D$239,'[45]Attachment O'!$I$243,'[45]Attachment O'!$I$246:$I$249,'[45]Attachment O'!$D$280:$D$282</definedName>
  </definedNames>
  <calcPr calcId="191029"/>
  <customWorkbookViews>
    <customWorkbookView name="Schock, Michael C - Personal View" guid="{e1861f40-ebd5-44ae-868b-fde0ed504d72}" activeSheetId="1" xWindow="0" yWindow="-8" windowWidth="1696" windowHeight="1026" mergeInterval="0" personalView="1" maximized="1" tabRatio="92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9" i="1" l="1"/>
</calcChain>
</file>

<file path=xl/sharedStrings.xml><?xml version="1.0" encoding="utf-8"?>
<sst xmlns="http://schemas.openxmlformats.org/spreadsheetml/2006/main" count="2685" uniqueCount="1169">
  <si>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</si>
  <si>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</si>
  <si>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</si>
  <si>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</si>
  <si>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</si>
  <si>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</si>
  <si>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</si>
  <si>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</si>
  <si>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</si>
  <si>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</si>
  <si>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</si>
  <si>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</si>
  <si>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</si>
  <si>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</si>
  <si>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</si>
  <si>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</si>
  <si>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</si>
  <si>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</si>
  <si>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</si>
  <si>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</si>
  <si>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</si>
  <si>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</si>
  <si>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</si>
  <si>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</si>
  <si>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</si>
  <si>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</si>
  <si>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</si>
  <si>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</si>
  <si>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</si>
  <si>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</si>
  <si>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</si>
  <si>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</si>
  <si>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</si>
  <si>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</si>
  <si>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</si>
  <si>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</si>
  <si>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</si>
  <si>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</si>
  <si>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</si>
  <si>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</si>
  <si>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</si>
  <si>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</si>
  <si>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</si>
  <si>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</si>
  <si>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</si>
  <si>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</si>
  <si>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</si>
  <si>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</si>
  <si>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</si>
  <si>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</si>
  <si>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</si>
  <si>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</si>
  <si>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</si>
  <si>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</si>
  <si>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</si>
  <si>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</si>
  <si>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</si>
  <si>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</si>
  <si>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</si>
  <si>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</si>
  <si>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</si>
  <si>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</si>
  <si>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</si>
  <si>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</si>
  <si>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</si>
  <si>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</si>
  <si>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</si>
  <si>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</si>
  <si>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</si>
  <si>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</si>
  <si>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</si>
  <si>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</si>
  <si>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</si>
  <si>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</si>
  <si>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</si>
  <si>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</si>
  <si>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</si>
  <si>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</si>
  <si>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</si>
  <si>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</si>
  <si>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</si>
  <si>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</si>
  <si>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</si>
  <si>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</si>
  <si>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</si>
  <si>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</si>
  <si>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</si>
  <si>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</si>
  <si>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</si>
  <si>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</si>
  <si>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</si>
  <si>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</si>
  <si>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</si>
  <si>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</si>
  <si>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</si>
  <si>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</si>
  <si>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</si>
  <si>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</si>
  <si>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</si>
  <si>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</si>
  <si>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</si>
  <si>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</si>
  <si>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</si>
  <si>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</si>
  <si>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</si>
  <si>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</si>
  <si>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</si>
  <si>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</si>
  <si>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</si>
  <si>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</si>
  <si>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</si>
  <si>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</si>
  <si>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</si>
  <si>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</si>
  <si>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</si>
  <si>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</si>
  <si>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</si>
  <si>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</si>
  <si>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</si>
  <si>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</si>
  <si>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</si>
  <si>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</si>
  <si>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</si>
  <si>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</si>
  <si>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</si>
  <si>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</si>
  <si>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</si>
  <si>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</si>
  <si>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</si>
  <si>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</si>
  <si>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</si>
  <si>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</si>
  <si>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</si>
  <si>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</si>
  <si>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</si>
  <si>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</si>
  <si>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</si>
  <si>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</si>
  <si>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</si>
  <si>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</si>
  <si>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</si>
  <si>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</si>
  <si>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</si>
  <si>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</si>
  <si>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</si>
  <si>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</si>
  <si>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</si>
  <si>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</si>
  <si>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</si>
  <si>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</si>
  <si>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</si>
  <si>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</si>
  <si>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</si>
  <si>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</si>
  <si>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</si>
  <si>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</si>
  <si>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</si>
  <si>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</si>
  <si>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</si>
  <si>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</si>
  <si>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</si>
  <si>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</si>
  <si>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</si>
  <si>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</si>
  <si>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</si>
  <si>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</si>
  <si>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</si>
  <si>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</si>
  <si>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</si>
  <si>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</si>
  <si>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</si>
  <si>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</si>
  <si>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</si>
  <si>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</si>
  <si>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</si>
  <si>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</si>
  <si>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</si>
  <si>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</si>
  <si>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</si>
  <si>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</si>
  <si>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</si>
  <si>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</si>
  <si>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</si>
  <si>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</si>
  <si>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</si>
  <si>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</si>
  <si>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</si>
  <si>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</si>
  <si>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</si>
  <si>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</si>
  <si>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</si>
  <si>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</si>
  <si>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</si>
  <si>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</si>
  <si>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</si>
  <si>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</si>
  <si>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</si>
  <si>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</si>
  <si>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</si>
  <si>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</si>
  <si>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</si>
  <si>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</si>
  <si>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</si>
  <si>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</si>
  <si>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</si>
  <si>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</si>
  <si>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</si>
  <si>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</si>
  <si>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</si>
  <si>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</si>
  <si>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</si>
  <si>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</si>
  <si>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</si>
  <si>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</si>
  <si>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</si>
  <si>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</si>
  <si>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</si>
  <si>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</si>
  <si>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</si>
  <si>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</si>
  <si>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</si>
  <si>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</si>
  <si>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</si>
  <si>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</si>
  <si>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</si>
  <si>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</si>
  <si>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</si>
  <si>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</si>
  <si>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</si>
  <si>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</si>
  <si>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</si>
  <si>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</si>
  <si>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</si>
  <si>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</si>
  <si>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</si>
  <si>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</si>
  <si>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</si>
  <si>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</si>
  <si>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</si>
  <si>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</si>
  <si>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</si>
  <si>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</si>
  <si>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</si>
  <si>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</si>
  <si>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</si>
  <si>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</si>
  <si>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</si>
  <si>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</si>
  <si>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</si>
  <si>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</si>
  <si>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</si>
  <si>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</si>
  <si>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</si>
  <si>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</si>
  <si>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</si>
  <si>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</si>
  <si>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</si>
  <si>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</si>
  <si>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</si>
  <si>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</si>
  <si>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</si>
  <si>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</si>
  <si>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</si>
  <si>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</si>
  <si>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</si>
  <si>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</si>
  <si>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</si>
  <si>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</si>
  <si>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</si>
  <si>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</si>
  <si>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</si>
  <si>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</si>
  <si>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</si>
  <si>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</si>
  <si>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</si>
  <si>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</si>
  <si>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</si>
  <si>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</si>
  <si>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</si>
  <si>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</si>
  <si>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</si>
  <si>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</si>
  <si>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</si>
  <si>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</si>
  <si>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</si>
  <si>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</si>
  <si>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</si>
  <si>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</si>
  <si>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</si>
  <si>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</si>
  <si>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</si>
  <si>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</si>
  <si>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</si>
  <si>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</si>
  <si>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</si>
  <si>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</si>
  <si>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</si>
  <si>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</si>
  <si>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</si>
  <si>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</si>
  <si>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</si>
  <si>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</si>
  <si>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</si>
  <si>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</si>
  <si>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</si>
  <si>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</si>
  <si>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</si>
  <si>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</si>
  <si>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</si>
  <si>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</si>
  <si>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</si>
  <si>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</si>
  <si>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</si>
  <si>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</si>
  <si>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</si>
  <si>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</si>
  <si>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</si>
  <si>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</si>
  <si>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</si>
  <si>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</si>
  <si>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</si>
  <si>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</si>
  <si>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</si>
  <si>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</si>
  <si>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</si>
  <si>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</si>
  <si>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</si>
  <si>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</si>
  <si>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</si>
  <si>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</si>
  <si>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</si>
  <si>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</si>
  <si>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</si>
  <si>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</si>
  <si>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</si>
  <si>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</si>
  <si>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</si>
  <si>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</si>
  <si>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</si>
  <si>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</si>
  <si>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</si>
  <si>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</si>
  <si>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</si>
  <si>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</si>
  <si>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</si>
  <si>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</si>
  <si>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</si>
  <si>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</si>
  <si>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</si>
  <si>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</si>
  <si>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17</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</si>
  <si>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</si>
  <si>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</si>
  <si>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</si>
  <si>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</si>
  <si>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</si>
  <si>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</si>
  <si>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</si>
  <si>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</si>
  <si>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</si>
  <si>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</si>
  <si>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</si>
  <si>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</si>
  <si>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</si>
  <si>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</si>
  <si>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</si>
  <si>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</si>
  <si>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</si>
  <si>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</si>
  <si>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</si>
  <si>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</si>
  <si>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</si>
  <si>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</si>
  <si>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</si>
  <si>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</si>
  <si>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</si>
  <si>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</si>
  <si>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</si>
  <si>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</si>
  <si>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</si>
  <si>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</si>
  <si>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</si>
  <si>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</si>
  <si>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</si>
  <si>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</si>
  <si>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</si>
  <si>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</si>
  <si>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</si>
  <si>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</si>
  <si>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</si>
  <si>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</si>
  <si>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</si>
  <si>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</si>
  <si>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</si>
  <si>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</si>
  <si>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</si>
  <si>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</si>
  <si>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</si>
  <si>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</si>
  <si>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</si>
  <si>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</si>
  <si>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</si>
  <si>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</si>
  <si>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</si>
  <si>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</si>
  <si>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</si>
  <si>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</si>
  <si>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</si>
  <si>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</si>
  <si>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</si>
  <si>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</si>
  <si>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</si>
  <si>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</si>
  <si>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</si>
  <si>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</si>
  <si>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</si>
  <si>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</si>
  <si>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</si>
  <si>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</si>
  <si>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</si>
  <si>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</si>
  <si>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</si>
  <si>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</si>
  <si>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</si>
  <si>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</si>
  <si>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</si>
  <si>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</si>
  <si>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</si>
  <si>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</si>
  <si>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</si>
  <si>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</si>
  <si>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</si>
  <si>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</si>
  <si>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</si>
  <si>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 xml:space="preserve">True-up Year    </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</si>
  <si>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</si>
  <si>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</si>
  <si>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</si>
  <si>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</si>
  <si>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</si>
  <si>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</si>
  <si>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</si>
  <si>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</si>
  <si>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</si>
  <si>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</si>
  <si>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</si>
  <si>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</si>
  <si>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</si>
  <si>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</si>
  <si>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</si>
  <si>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</si>
  <si>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</si>
  <si>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</si>
  <si>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</si>
  <si>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</si>
  <si>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</si>
  <si>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</si>
  <si>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</si>
  <si>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</si>
  <si>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</si>
  <si>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</si>
  <si>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</si>
  <si>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</si>
  <si>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Attachment H-21A, Appendix H</t>
  </si>
  <si>
    <t>Attachment  H-21A, Appendix E True-up</t>
  </si>
  <si>
    <t>Average Monthly Interest Rate</t>
  </si>
  <si>
    <t>Months</t>
  </si>
  <si>
    <t>Calculated Interest</t>
  </si>
  <si>
    <t>Amortization</t>
  </si>
  <si>
    <t>Surcharge (Refund) Owed</t>
  </si>
  <si>
    <t>Calculation of Interest</t>
  </si>
  <si>
    <t>Monthly</t>
  </si>
  <si>
    <t>Annual</t>
  </si>
  <si>
    <t>January  through December</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</si>
  <si>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</si>
  <si>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</si>
  <si>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</si>
  <si>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</si>
  <si>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</si>
  <si>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</si>
  <si>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</si>
  <si>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</si>
  <si>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</si>
  <si>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</si>
  <si>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</si>
  <si>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</si>
  <si>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</si>
  <si>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</si>
  <si>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</si>
  <si>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</si>
  <si>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</si>
  <si>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</si>
  <si>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</si>
  <si>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</si>
  <si>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</si>
  <si>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</si>
  <si>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</si>
  <si>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</si>
  <si>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</si>
  <si>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</si>
  <si>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</si>
  <si>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</si>
  <si>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</si>
  <si>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</si>
  <si>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</si>
  <si>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</si>
  <si>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</si>
  <si>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</si>
  <si>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</si>
  <si>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</si>
  <si>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</si>
  <si>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</si>
  <si>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</si>
  <si>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</si>
  <si>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</si>
  <si>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</si>
  <si>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</si>
  <si>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</si>
  <si>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</si>
  <si>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</si>
  <si>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</si>
  <si>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</si>
  <si>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</si>
  <si>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</si>
  <si>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</si>
  <si>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</si>
  <si>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</si>
  <si>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</si>
  <si>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</si>
  <si>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</si>
  <si>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</si>
  <si>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</si>
  <si>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</si>
  <si>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</si>
  <si>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</si>
  <si>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</si>
  <si>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</si>
  <si>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</si>
  <si>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</si>
  <si>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</si>
  <si>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</si>
  <si>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</si>
  <si>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</si>
  <si>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</si>
  <si>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</si>
  <si>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</si>
  <si>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</si>
  <si>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</si>
  <si>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</si>
  <si>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</si>
  <si>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</si>
  <si>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</si>
  <si>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</si>
  <si>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</si>
  <si>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</si>
  <si>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</si>
  <si>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</si>
  <si>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</si>
  <si>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</si>
  <si>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</si>
  <si>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</si>
  <si>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</si>
  <si>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</si>
  <si>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</si>
  <si>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TOTAL WORKING CAPITAL  (sum lines 26 - 28c)</t>
  </si>
  <si>
    <t xml:space="preserve">  Total of line 31 less line 32</t>
  </si>
  <si>
    <t>Amount shown in Exhibit No. FE-100, Page 29 of 33, for Deferred Internal Integration Costs.</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</si>
  <si>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</si>
  <si>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</si>
  <si>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</si>
  <si>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</si>
  <si>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Col. g *
[(line 4a / line 4b) - 1]</t>
  </si>
  <si>
    <t>Applicable Interest on 
Under/(Over)</t>
  </si>
  <si>
    <t>True-up Adjustment with Interest
Under/(Over)</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</si>
  <si>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</si>
  <si>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</si>
  <si>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</si>
  <si>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</si>
  <si>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</si>
  <si>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</si>
  <si>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</si>
  <si>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</si>
  <si>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</si>
  <si>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</si>
  <si>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</si>
  <si>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</si>
  <si>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</si>
  <si>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</si>
  <si>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</si>
  <si>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</si>
  <si>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</si>
  <si>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</si>
  <si>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</si>
  <si>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</si>
  <si>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</si>
  <si>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</si>
  <si>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</si>
  <si>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Adjusted values for input to Attachment H-21A, Page 2, Lines 19-23</t>
  </si>
  <si>
    <t>(include AFUDC-</t>
  </si>
  <si>
    <t>related)</t>
  </si>
  <si>
    <t>FAS123R</t>
  </si>
  <si>
    <t>Monthly Balance</t>
  </si>
  <si>
    <t>Source</t>
  </si>
  <si>
    <t>Form No. 1 p232</t>
  </si>
  <si>
    <t>company records</t>
  </si>
  <si>
    <t>Months Remaining in Amortization Period</t>
  </si>
  <si>
    <t>Beginning Balance</t>
  </si>
  <si>
    <t>Amortization Expense</t>
  </si>
  <si>
    <t>Additions
(Deductions)</t>
  </si>
  <si>
    <t>Ending Balance</t>
  </si>
  <si>
    <t>RTO Realignment Cost Adjustment ("RRCA")</t>
  </si>
  <si>
    <t>[F]</t>
  </si>
  <si>
    <t>[G]</t>
  </si>
  <si>
    <t>[H]</t>
  </si>
  <si>
    <t>Legacy MTEP Debit Calculation</t>
  </si>
  <si>
    <t>Total =</t>
  </si>
  <si>
    <t>(sum lines 2-13)</t>
  </si>
  <si>
    <t>Form No. 1 p232 and company records</t>
  </si>
  <si>
    <t>EE</t>
  </si>
  <si>
    <t>Input to Attachment H-21A:</t>
  </si>
  <si>
    <t xml:space="preserve">  Amortization of Regulatory Asset</t>
  </si>
  <si>
    <t>Vegetation Management Regulatory Asset</t>
  </si>
  <si>
    <t>Income Tax Adjustments</t>
  </si>
  <si>
    <t>[1]</t>
  </si>
  <si>
    <t>[2]</t>
  </si>
  <si>
    <t>[3]</t>
  </si>
  <si>
    <t>[4]</t>
  </si>
  <si>
    <t>Amortized Excess Deferred Taxes (enter negative)</t>
  </si>
  <si>
    <t xml:space="preserve">Amortized Deficient Deferred Taxes </t>
  </si>
  <si>
    <t>Attachment  H-21A, Appendix G</t>
  </si>
  <si>
    <t>FF</t>
  </si>
  <si>
    <t>GG</t>
  </si>
  <si>
    <t>26a</t>
  </si>
  <si>
    <t>26b</t>
  </si>
  <si>
    <t>DA</t>
  </si>
  <si>
    <t>FERC Account 182.3</t>
  </si>
  <si>
    <t>Annual Revenue Requirement</t>
  </si>
  <si>
    <t>(Sum Col. 5, 8 &amp; 9)</t>
  </si>
  <si>
    <t>Tax Effect of Permanent Differences and AFUDC Equity (App G, line 1, col 5) (Note FF)</t>
  </si>
  <si>
    <t>(Sum Col. 5, 8, &amp; 9)</t>
  </si>
  <si>
    <t>The Midwest ISO will recover this amount in MTEP-related charges applicable to Midwest ISO zones.</t>
  </si>
  <si>
    <t>-</t>
  </si>
  <si>
    <t>from Att H-21A</t>
  </si>
  <si>
    <t>[5]</t>
  </si>
  <si>
    <t>and AFUDC Equity</t>
  </si>
  <si>
    <t>Permanent Differences &amp; AFUDC Equity</t>
  </si>
  <si>
    <t>(= prior month col [H])</t>
  </si>
  <si>
    <t>(= [E] / [D])</t>
  </si>
  <si>
    <t>(= Col. [3] * [4])</t>
  </si>
  <si>
    <t>Balance</t>
  </si>
  <si>
    <t>December 31,</t>
  </si>
  <si>
    <t>(= [E] - [F] + [G])</t>
  </si>
  <si>
    <t>COLUMN A</t>
  </si>
  <si>
    <t>COLUMN B</t>
  </si>
  <si>
    <t>COLUMN C</t>
  </si>
  <si>
    <t>COLUMN D</t>
  </si>
  <si>
    <t>COLUMN E</t>
  </si>
  <si>
    <t>COLUMN F</t>
  </si>
  <si>
    <t>COLUMN G</t>
  </si>
  <si>
    <t>COLUMN H</t>
  </si>
  <si>
    <t>Description</t>
  </si>
  <si>
    <t>Years Remaining at Year End</t>
  </si>
  <si>
    <t>Account 190</t>
  </si>
  <si>
    <t>Account 282</t>
  </si>
  <si>
    <t>Account 283</t>
  </si>
  <si>
    <t>3a</t>
  </si>
  <si>
    <t>Non-property gross up for Taxes</t>
  </si>
  <si>
    <t xml:space="preserve">Total Non-Property </t>
  </si>
  <si>
    <t>Property Book-Tax Timing Difference - Account 190</t>
  </si>
  <si>
    <t>ARAM</t>
  </si>
  <si>
    <t>Property Book-Tax Timing Difference - Account 282</t>
  </si>
  <si>
    <t>Property Book-Tax Timing Difference - Account 283</t>
  </si>
  <si>
    <t>In the event the Company populates the data enterable fields, it will support the data entered as just and reasonable in its annual update</t>
  </si>
  <si>
    <t>Protected Property &amp; Non-Protected Property:</t>
  </si>
  <si>
    <t>Protected Non-Property &amp; Non-Protected Non-Property will be directly assigned and presented in the table above</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</si>
  <si>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</si>
  <si>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Contribution</t>
  </si>
  <si>
    <t>In Aid of</t>
  </si>
  <si>
    <t>Construction</t>
  </si>
  <si>
    <t>Calculate using average of beginning and end of year balance.</t>
  </si>
  <si>
    <t>Appendices B, C, &amp; F, Line 14, Column F (Note EE)</t>
  </si>
  <si>
    <t>PJM will bill these amounts through Schedule 12 charges.</t>
  </si>
  <si>
    <t>Income Tax Adjustments Worksheet</t>
  </si>
  <si>
    <t>True-up Adjustment - Over (Under) Recovery</t>
  </si>
  <si>
    <t>Over (Under) Recovery Plus Interest</t>
  </si>
  <si>
    <t>Over (Under) Recovery Plus Interest Amortized and Recovered Over 12 Months</t>
  </si>
  <si>
    <t>Less Over (Under) Recovery</t>
  </si>
  <si>
    <t>n/a</t>
  </si>
  <si>
    <t>(Excess)/Deficient Deferred Income Taxes (App G, lines 2 &amp; 3, col 3) (Note GG)</t>
  </si>
  <si>
    <t>Amounts from lines 2 and 3 included on Attachment H-21A, page 3 of 5, line 26b.</t>
  </si>
  <si>
    <t>Amount from line 1 included on Attachment H-21A, page 3 of 5, line 26a.</t>
  </si>
  <si>
    <t xml:space="preserve">Property Gross up for Taxes </t>
  </si>
  <si>
    <t>Attachment H-21A, Appendix G (1)</t>
  </si>
  <si>
    <r>
      <t>TOTAL DEPRECIATION  (sum lines 9 - 11</t>
    </r>
    <r>
      <rPr>
        <sz val="12"/>
        <rFont val="Arial MT"/>
        <family val="1"/>
      </rPr>
      <t>)</t>
    </r>
  </si>
  <si>
    <t>Ending balance of year is the end of current year balance, as reflected on FERC Form No. 1, pages 232 (Account 182.3) and 278 (Account 254)</t>
  </si>
  <si>
    <t>Tax Effect, including</t>
  </si>
  <si>
    <t>Gross-up Tax Rate</t>
  </si>
  <si>
    <t>page 3 of 5, line 23</t>
  </si>
  <si>
    <t>Gross-up, Permanent Diff</t>
  </si>
  <si>
    <r>
      <t>Values from line 1</t>
    </r>
    <r>
      <rPr>
        <b/>
        <sz val="12"/>
        <color rgb="FFFF0000"/>
        <rFont val="Calibri"/>
        <family val="2"/>
        <scheme val="minor"/>
      </rPr>
      <t xml:space="preserve"> </t>
    </r>
    <r>
      <rPr>
        <b/>
        <sz val="12"/>
        <rFont val="Calibri"/>
        <family val="2"/>
        <scheme val="minor"/>
      </rPr>
      <t>adjusted per Notes.</t>
    </r>
  </si>
  <si>
    <t>Franchise Tax and Foreign Tax</t>
  </si>
  <si>
    <t>Federal Heavy Vehicle Use and Excise Tax</t>
  </si>
  <si>
    <t>The amortization periods shall be consistent with the following:</t>
  </si>
  <si>
    <t>ARAM, or directly assigned based on average remaining life of assets for property items not in PowerTax</t>
  </si>
  <si>
    <t>1d</t>
  </si>
  <si>
    <t>1e</t>
  </si>
  <si>
    <t>1f</t>
  </si>
  <si>
    <t>1g</t>
  </si>
  <si>
    <t>1h</t>
  </si>
  <si>
    <t>2d</t>
  </si>
  <si>
    <t>2e</t>
  </si>
  <si>
    <t>2f</t>
  </si>
  <si>
    <t>2g</t>
  </si>
  <si>
    <t>(11)</t>
  </si>
  <si>
    <t>(12)</t>
  </si>
  <si>
    <t>(Sum Col. 10 &amp; 11)
(Note F)</t>
  </si>
  <si>
    <t>Projected
Appendix D
p 2 of 2, col. 12</t>
  </si>
  <si>
    <t>Actual
Appendix D
p 2 of 2, col. 12</t>
  </si>
  <si>
    <t>Col. g + Col. H</t>
  </si>
  <si>
    <t>(13)</t>
  </si>
  <si>
    <t>(14)</t>
  </si>
  <si>
    <t>MISO Share is the value to be included as a credit in Attachment H-21A page 1, line 5a.</t>
  </si>
  <si>
    <t>MISO Share of Annual Revenue Requirement</t>
  </si>
  <si>
    <t>MISO Share of Annual Revenue Requirement
with True-up</t>
  </si>
  <si>
    <t>Col. 10*( 1-Col. 11)
(Note G)</t>
  </si>
  <si>
    <t>(Sum Col. 12 &amp; 13)
(Note H)</t>
  </si>
  <si>
    <t>Projected
Appendix E
p 2 of 2, col. 14</t>
  </si>
  <si>
    <t>Actual
Appendix E
p 2 of 2, col. 14</t>
  </si>
  <si>
    <t>page 3 of 5, line 6a</t>
  </si>
  <si>
    <r>
      <t>Legacy MTEP Credit (Appendix E, page 2, line 3, col. 12</t>
    </r>
    <r>
      <rPr>
        <sz val="12"/>
        <rFont val="Arial MT"/>
        <family val="1"/>
      </rPr>
      <t>)</t>
    </r>
  </si>
  <si>
    <r>
      <t>Transmission Enhancement Credit (Appendix D, page 2, line 2, col. 1</t>
    </r>
    <r>
      <rPr>
        <sz val="12"/>
        <rFont val="Arial MT"/>
        <family val="1"/>
      </rPr>
      <t>0)</t>
    </r>
  </si>
  <si>
    <t>(sum lines 25 through 26b)</t>
  </si>
  <si>
    <t xml:space="preserve">     CIT=(T/(1-T)) * (1-(WCLTD/R)) =</t>
  </si>
  <si>
    <t xml:space="preserve">Col. g + Col. h </t>
  </si>
  <si>
    <t>Beginning balance of year is the end of the prior year balance as reflected on FERC Form No. 1, pages 232 (Account 182.3) and 278 (Account 254)</t>
  </si>
  <si>
    <t>TOTAL O&amp;M  (sum lines 1, 3, 5a, 6, 6a, 7 less 1a, 2, 2a, 4, 5)</t>
  </si>
  <si>
    <t>AFUDC Equity</t>
  </si>
  <si>
    <t>These specific categories of permanent differences were approved in Docket No. ER20-1740-000. No other permanent differences may be included without specific Commission approval pursuant to FPA section 205 or 206.</t>
  </si>
  <si>
    <t>50% Disallowance for Meals and Entertainment</t>
  </si>
  <si>
    <t>Non-Deductible Parking</t>
  </si>
  <si>
    <t>Q1 Activity</t>
  </si>
  <si>
    <t>Q2 Activity</t>
  </si>
  <si>
    <t>Q3 Activity</t>
  </si>
  <si>
    <t>Q4 Activity</t>
  </si>
  <si>
    <t>Beginning 190 (including adjustments)</t>
  </si>
  <si>
    <t>Ending Q1</t>
  </si>
  <si>
    <t xml:space="preserve">Ending Q2 </t>
  </si>
  <si>
    <t xml:space="preserve">Ending Q3 </t>
  </si>
  <si>
    <t>Ending Q4</t>
  </si>
  <si>
    <t>Pro-rated Q1</t>
  </si>
  <si>
    <t>Pro-rated Q2</t>
  </si>
  <si>
    <t>Pro-rated Q3</t>
  </si>
  <si>
    <t>Pro-rated Q4</t>
  </si>
  <si>
    <t xml:space="preserve">Beginning 282 (including adjustments) </t>
  </si>
  <si>
    <t xml:space="preserve">Beginning 283 (Including adjustments) </t>
  </si>
  <si>
    <t>Page 1, B+D+F+H</t>
  </si>
  <si>
    <t>J-L</t>
  </si>
  <si>
    <t>M-N</t>
  </si>
  <si>
    <t>Line 7= J-N-O                               Lines 8-9= -J+N+O</t>
  </si>
  <si>
    <t>Account</t>
  </si>
  <si>
    <t xml:space="preserve">Estimated  Ending Balance (Before Adjustments) </t>
  </si>
  <si>
    <t xml:space="preserve">Projected Activity </t>
  </si>
  <si>
    <t>Prorated Ending Balance</t>
  </si>
  <si>
    <t>Prorated - Estimated End (Before Adjustments)</t>
  </si>
  <si>
    <t>Sum of end ADIT Adjustments</t>
  </si>
  <si>
    <t xml:space="preserve">Normalization </t>
  </si>
  <si>
    <t>Total Account 190</t>
  </si>
  <si>
    <t>Total Account 282</t>
  </si>
  <si>
    <t>Total Account 283</t>
  </si>
  <si>
    <t xml:space="preserve"> Notes:</t>
  </si>
  <si>
    <t>Page 1, Lines 2, 4, and 6 Column A+B+D+F+H</t>
  </si>
  <si>
    <t>Amount shall be only such portion of the value shown on line 113.48.c of the FERC Form No. 1 that, based on an analysis of company books, is determined to be attributable to Vacation Accruals and Employee Incentive Compensation.</t>
  </si>
  <si>
    <t>FERC Form 1 Totals</t>
  </si>
  <si>
    <t>December 31 Balance</t>
  </si>
  <si>
    <t>March Balance</t>
  </si>
  <si>
    <t>June Balance</t>
  </si>
  <si>
    <t>September 
Balance</t>
  </si>
  <si>
    <t>December Balance</t>
  </si>
  <si>
    <t xml:space="preserve">FERC Account No. 190 ADIT Adjustments </t>
  </si>
  <si>
    <t>Charitable Contribution Limit</t>
  </si>
  <si>
    <t>Contribution in Aid of Construction</t>
  </si>
  <si>
    <t>FERC Account No. 282</t>
  </si>
  <si>
    <t>FERC Account No. 190</t>
  </si>
  <si>
    <t>FERC Account No. 282 ADIT Adjustments</t>
  </si>
  <si>
    <t>Asset Impairment</t>
  </si>
  <si>
    <t>Extraordinary Property Losses</t>
  </si>
  <si>
    <t>FERC Account No. 283</t>
  </si>
  <si>
    <t>FERC Account No. 283 ADIT Adjustments</t>
  </si>
  <si>
    <t>Description (a)</t>
  </si>
  <si>
    <t xml:space="preserve">FERC Account No. 190 After Adjustments </t>
  </si>
  <si>
    <t xml:space="preserve">FERC Account No. 282 After Adjustments </t>
  </si>
  <si>
    <t xml:space="preserve">FERC Account No. 283 After Adjustments </t>
  </si>
  <si>
    <t>For purposes of the ADIT adjustment to rate base on Line 9, any specific prorated ADIT balance in Accounts 190, 282, and 283 will utilize a prorated year-end balance; any non-prorated balances will utilize a beginning/ending average balance.  The net balance of the components will be the adjustment to rate base on Line 9.</t>
  </si>
  <si>
    <t>Prorated balance</t>
  </si>
  <si>
    <t>Non-prorated balance</t>
  </si>
  <si>
    <t xml:space="preserve">Ending Prorated ADIT Balance Included in Formula Rate </t>
  </si>
  <si>
    <t>Total Prorated ADIT</t>
  </si>
  <si>
    <t>Prorated (a)</t>
  </si>
  <si>
    <t>Not Prorated (b)</t>
  </si>
  <si>
    <t>Columns [G] and [H] include non-prorated ADIT items.</t>
  </si>
  <si>
    <r>
      <t>TOTAL ADJUSTMENTS  (sum lines 19- 23</t>
    </r>
    <r>
      <rPr>
        <sz val="12"/>
        <rFont val="Arial MT"/>
        <family val="1"/>
      </rPr>
      <t>)</t>
    </r>
  </si>
  <si>
    <t>Columns [B], [C], [D], [E], and [F] include prorated ADIT items.  Only depreciation-related components are eligible for pro-rating, including, but not limited to, Net Operating Losses (NOLs).</t>
  </si>
  <si>
    <t>Regulatory Assets include Vegetation Management from Appendix B-Veg, RTO Realignment Cost Adjustments ("RRCA") from Appendix C-RRCA, and Legacy MTEP Debits from Appendix F-MTEP Debits. Each regulatory asset amortization period is 10 years beginning January 1, 2021; this amortization will be recorded in Account 407.3. These inputs are limited to the regulatory assets amounts and amortization periods approved in Docket No. ER20-1740-000; no other regulatory asset amounts may be included as inputs without specific Commission approval pursuant to FPA section 205 or 206.</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</si>
  <si>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These permanent differences are to include those approved in Docket No. ER20-1740-000 (specifically, the cost of income taxes on the Allowance for Other Funds Used During Construction, a 50% Disallowance for Meals and Entertainment, and Non-Deductible Parking); no other permanent differences may be included without specific Commission approval pursuant to FPA section 205 or 206.</t>
  </si>
  <si>
    <t>sum lines 1a through 1c</t>
  </si>
  <si>
    <t>Vegetation Management costs are limited to those approved for recovery in Docket No. ER20-1740-000 and no additional costs may be included without specific Commission approval pursuant to FPA section 205 or 206.</t>
  </si>
  <si>
    <t>RTO Realignment costs are limited to those approved for recovery in Docket No. ER20-1740-000 and no additional costs may be included without specific Commission approval pursuant to FPA section 205 or 206.</t>
  </si>
  <si>
    <t>Legacy MTEP costs are limited to those approved for recovery in Docket No. ER20-1740-000 and no additional costs may be included without specific Commission approval pursuant to FPA section 205 or 206.</t>
  </si>
  <si>
    <t>The cost of income taxes on the Allowance for Other Funds Used During Construction ("AFUDC Equity") component is the gross cumulative annual amount based upon tax records of capitalized AFUDC Equity embedded in the gross plant attributable to the transmission function.  The sources shall be PowerTax Report 216 for the current-year AFUDC Equity component and Provision Report 5100 for the current-year 50% Disallowance for Meals and Entertainment component and current-year Non-Deductible Parking component.  Column [3] balances are calculated by multiplying  these components by the tax rate on Attachment H-21A, page 3 of 5, line 21.</t>
  </si>
  <si>
    <t>Reference for December balances as reported in FERC Form 1.</t>
  </si>
  <si>
    <t>Normalization [G]</t>
  </si>
  <si>
    <t>Tax Expense (Benefit)</t>
  </si>
  <si>
    <t>Other Adjustments Including Gross-up True-ups</t>
  </si>
  <si>
    <t>Protected / Unprotected</t>
  </si>
  <si>
    <t>Non-Property Related Items:</t>
  </si>
  <si>
    <t>190 Accounts</t>
  </si>
  <si>
    <t>Unprotected</t>
  </si>
  <si>
    <t>Protected</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</si>
  <si>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</si>
  <si>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</si>
  <si>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</si>
  <si>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</si>
  <si>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</si>
  <si>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</si>
  <si>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</si>
  <si>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</si>
  <si>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</si>
  <si>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</si>
  <si>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Total Property Related Items:</t>
  </si>
  <si>
    <t>Total Property and Non-property Related Items:</t>
  </si>
  <si>
    <t>COLUMN I</t>
  </si>
  <si>
    <t>COLUMN J</t>
  </si>
  <si>
    <t>The tax rates utilized on Attachment H-21A for other gross-ups also will be utilized in the gross-up performed for amortized excess/deficient ADIT.</t>
  </si>
  <si>
    <t>Regulatory Asset (Account 182.3) or Regulatory Liability (Account 254)</t>
  </si>
  <si>
    <t>Liability</t>
  </si>
  <si>
    <t>COLUMN K</t>
  </si>
  <si>
    <t>Amortized to Account 410.1 or Account 411.1</t>
  </si>
  <si>
    <t>10a</t>
  </si>
  <si>
    <t>12a</t>
  </si>
  <si>
    <t>Protected, Unprotected</t>
  </si>
  <si>
    <t>COLUMN L</t>
  </si>
  <si>
    <t>page 3 of 3</t>
  </si>
  <si>
    <t>Attachment  H-21A, Appendix G(3)</t>
  </si>
  <si>
    <t>Attachment  H-21A, Appendix G(2)</t>
  </si>
  <si>
    <t>page 2 of 3</t>
  </si>
  <si>
    <t>page 1 of 3</t>
  </si>
  <si>
    <t>Included to demonstrate rate base neutrality. Ties back to FERC Form No. 1 page 232 (Account 182.3) plus page 278 (Account 254).</t>
  </si>
  <si>
    <t>21a</t>
  </si>
  <si>
    <t>22a</t>
  </si>
  <si>
    <t>20a</t>
  </si>
  <si>
    <t>24a</t>
  </si>
  <si>
    <t>29a</t>
  </si>
  <si>
    <t>31a</t>
  </si>
  <si>
    <t>Vintage (Note A)</t>
  </si>
  <si>
    <t>The amortization will occur through FERC income statement Accounts 410.1. and 411.1.</t>
  </si>
  <si>
    <t>Excess/deficient ADIT will be tracked separately for each federal or state tax rate change, to be identified by the appropriate vintage in column A.  ATSI will modify Appendix G(1) to add an additional page for each additional vintage without pursuing a Federal Power Act Section 205 filing.</t>
  </si>
  <si>
    <t>(Excess)/Deficient ADIT Transmission Remeasured Balance (= Col. G + Col. H + Col. I)</t>
  </si>
  <si>
    <t>FAS109 related to Excess/Deficient ADIT ("EDIT").  Sum of Accounts 282 and 283 less Account 190 will sum to Appendix G(1) total. Other FAS109 does not include EDIT.</t>
  </si>
  <si>
    <t>Reflects the end of vintage year balance, as reflected on FERC Form No. 1, pages 232 (Account 182.3) and 278 (Account 254).</t>
  </si>
  <si>
    <t>M Item</t>
  </si>
  <si>
    <t>Deferred Tax Asset (Liability) (Note B)</t>
  </si>
  <si>
    <t>ADIT Offset to P&amp;L (Note B)</t>
  </si>
  <si>
    <t>(Excess) Deficient Deferred Income Taxes (Notes B &amp; C)</t>
  </si>
  <si>
    <t>(Excess) Deficient Deferred Income Tax Activity post tax remeasurement</t>
  </si>
  <si>
    <t>ADIT Offset to Regulatory Asset (Liability) (= -(Col. E + Col F))</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</si>
  <si>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</si>
  <si>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On Line 36, enter revenues from RTO settlements that are associated with NITS and firm Point-to-Point Service for which the load is not included in the divisor to derive ATSI's zonal rates.  Exclude non-firm Point-to-Point revenues, and revenues related to MTEP and RTEP projects.</t>
  </si>
  <si>
    <t>Appendix G(3)</t>
  </si>
  <si>
    <t>(Excess)/Deficient ADIT Transmission - Beg Balance of Year
(Note C)</t>
  </si>
  <si>
    <t>Current Period Other Activity
(Note D)</t>
  </si>
  <si>
    <t>Amortization Period 
(Note E)</t>
  </si>
  <si>
    <t>Amortization
(Note F)</t>
  </si>
  <si>
    <t>(Excess)/Deficient ADIT Transmission - Ending Balance of Year (Note G)
(Col. D + Col. E) - Col. H</t>
  </si>
  <si>
    <t>Non-property (Note B):</t>
  </si>
  <si>
    <t>Property (Note B):</t>
  </si>
  <si>
    <t>(Excess)/Deficient ADIT Transmission - Ending Balance of Year (Note G)</t>
  </si>
  <si>
    <t>Deferral of Amortized Excess/Deficient ADITs  (Note H)</t>
  </si>
  <si>
    <r>
      <t>Upon enactment of changes in tax law, income tax rates</t>
    </r>
    <r>
      <rPr>
        <strike/>
        <sz val="12"/>
        <rFont val="Times New Roman"/>
        <family val="1"/>
      </rPr>
      <t xml:space="preserve"> </t>
    </r>
    <r>
      <rPr>
        <sz val="12"/>
        <rFont val="Times New Roman"/>
        <family val="1"/>
      </rPr>
      <t>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The balance located within Column 3, line 2 and line 3, is the net impact of excess deferred and deficient amortization.</t>
    </r>
  </si>
  <si>
    <t>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t>
  </si>
  <si>
    <t>ADIT Adjustment to Attachment H-21A [H]</t>
  </si>
  <si>
    <t>EDIT FAS109 [F]</t>
  </si>
  <si>
    <t>Other FAS109 [F]</t>
  </si>
  <si>
    <t>Normalization is sourced from WP03-A, page 1, column O.</t>
  </si>
  <si>
    <t>ADJUSTMENTS TO RATE BASE  (Note F &amp; HH)</t>
  </si>
  <si>
    <t xml:space="preserve">Pertaining to adjustments to rate base, 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  When determining rate base adjustments related to ADIT in Appendix G(3) ADIT, ATSI will, on a prospective basis only to become effective as of ATSI’s first PTRR following the effective date of the issuance of a Final Order approving the Settlement in Docket No. ER20-1740-000 without modification or condition unacceptable to the Settling Parties, only apply the pro-rating averaging methodology to ADIT components related to or resulting from book/tax depreciation differences including but not limited to Net Operating Losses.  ATSI will use the beginning/ending averaging methodology for all other non-depreciation related ADIT components.  Barring an order from the Commission under FPA Section 205 or 206 approving a different methodology for ATSI, ATSI will follow the foregoing methodology until or unless the IRS or FERC issues any future guidance specifically permitting a different averaging methodology (e.g. pro-rating) for non-depreciation related ADIT components.  If the IRS or FERC issues such guidance, ATSI may utilize such methodology without submitting an additional FPA section 205 filing and without additional changes to Appendix G(3) ADIT. </t>
  </si>
  <si>
    <t>HH</t>
  </si>
  <si>
    <t>The settlement filed in Docket No. ER20-1739-003 on October 18, 2022 specifies the calculation method for certain ADIT balances.</t>
  </si>
  <si>
    <t>New Mansfield 69kV Switching Station</t>
  </si>
  <si>
    <t>Re-conductor Galion-GM Mansfield-Ontario-Cairns</t>
  </si>
  <si>
    <t>New Toronto Substation looping in Sammis-Wylie Ridge</t>
  </si>
  <si>
    <t>West Fremont - Groton - Hayes 138 kV line</t>
  </si>
  <si>
    <t>McDowell-Campbell - Construct approximately 5.5 miles of 138 kV line</t>
  </si>
  <si>
    <t>McDowell Substation - Add a new 138 kV line exit</t>
  </si>
  <si>
    <t>Campbell Substation - Construct a 138 kV ring bus and install a 138/69 kV autotransformer</t>
  </si>
  <si>
    <t>Lallendorf-Monroe 345kV-Reconductor</t>
  </si>
  <si>
    <t>b1587</t>
  </si>
  <si>
    <t>b1920</t>
  </si>
  <si>
    <t>b1977</t>
  </si>
  <si>
    <t>b1959</t>
  </si>
  <si>
    <t>b2124.4</t>
  </si>
  <si>
    <t>b2124.1</t>
  </si>
  <si>
    <t>b2124.2</t>
  </si>
  <si>
    <t>b2972</t>
  </si>
  <si>
    <t>2h</t>
  </si>
  <si>
    <t>North Medina 345/138 kV Substation</t>
  </si>
  <si>
    <t>Capacitor Banks at Harding and Juniper 345 kV</t>
  </si>
  <si>
    <t>Federal Long Term NOL - Protected</t>
  </si>
  <si>
    <t>Federal Long Term NOL - Unprotected</t>
  </si>
  <si>
    <t>ITC FAS 109 - FE</t>
  </si>
  <si>
    <t>NOL Deferred Tax Asset - LT OH Local DIT</t>
  </si>
  <si>
    <t>NOL Deferred Tax Asset - LT PA</t>
  </si>
  <si>
    <t>NOL Deferred Tax Asset - LT WV</t>
  </si>
  <si>
    <t>Pension/OPEB : Other Def Cr. or Dr.</t>
  </si>
  <si>
    <t>Qualified Asset Adjustment - Local</t>
  </si>
  <si>
    <t>Asset (182.3)</t>
  </si>
  <si>
    <t>Liability (182.3)</t>
  </si>
  <si>
    <t>MISO Exit Fees Deferral</t>
  </si>
  <si>
    <t>3b</t>
  </si>
  <si>
    <t>Qualified Asset Adjustment - Local - Val Allow</t>
  </si>
  <si>
    <t>3c</t>
  </si>
  <si>
    <t>RTO Study Deferral</t>
  </si>
  <si>
    <t>3d</t>
  </si>
  <si>
    <t>Valuation Allowance NOL WV</t>
  </si>
  <si>
    <t>3e</t>
  </si>
  <si>
    <t>Vegetation Management</t>
  </si>
  <si>
    <t>3f</t>
  </si>
  <si>
    <t>Vegetation Management Adj. (Put on the Regulatory Asset)</t>
  </si>
  <si>
    <t>20b</t>
  </si>
  <si>
    <t>20c</t>
  </si>
  <si>
    <t>Recovery of Veg Mgmt for Transmission Companies</t>
  </si>
  <si>
    <t>Deferred Charge-EIB</t>
  </si>
  <si>
    <t>22b</t>
  </si>
  <si>
    <t>FE Service Timing Allocation</t>
  </si>
  <si>
    <t>22c</t>
  </si>
  <si>
    <t>22d</t>
  </si>
  <si>
    <t>1i</t>
  </si>
  <si>
    <t>Asset Retirement Obligation Liability</t>
  </si>
  <si>
    <t>Charitable Contribution Carryforward</t>
  </si>
  <si>
    <t>Charitable Contribution State &amp; Local RTA</t>
  </si>
  <si>
    <t>Lease ROU Asset &amp; Liability</t>
  </si>
  <si>
    <t>Other Reg Liability Misc</t>
  </si>
  <si>
    <t>N/A</t>
  </si>
  <si>
    <t>10b</t>
  </si>
  <si>
    <t>12b</t>
  </si>
  <si>
    <t>12c</t>
  </si>
  <si>
    <t>12d</t>
  </si>
  <si>
    <t>12e</t>
  </si>
  <si>
    <t>12f</t>
  </si>
  <si>
    <t>12g</t>
  </si>
  <si>
    <t>12h</t>
  </si>
  <si>
    <t>12i</t>
  </si>
  <si>
    <t>12j</t>
  </si>
  <si>
    <t>12k</t>
  </si>
  <si>
    <t>Year 2023</t>
  </si>
  <si>
    <t>Year 2024</t>
  </si>
  <si>
    <t>Valuation Allowance NOL OH Local DIT</t>
  </si>
  <si>
    <t>State Income Tax Deductible</t>
  </si>
  <si>
    <t>Build a new East Springfield - London #2 138 kV line</t>
  </si>
  <si>
    <t>b2435</t>
  </si>
  <si>
    <t>Sum of Lines 3.01 through 3.06</t>
  </si>
  <si>
    <t>Sum of Lines 8.01 through 8.08</t>
  </si>
  <si>
    <t>Sum of Lines 13.01 through 13.05</t>
  </si>
  <si>
    <t>page 1 of 4</t>
  </si>
  <si>
    <t>page 2 of 4</t>
  </si>
  <si>
    <t>page 3 of 4</t>
  </si>
  <si>
    <t>page 4 of 4</t>
  </si>
  <si>
    <t>12/31/2023 ADIT Balance
(Prior to 2024 PA State Tax)</t>
  </si>
  <si>
    <t>12/31/2023 ADIT Balance
(After 2024 PA State Tax)</t>
  </si>
  <si>
    <t>Change in ADIT due to 2024 PA State Tax</t>
  </si>
  <si>
    <t>2023 Return-to-Accrual Adjustment (Recorded in 2024)</t>
  </si>
  <si>
    <t>39a</t>
  </si>
  <si>
    <t>39b</t>
  </si>
  <si>
    <t>39c</t>
  </si>
  <si>
    <t>40a</t>
  </si>
  <si>
    <t>41a</t>
  </si>
  <si>
    <t>41c</t>
  </si>
  <si>
    <t>41d</t>
  </si>
  <si>
    <t>Total Non-Property &amp; Property Amortization, including gross up for taxes (Total of lines 5, 19, 24, 38, 43, 57)</t>
  </si>
  <si>
    <t>Total 2024 FAS109 (Appendix G(3)) (Note I)</t>
  </si>
  <si>
    <t>(Excess)/Deficient ADIT Transmission Remeasured Balance as of 12/31/17 (Appendix G(2) Col. J)</t>
  </si>
  <si>
    <t>(Excess)/Deficient ADIT Transmission Remeasured Balance as of 12/31/22 (Appendix G(2) Col. I)</t>
  </si>
  <si>
    <t>(Excess)/Deficient ADIT Transmission Remeasured Balance as of 12/31/23 (Appendix G(2) Col. I)</t>
  </si>
  <si>
    <t>2017 TCJA</t>
  </si>
  <si>
    <t>2023 PA</t>
  </si>
  <si>
    <t>2024 PA</t>
  </si>
  <si>
    <t>Regulatory Asset (Account 182.3) or Regulatory Liability (Account 254) as of 12/31/23</t>
  </si>
  <si>
    <t>Appendix G1, Line 59, Column H</t>
  </si>
  <si>
    <t>For the 12 months ended 12/31/2023</t>
  </si>
  <si>
    <t>2i</t>
  </si>
  <si>
    <t>Reconciliation Revenue Requirement For Year 2023 Available May 1, 2024</t>
  </si>
  <si>
    <t>2023 Revenue Requirement Collected by PJM Based on Forecast filed on Nov 1, 2022</t>
  </si>
  <si>
    <t>An over or under collection will be recovered prorata over 2023, held for 2024 and returned prorata over 2025</t>
  </si>
  <si>
    <t>Year 2025</t>
  </si>
  <si>
    <t>OH Local Property Tax</t>
  </si>
  <si>
    <t>263A MSC-Fed-Norm</t>
  </si>
  <si>
    <t>263A MSC-OH Local-Norm</t>
  </si>
  <si>
    <t>263A MSC-PA-Norm</t>
  </si>
  <si>
    <t>263A MSC-WV-Norm</t>
  </si>
  <si>
    <t>263A-Fed-Norm</t>
  </si>
  <si>
    <t>263A-OH Local-Norm</t>
  </si>
  <si>
    <t>263A-PA-Norm</t>
  </si>
  <si>
    <t>263A-WV-Norm</t>
  </si>
  <si>
    <t>Accelerated Tax Depr-Fed-Norm</t>
  </si>
  <si>
    <t>Accelerated Tax Depr-OH Local-Norm</t>
  </si>
  <si>
    <t>Accelerated Tax Depr-PA-Norm</t>
  </si>
  <si>
    <t>Accelerated Tax Depr-WV-Norm</t>
  </si>
  <si>
    <t>AFUDC Debt-Fed-Norm</t>
  </si>
  <si>
    <t>AFUDC Debt-Fed-Norm-Incurred-CWIP</t>
  </si>
  <si>
    <t>AFUDC Debt-Fed-Norm-Reversal-CWIP</t>
  </si>
  <si>
    <t>AFUDC Debt-OH Local-Norm</t>
  </si>
  <si>
    <t>AFUDC Debt-OH Local-Norm-Incurred-CWIP</t>
  </si>
  <si>
    <t>AFUDC Debt-OH Local-Norm-Reversal-CWIP</t>
  </si>
  <si>
    <t>AFUDC Debt-PA-Norm</t>
  </si>
  <si>
    <t>AFUDC Debt-PA-Norm-Incurred-CWIP</t>
  </si>
  <si>
    <t>AFUDC Debt-PA-Norm-Reversal-CWIP</t>
  </si>
  <si>
    <t>AFUDC Debt-WV-Norm</t>
  </si>
  <si>
    <t>AFUDC Debt-WV-Norm-Incurred-CWIP</t>
  </si>
  <si>
    <t>AFUDC Debt-WV-Norm-Reversal-CWIP</t>
  </si>
  <si>
    <t>AFUDC Equity/FAS 43-Fed-FT</t>
  </si>
  <si>
    <t>AFUDC Equity/FAS 43-Fed-FT-Incurred-CWIP</t>
  </si>
  <si>
    <t>AFUDC Equity/FAS 43-Fed-FT-Reversal-CWIP</t>
  </si>
  <si>
    <t>AFUDC Equity/FAS 43-OH Local-FT</t>
  </si>
  <si>
    <t>AFUDC Equity/FAS 43-OH Local-FT-Incurred-CWIP</t>
  </si>
  <si>
    <t>AFUDC Equity/FAS 43-OH Local-FT-Reversal-CWIP</t>
  </si>
  <si>
    <t>AFUDC Equity/FAS 43-PA-FT</t>
  </si>
  <si>
    <t>AFUDC Equity/FAS 43-PA-FT-Incurred-CWIP</t>
  </si>
  <si>
    <t>AFUDC Equity/FAS 43-PA-FT-Reversal-CWIP</t>
  </si>
  <si>
    <t>ARO-Fed-Norm</t>
  </si>
  <si>
    <t>ARO-OH Local-Norm</t>
  </si>
  <si>
    <t>ARO-PA-Norm</t>
  </si>
  <si>
    <t>Cap Vertical Tree Trimming-Fed-Norm</t>
  </si>
  <si>
    <t>Cap Vertical Tree Trimming-OH Local-Norm</t>
  </si>
  <si>
    <t>Cap Vertical Tree Trimming-PA-Norm</t>
  </si>
  <si>
    <t>Cap Vertical Tree Trimming-WV-Norm</t>
  </si>
  <si>
    <t>Casualty Loss-Fed-Norm</t>
  </si>
  <si>
    <t>Casualty Loss-OH Local-Norm</t>
  </si>
  <si>
    <t>Casualty Loss-PA-Norm</t>
  </si>
  <si>
    <t>Casualty Loss-WV-Norm</t>
  </si>
  <si>
    <t>Cost of Removal-Fed-Norm</t>
  </si>
  <si>
    <t>Cost of Removal-OH Local-Norm</t>
  </si>
  <si>
    <t>Cost of Removal-PA-Norm</t>
  </si>
  <si>
    <t>Deferred Gain-Fed-Norm</t>
  </si>
  <si>
    <t>Deferred Gain-OH-Norm</t>
  </si>
  <si>
    <t>Deferred Gain-WV-Norm</t>
  </si>
  <si>
    <t>FAS 123R - Performance Shares-Fed-Norm</t>
  </si>
  <si>
    <t>FAS 123R - Performance Shares-OH Local-Norm</t>
  </si>
  <si>
    <t>FAS 123R - Performance Shares-PA-Norm</t>
  </si>
  <si>
    <t>FAS 123R - RSU Capital-Fed-Norm</t>
  </si>
  <si>
    <t>FAS 123R - RSU Capital-OH Local-Norm</t>
  </si>
  <si>
    <t>FAS 123R - RSU Capital-PA-Norm</t>
  </si>
  <si>
    <t>G Overheads-Fed-Norm</t>
  </si>
  <si>
    <t>G Overheads-OH Local-Norm</t>
  </si>
  <si>
    <t>G Overheads-PA-Norm</t>
  </si>
  <si>
    <t>G Overheads-WV-Norm</t>
  </si>
  <si>
    <t>Highway Reimbursements-Fed-Norm</t>
  </si>
  <si>
    <t>Highway Reimbursements-OH Local-Norm</t>
  </si>
  <si>
    <t>Highway Reimbursements-PA-Norm</t>
  </si>
  <si>
    <t>ITC Basis Reduction-Fed-Norm</t>
  </si>
  <si>
    <t>ITC Basis Reduction-OH Local-Norm</t>
  </si>
  <si>
    <t>ITC Basis Reduction-PA-Norm</t>
  </si>
  <si>
    <t>OPEBs-Fed-Norm</t>
  </si>
  <si>
    <t>OPEBs-OH Local-Norm</t>
  </si>
  <si>
    <t>OPEBs-PA-Norm</t>
  </si>
  <si>
    <t>OPEBs-WV-Norm</t>
  </si>
  <si>
    <t>Other Basis Differences-Fed-Norm</t>
  </si>
  <si>
    <t>Other Basis Differences-OH Local-Norm</t>
  </si>
  <si>
    <t>Other Basis Differences-PA-Norm</t>
  </si>
  <si>
    <t>Other Basis Differences-WV-Norm</t>
  </si>
  <si>
    <t>Pensions-Fed-Norm</t>
  </si>
  <si>
    <t>Pensions-Fed-Norm-Incurred-CWIP</t>
  </si>
  <si>
    <t>Pensions-Fed-Norm-Reversal-CWIP</t>
  </si>
  <si>
    <t>Pensions-OH Local-Norm</t>
  </si>
  <si>
    <t>Pensions-OH Local-Norm-Incurred-CWIP</t>
  </si>
  <si>
    <t>Pensions-OH Local-Norm-Reversal-CWIP</t>
  </si>
  <si>
    <t>Pensions-PA-Norm</t>
  </si>
  <si>
    <t>Pensions-PA-Norm-Incurred-CWIP</t>
  </si>
  <si>
    <t>Pensions-PA-Norm-Reversal-CWIP</t>
  </si>
  <si>
    <t>Pensions-WV-Norm</t>
  </si>
  <si>
    <t>Pensions-WV-Norm-Incurred-CWIP</t>
  </si>
  <si>
    <t>Pensions-WV-Norm-Reversal-CWIP</t>
  </si>
  <si>
    <t>R&amp;D Cost-Fed-Norm</t>
  </si>
  <si>
    <t>R&amp;D Cost-OH Local-Norm</t>
  </si>
  <si>
    <t>R&amp;D Cost-PA-Norm</t>
  </si>
  <si>
    <t>R&amp;D Cost-WV-Norm</t>
  </si>
  <si>
    <t>Tax Basis Step Up-Fed-Norm</t>
  </si>
  <si>
    <t>Tax Basis Step Up-OH Local-Norm</t>
  </si>
  <si>
    <t>Tax Basis Step Up-PA-Norm</t>
  </si>
  <si>
    <t>Tax Basis Step Up-WV-Norm</t>
  </si>
  <si>
    <t>Tax Depreciation Adjustment - PA</t>
  </si>
  <si>
    <t>Tax UoP Repair Disallow Loss-Fed-Norm</t>
  </si>
  <si>
    <t>Tax UoP Repair Disallow Loss-OH Local-Norm</t>
  </si>
  <si>
    <t>Tax UoP Repair Disallow Loss-PA-Norm</t>
  </si>
  <si>
    <t>Tax UoP Repair Exp-Fed-Norm</t>
  </si>
  <si>
    <t>Tax UoP Repair Exp-Fed-Norm-Incurred-CWIP</t>
  </si>
  <si>
    <t>Tax UoP Repair Exp-Fed-Norm-Reversal-CWIP</t>
  </si>
  <si>
    <t>Tax UoP Repair Exp-OH Local-Norm</t>
  </si>
  <si>
    <t>Tax UoP Repair Exp-OH Local-Norm-Incurred-CWIP</t>
  </si>
  <si>
    <t>Tax UoP Repair Exp-OH Local-Norm-Reversal-CWIP</t>
  </si>
  <si>
    <t>Tax UoP Repair Exp-PA-Norm</t>
  </si>
  <si>
    <t>Tax UoP Repair Exp-PA-Norm-Incurred-CWIP</t>
  </si>
  <si>
    <t>Tax UoP Repair Exp-PA-Norm-Reversal-CWIP</t>
  </si>
  <si>
    <t>Tax UoP Repair Exp-WV-Norm</t>
  </si>
  <si>
    <t>Tax UoP Repair Exp-WV-Norm-Incurred-CWIP</t>
  </si>
  <si>
    <t>Tax UoP Repair Exp-WV-Norm-Reversal-CWIP</t>
  </si>
  <si>
    <t>AMT Carryforward</t>
  </si>
  <si>
    <t>CIAC-Fed-Norm</t>
  </si>
  <si>
    <t>CIAC-Fed-Norm-Incurred-CWIP</t>
  </si>
  <si>
    <t>CIAC-OH Local-Norm</t>
  </si>
  <si>
    <t>CIAC-OH Local-Norm-Incurred-CWIP</t>
  </si>
  <si>
    <t>CIAC-PA-Norm</t>
  </si>
  <si>
    <t>CIAC-PA-Norm-Incurred-CWIP</t>
  </si>
  <si>
    <t>Federal NOL</t>
  </si>
  <si>
    <t>Pension EDCP-SERP Payments</t>
  </si>
  <si>
    <t>PJM Payable</t>
  </si>
  <si>
    <t>Post Retirement Benefits SFAS 106 Accrual</t>
  </si>
  <si>
    <t>Tax Interest Capitalized-Fed-Norm</t>
  </si>
  <si>
    <t>Tax Interest Capitalized-Fed-Norm-Incurred-CWIP</t>
  </si>
  <si>
    <t>Tax Interest Capitalized-OH Local-Norm</t>
  </si>
  <si>
    <t>Tax Interest Capitalized-OH Local-Norm-Incurred-CWIP</t>
  </si>
  <si>
    <t>Tax Interest Capitalized-PA-Norm</t>
  </si>
  <si>
    <t>Tax Interest Capitalized-PA-Norm-Incurred-CWIP</t>
  </si>
  <si>
    <t>Tax Interest Capitalized-WV-Norm-Reversal-CWIP</t>
  </si>
  <si>
    <t>Valuation Allowance Charitable Carryforward FD</t>
  </si>
  <si>
    <t>CIAC-Fed-Norm-Reversal-CWIP</t>
  </si>
  <si>
    <t>CIAC-OH Local-Norm-Reversal-CWIP</t>
  </si>
  <si>
    <t>CIAC-PA-Norm-Reversal-CWIP</t>
  </si>
  <si>
    <t>FE Service Tax Interest Allocation</t>
  </si>
  <si>
    <t>Pensions Expense</t>
  </si>
  <si>
    <t>Tax Interest Capitalized-Fed-Norm-Reversal-CWIP</t>
  </si>
  <si>
    <t>Tax Interest Capitalized-OH Local-Norm-Reversal-CWIP</t>
  </si>
  <si>
    <t>Tax Interest Capitalized-PA-Norm-Reversal-CWIP</t>
  </si>
  <si>
    <t>Tax Interest Capitalized-WV-Norm</t>
  </si>
  <si>
    <t>Tax Interest Capitalized-WV-Norm-Incurred-CWIP</t>
  </si>
  <si>
    <t>Year-End Additional Temp Adjustments L/T</t>
  </si>
  <si>
    <t>Sum of Lines 6.01 through 6.90</t>
  </si>
  <si>
    <t>Sum of Lines 1.01 through 1.94</t>
  </si>
  <si>
    <t>Sum of Lines 11.01 through 11.62</t>
  </si>
  <si>
    <t xml:space="preserve">FAS 109 Gross-Up on Non-Property Items </t>
  </si>
  <si>
    <t>2023 ATRR</t>
  </si>
  <si>
    <t>ATRR</t>
  </si>
  <si>
    <t>PA 2023 – 2031 corporate income tax gradual rate reduction 9.99% - 4.99%</t>
  </si>
  <si>
    <t xml:space="preserve">Charitable Cont Carryfwd State RTA Adj </t>
  </si>
  <si>
    <t>PJM Receivable</t>
  </si>
  <si>
    <t>1j</t>
  </si>
  <si>
    <t>10c</t>
  </si>
  <si>
    <t>10d</t>
  </si>
  <si>
    <t>10e</t>
  </si>
  <si>
    <t>10f</t>
  </si>
  <si>
    <t>12l</t>
  </si>
  <si>
    <t>12m</t>
  </si>
  <si>
    <t>12n</t>
  </si>
  <si>
    <t>12o</t>
  </si>
  <si>
    <t>12p</t>
  </si>
  <si>
    <t>12q</t>
  </si>
  <si>
    <t>12r</t>
  </si>
  <si>
    <t>12s</t>
  </si>
  <si>
    <t>12t</t>
  </si>
  <si>
    <t>12u</t>
  </si>
  <si>
    <t>12v</t>
  </si>
  <si>
    <t>12w</t>
  </si>
  <si>
    <t>12x</t>
  </si>
  <si>
    <t>12y</t>
  </si>
  <si>
    <t>12z</t>
  </si>
  <si>
    <t>12aa</t>
  </si>
  <si>
    <t>12ab</t>
  </si>
  <si>
    <t>12ac</t>
  </si>
  <si>
    <t>Total 2024 FAS109 (Total of lines 5, 19, 24, 38, 43 ,57) (Note I)</t>
  </si>
  <si>
    <t>1. WP03-A will be populated and utilize PTRR information for the PTRR and ATRR information for the ATRR.</t>
  </si>
  <si>
    <t>2. WP03-A will only include prorated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</si>
</sst>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87">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val="single"/>
      <sz val="12"/>
      <name val="Times New Roman"/>
      <family val="1"/>
    </font>
    <font>
      <sz val="12"/>
      <color indexed="10"/>
      <name val="Times New Roman"/>
      <family val="1"/>
    </font>
    <font>
      <sz val="10"/>
      <name val="Times New Roman"/>
      <family val="1"/>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sz val="12"/>
      <color theme="9" tint="-0.499969989061356"/>
      <name val="Calibri"/>
      <family val="2"/>
      <scheme val="minor"/>
    </font>
    <font>
      <sz val="12"/>
      <color rgb="FFFF0000"/>
      <name val="Times New Roman"/>
      <family val="1"/>
    </font>
    <font>
      <sz val="10"/>
      <color rgb="FFFF0000"/>
      <name val="Times New Roman"/>
      <family val="1"/>
    </font>
    <font>
      <strike/>
      <sz val="12"/>
      <color rgb="FFFF0000"/>
      <name val="Times New Roman"/>
      <family val="1"/>
    </font>
    <font>
      <b/>
      <sz val="21"/>
      <name val="Times New Roman"/>
      <family val="1"/>
    </font>
    <font>
      <strike/>
      <sz val="12"/>
      <name val="Times New Roman"/>
      <family val="1"/>
    </font>
    <font>
      <b/>
      <sz val="10"/>
      <name val="Times New Roman"/>
      <family val="1"/>
    </font>
    <font>
      <sz val="10"/>
      <name val="Arial MT"/>
      <family val="2"/>
    </font>
    <font>
      <strike/>
      <sz val="10"/>
      <name val="Arial MT"/>
      <family val="2"/>
    </font>
    <font>
      <u val="single"/>
      <sz val="10"/>
      <name val="Arial MT"/>
      <family val="2"/>
    </font>
    <font>
      <b/>
      <sz val="11"/>
      <color theme="1"/>
      <name val="Calibri"/>
      <family val="2"/>
      <scheme val="minor"/>
    </font>
    <font>
      <sz val="11"/>
      <name val="Calibri"/>
      <family val="2"/>
      <scheme val="minor"/>
    </font>
    <font>
      <sz val="9"/>
      <name val="Times New Roman"/>
      <family val="1"/>
    </font>
    <font>
      <u val="single"/>
      <sz val="10"/>
      <name val="Arial"/>
      <family val="2"/>
    </font>
    <font>
      <b/>
      <sz val="11"/>
      <name val="Calibri"/>
      <family val="2"/>
      <scheme val="minor"/>
    </font>
    <font>
      <b/>
      <strike/>
      <sz val="12"/>
      <color rgb="FFFF0000"/>
      <name val="Times New Roman"/>
      <family val="1"/>
    </font>
    <font>
      <u val="single"/>
      <sz val="11"/>
      <name val="Calibri"/>
      <family val="2"/>
      <scheme val="minor"/>
    </font>
    <font>
      <sz val="8"/>
      <name val="Arial MT"/>
      <family val="2"/>
    </font>
    <font>
      <b/>
      <u val="single"/>
      <sz val="12"/>
      <name val="Calibri"/>
      <family val="2"/>
      <scheme val="minor"/>
    </font>
  </fonts>
  <fills count="24">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theme="5" tint="0.799979984760284"/>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s>
  <borders count="38">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border>
    <border>
      <left/>
      <right style="thin">
        <color auto="1"/>
      </right>
      <top/>
      <bottom style="thin">
        <color auto="1"/>
      </bottom>
    </border>
    <border>
      <left style="medium">
        <color auto="1"/>
      </left>
      <right style="medium">
        <color auto="1"/>
      </right>
      <top/>
      <bottom/>
    </border>
    <border>
      <left style="medium">
        <color auto="1"/>
      </left>
      <right style="medium">
        <color auto="1"/>
      </right>
      <top style="medium">
        <color auto="1"/>
      </top>
      <bottom/>
    </border>
    <border>
      <left/>
      <right style="thin">
        <color auto="1"/>
      </right>
      <top style="thin">
        <color auto="1"/>
      </top>
      <bottom style="thin">
        <color auto="1"/>
      </bottom>
    </border>
    <border>
      <left/>
      <right/>
      <top style="thin">
        <color auto="1"/>
      </top>
      <bottom style="double">
        <color auto="1"/>
      </bottom>
    </border>
    <border>
      <left/>
      <right/>
      <top style="medium">
        <color auto="1"/>
      </top>
      <bottom/>
    </border>
    <border>
      <left/>
      <right style="medium">
        <color auto="1"/>
      </right>
      <top/>
      <bottom/>
    </border>
    <border>
      <left style="medium">
        <color auto="1"/>
      </left>
      <right style="medium">
        <color auto="1"/>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style="medium">
        <color auto="1"/>
      </top>
      <bottom/>
    </border>
    <border>
      <left/>
      <right style="medium">
        <color auto="1"/>
      </right>
      <top style="medium">
        <color auto="1"/>
      </top>
      <bottom/>
    </border>
    <border>
      <left style="medium">
        <color auto="1"/>
      </left>
      <right/>
      <top/>
      <bottom/>
    </border>
    <border>
      <left style="medium">
        <color auto="1"/>
      </left>
      <right/>
      <top/>
      <bottom style="medium">
        <color auto="1"/>
      </bottom>
    </border>
    <border>
      <left/>
      <right style="medium">
        <color auto="1"/>
      </right>
      <top/>
      <bottom style="medium">
        <color auto="1"/>
      </bottom>
    </border>
    <border>
      <left/>
      <right/>
      <top/>
      <bottom style="double">
        <color auto="1"/>
      </bottom>
    </border>
    <border>
      <left/>
      <right style="medium">
        <color auto="1"/>
      </right>
      <top style="medium">
        <color auto="1"/>
      </top>
      <bottom style="medium">
        <color auto="1"/>
      </bottom>
    </border>
  </borders>
  <cellStyleXfs count="165">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8"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1" fillId="16" borderId="3" applyNumberFormat="0" applyAlignment="0" applyProtection="0"/>
    <xf numFmtId="0" fontId="42"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3" fillId="0" borderId="0" applyNumberFormat="0" applyFill="0" applyBorder="0" applyAlignment="0" applyProtection="0"/>
    <xf numFmtId="2" fontId="5" fillId="0" borderId="0" applyFont="0" applyFill="0" applyBorder="0" applyAlignment="0" applyProtection="0"/>
    <xf numFmtId="0" fontId="44"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21" fillId="0" borderId="6">
      <alignment/>
      <protection/>
    </xf>
    <xf numFmtId="0" fontId="22" fillId="0" borderId="0">
      <alignment/>
      <protection/>
    </xf>
    <xf numFmtId="0" fontId="46" fillId="7" borderId="3" applyNumberFormat="0" applyAlignment="0" applyProtection="0"/>
    <xf numFmtId="0" fontId="47" fillId="0" borderId="7" applyNumberFormat="0" applyFill="0" applyAlignment="0" applyProtection="0"/>
    <xf numFmtId="0" fontId="48" fillId="7" borderId="0" applyNumberFormat="0" applyBorder="0" applyAlignment="0" applyProtection="0"/>
    <xf numFmtId="0" fontId="51"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9"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50" fillId="0" borderId="0" applyNumberFormat="0" applyFill="0" applyBorder="0" applyAlignment="0" applyProtection="0"/>
    <xf numFmtId="0" fontId="5" fillId="0" borderId="0" applyFont="0" applyFill="0" applyBorder="0" applyAlignment="0" applyProtection="0"/>
    <xf numFmtId="0" fontId="47"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2" fillId="0" borderId="0">
      <alignment/>
      <protection/>
    </xf>
    <xf numFmtId="0" fontId="2" fillId="0" borderId="0">
      <alignment/>
      <protection/>
    </xf>
    <xf numFmtId="9" fontId="5" fillId="0" borderId="0" applyFont="0" applyFill="0" applyBorder="0" applyAlignment="0" applyProtection="0"/>
    <xf numFmtId="0" fontId="2" fillId="0" borderId="0">
      <alignment/>
      <protection/>
    </xf>
    <xf numFmtId="0" fontId="2" fillId="0" borderId="0">
      <alignment/>
      <protection/>
    </xf>
    <xf numFmtId="0" fontId="5" fillId="0" borderId="0">
      <alignment/>
      <protection/>
    </xf>
    <xf numFmtId="43" fontId="2" fillId="0" borderId="0" applyFont="0" applyFill="0" applyBorder="0" applyAlignment="0" applyProtection="0"/>
    <xf numFmtId="0" fontId="2" fillId="0" borderId="0">
      <alignment/>
      <protection/>
    </xf>
    <xf numFmtId="0" fontId="5"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44" fontId="2" fillId="0" borderId="0" applyFont="0" applyFill="0" applyBorder="0" applyAlignment="0" applyProtection="0"/>
  </cellStyleXfs>
  <cellXfs count="733">
    <xf numFmtId="174" fontId="0" fillId="0" borderId="0" xfId="0"/>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xf numFmtId="0" fontId="32" fillId="0" borderId="0" xfId="0" applyNumberFormat="1" applyFont="1" applyAlignment="1">
      <alignment horizontal="center"/>
    </xf>
    <xf numFmtId="49" fontId="32" fillId="0" borderId="0" xfId="0" applyNumberFormat="1" applyFont="1" applyAlignment="1">
      <alignment horizontal="left"/>
    </xf>
    <xf numFmtId="49" fontId="32" fillId="0" borderId="0" xfId="0" applyNumberFormat="1" applyFont="1" applyAlignment="1">
      <alignment horizontal="center"/>
    </xf>
    <xf numFmtId="0" fontId="33" fillId="0" borderId="0" xfId="0" applyNumberFormat="1" applyFont="1" applyAlignment="1">
      <alignment horizontal="center"/>
    </xf>
    <xf numFmtId="3" fontId="33" fillId="0" borderId="0" xfId="0" applyNumberFormat="1" applyFont="1"/>
    <xf numFmtId="164" fontId="32" fillId="0" borderId="0" xfId="0" applyNumberFormat="1" applyFont="1" applyAlignment="1">
      <alignment horizontal="center"/>
    </xf>
    <xf numFmtId="49" fontId="32" fillId="0" borderId="0" xfId="0" applyNumberFormat="1" applyFont="1"/>
    <xf numFmtId="3" fontId="32" fillId="0" borderId="0" xfId="99" applyNumberFormat="1" applyFont="1">
      <alignment/>
      <protection/>
    </xf>
    <xf numFmtId="0" fontId="5" fillId="0" borderId="0" xfId="99">
      <alignment/>
      <protection/>
    </xf>
    <xf numFmtId="0" fontId="36" fillId="0" borderId="0" xfId="99" applyFont="1">
      <alignment/>
      <protection/>
    </xf>
    <xf numFmtId="3" fontId="36" fillId="0" borderId="0" xfId="99" applyNumberFormat="1" applyFont="1">
      <alignment/>
      <protection/>
    </xf>
    <xf numFmtId="0" fontId="32" fillId="0" borderId="0" xfId="99" applyFont="1">
      <alignment/>
      <protection/>
    </xf>
    <xf numFmtId="3" fontId="33" fillId="0" borderId="0" xfId="0" applyNumberFormat="1" applyFont="1" applyAlignment="1">
      <alignment horizontal="center"/>
    </xf>
    <xf numFmtId="0" fontId="33" fillId="0" borderId="0" xfId="0" applyNumberFormat="1" applyFont="1"/>
    <xf numFmtId="175" fontId="32" fillId="0" borderId="0" xfId="16" applyNumberFormat="1" applyFont="1" applyFill="1" applyBorder="1" applyAlignment="1">
      <alignment/>
    </xf>
    <xf numFmtId="0" fontId="37" fillId="0" borderId="0" xfId="99" applyFont="1">
      <alignment/>
      <protection/>
    </xf>
    <xf numFmtId="175" fontId="32" fillId="0" borderId="0" xfId="16" applyNumberFormat="1" applyFont="1" applyBorder="1" applyAlignment="1">
      <alignment/>
    </xf>
    <xf numFmtId="181"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7" fillId="0" borderId="0" xfId="99" applyFont="1" applyAlignment="1">
      <alignment horizontal="center"/>
      <protection/>
    </xf>
    <xf numFmtId="174" fontId="32" fillId="0" borderId="0" xfId="0" applyFont="1" applyAlignment="1">
      <alignment horizontal="right"/>
    </xf>
    <xf numFmtId="0" fontId="32" fillId="0" borderId="0" xfId="0" applyNumberFormat="1" applyFont="1" applyAlignment="1" applyProtection="1">
      <alignment horizontal="center"/>
      <protection locked="0"/>
    </xf>
    <xf numFmtId="0" fontId="33" fillId="0" borderId="0" xfId="0" applyNumberFormat="1" applyFont="1" applyAlignment="1" applyProtection="1">
      <alignment horizontal="center"/>
      <protection locked="0"/>
    </xf>
    <xf numFmtId="0" fontId="34" fillId="0" borderId="0" xfId="0" applyNumberFormat="1" applyFont="1" applyAlignment="1" applyProtection="1">
      <alignment horizontal="center"/>
      <protection locked="0"/>
    </xf>
    <xf numFmtId="10" fontId="32" fillId="0" borderId="0" xfId="0" applyNumberFormat="1" applyFont="1"/>
    <xf numFmtId="10" fontId="33" fillId="0" borderId="0" xfId="0" applyNumberFormat="1" applyFont="1"/>
    <xf numFmtId="174" fontId="32" fillId="0" borderId="0" xfId="0" applyFont="1" applyAlignment="1">
      <alignment horizontal="center"/>
    </xf>
    <xf numFmtId="174" fontId="33" fillId="0" borderId="0" xfId="0" applyFont="1"/>
    <xf numFmtId="174" fontId="35" fillId="0" borderId="0" xfId="0" applyFont="1"/>
    <xf numFmtId="176" fontId="33" fillId="0" borderId="0" xfId="0" applyNumberFormat="1" applyFont="1" applyAlignment="1">
      <alignment horizontal="center"/>
    </xf>
    <xf numFmtId="174" fontId="33" fillId="0" borderId="13" xfId="0" applyFont="1" applyBorder="1" applyAlignment="1">
      <alignment horizontal="center" wrapText="1"/>
    </xf>
    <xf numFmtId="174" fontId="33" fillId="0" borderId="14" xfId="0" applyFont="1" applyBorder="1"/>
    <xf numFmtId="174" fontId="33" fillId="0" borderId="14" xfId="0" applyFont="1" applyBorder="1" applyAlignment="1">
      <alignment horizontal="center" wrapText="1"/>
    </xf>
    <xf numFmtId="0" fontId="33" fillId="0" borderId="14" xfId="0" applyNumberFormat="1" applyFont="1" applyBorder="1" applyAlignment="1">
      <alignment horizontal="center" wrapText="1"/>
    </xf>
    <xf numFmtId="174" fontId="33" fillId="0" borderId="12" xfId="0" applyFont="1" applyBorder="1" applyAlignment="1">
      <alignment horizontal="center" wrapText="1"/>
    </xf>
    <xf numFmtId="3" fontId="33" fillId="0" borderId="12" xfId="0" applyNumberFormat="1" applyFont="1" applyBorder="1" applyAlignment="1">
      <alignment horizontal="center" wrapText="1"/>
    </xf>
    <xf numFmtId="0" fontId="32" fillId="0" borderId="13" xfId="0" applyNumberFormat="1" applyFont="1" applyBorder="1"/>
    <xf numFmtId="0" fontId="32" fillId="0" borderId="14" xfId="0" applyNumberFormat="1" applyFont="1" applyBorder="1"/>
    <xf numFmtId="0" fontId="32" fillId="0" borderId="14" xfId="0" applyNumberFormat="1" applyFont="1" applyBorder="1" applyAlignment="1">
      <alignment horizontal="center"/>
    </xf>
    <xf numFmtId="0" fontId="32" fillId="0" borderId="12" xfId="0" applyNumberFormat="1" applyFont="1" applyBorder="1" applyAlignment="1">
      <alignment horizontal="center"/>
    </xf>
    <xf numFmtId="3" fontId="32" fillId="0" borderId="12" xfId="0" applyNumberFormat="1" applyFont="1" applyBorder="1" applyAlignment="1">
      <alignment horizontal="center" wrapText="1"/>
    </xf>
    <xf numFmtId="0" fontId="32" fillId="0" borderId="15" xfId="0" applyNumberFormat="1" applyFont="1" applyBorder="1"/>
    <xf numFmtId="0" fontId="32" fillId="0" borderId="10" xfId="0" applyNumberFormat="1" applyFont="1" applyBorder="1"/>
    <xf numFmtId="3" fontId="32" fillId="0" borderId="10" xfId="0" applyNumberFormat="1" applyFont="1" applyBorder="1"/>
    <xf numFmtId="174" fontId="32" fillId="0" borderId="15" xfId="0" applyFont="1" applyBorder="1"/>
    <xf numFmtId="1" fontId="32" fillId="0" borderId="0" xfId="0" applyNumberFormat="1" applyFont="1" applyAlignment="1">
      <alignment horizontal="center"/>
    </xf>
    <xf numFmtId="174" fontId="36" fillId="0" borderId="0" xfId="0" applyFont="1"/>
    <xf numFmtId="174" fontId="36" fillId="0" borderId="10" xfId="0" applyFont="1" applyBorder="1"/>
    <xf numFmtId="174" fontId="32" fillId="0" borderId="16" xfId="0" applyFont="1" applyBorder="1"/>
    <xf numFmtId="174" fontId="32" fillId="0" borderId="11" xfId="0" applyFont="1" applyBorder="1"/>
    <xf numFmtId="174" fontId="36" fillId="0" borderId="11" xfId="0" applyFont="1" applyBorder="1"/>
    <xf numFmtId="174" fontId="36" fillId="0" borderId="17" xfId="0" applyFont="1" applyBorder="1"/>
    <xf numFmtId="1" fontId="32" fillId="0" borderId="0" xfId="18" applyNumberFormat="1" applyFont="1" applyFill="1" applyBorder="1" applyAlignment="1">
      <alignment horizontal="center"/>
    </xf>
    <xf numFmtId="174" fontId="32" fillId="0" borderId="6" xfId="0" applyFont="1" applyBorder="1"/>
    <xf numFmtId="174" fontId="32" fillId="0" borderId="0" xfId="0" applyFont="1" applyAlignment="1">
      <alignment horizontal="center" vertical="top"/>
    </xf>
    <xf numFmtId="175" fontId="32" fillId="0" borderId="10" xfId="16" applyNumberFormat="1" applyFont="1" applyFill="1" applyBorder="1" applyAlignment="1">
      <alignment/>
    </xf>
    <xf numFmtId="174" fontId="37" fillId="0" borderId="0" xfId="0" applyFont="1"/>
    <xf numFmtId="170" fontId="32" fillId="0" borderId="10" xfId="0" applyNumberFormat="1" applyFont="1" applyBorder="1"/>
    <xf numFmtId="174" fontId="33" fillId="0" borderId="14" xfId="0" applyFont="1" applyBorder="1" applyAlignment="1">
      <alignment horizontal="center"/>
    </xf>
    <xf numFmtId="174" fontId="32" fillId="0" borderId="15" xfId="0" applyFont="1" applyBorder="1" applyAlignment="1">
      <alignment horizontal="center"/>
    </xf>
    <xf numFmtId="0" fontId="32" fillId="0" borderId="0" xfId="99" applyFont="1" applyAlignment="1">
      <alignment horizontal="center" vertical="top"/>
      <protection/>
    </xf>
    <xf numFmtId="180" fontId="32" fillId="0" borderId="0" xfId="0" applyNumberFormat="1" applyFont="1"/>
    <xf numFmtId="180" fontId="32" fillId="0" borderId="0" xfId="15" applyNumberFormat="1" applyFont="1" applyFill="1" applyBorder="1" applyAlignment="1">
      <alignment/>
    </xf>
    <xf numFmtId="180" fontId="33" fillId="0" borderId="0" xfId="15" applyNumberFormat="1" applyFont="1" applyFill="1" applyBorder="1" applyAlignment="1">
      <alignment/>
    </xf>
    <xf numFmtId="174" fontId="52" fillId="0" borderId="0" xfId="0" applyFont="1" applyAlignment="1">
      <alignment vertical="center"/>
    </xf>
    <xf numFmtId="43" fontId="52" fillId="0" borderId="0" xfId="18" applyFont="1" applyAlignment="1">
      <alignment vertical="center"/>
    </xf>
    <xf numFmtId="43" fontId="32" fillId="0" borderId="0" xfId="18" applyFont="1" applyFill="1" applyBorder="1"/>
    <xf numFmtId="0" fontId="52" fillId="20" borderId="0" xfId="0" applyNumberFormat="1" applyFont="1" applyFill="1" applyAlignment="1">
      <alignment vertical="center"/>
    </xf>
    <xf numFmtId="174" fontId="53" fillId="0" borderId="0" xfId="0" applyFont="1" applyAlignment="1">
      <alignment horizontal="right" vertical="center"/>
    </xf>
    <xf numFmtId="174" fontId="53" fillId="0" borderId="0" xfId="0" applyFont="1" applyAlignment="1">
      <alignment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4" fillId="0" borderId="0" xfId="0" applyFont="1" applyAlignment="1">
      <alignment horizontal="center" vertical="center"/>
    </xf>
    <xf numFmtId="174" fontId="56" fillId="0" borderId="0" xfId="0" applyFont="1" applyAlignment="1">
      <alignment horizontal="left" vertical="center"/>
    </xf>
    <xf numFmtId="0" fontId="53" fillId="0" borderId="0" xfId="0" applyNumberFormat="1" applyFont="1" applyAlignment="1">
      <alignment horizontal="center" vertical="center"/>
    </xf>
    <xf numFmtId="174" fontId="54" fillId="0" borderId="0" xfId="0" applyFont="1" applyAlignment="1">
      <alignment vertical="center"/>
    </xf>
    <xf numFmtId="43" fontId="52" fillId="0" borderId="0" xfId="18" applyFont="1" applyAlignment="1">
      <alignment horizontal="center" vertical="center"/>
    </xf>
    <xf numFmtId="49" fontId="52" fillId="0" borderId="0" xfId="0" applyNumberFormat="1" applyFont="1" applyAlignment="1">
      <alignment vertical="center"/>
    </xf>
    <xf numFmtId="174" fontId="53" fillId="0" borderId="0" xfId="0" applyFont="1" applyAlignment="1">
      <alignment horizontal="left" vertical="center"/>
    </xf>
    <xf numFmtId="0" fontId="55" fillId="0" borderId="0" xfId="0" applyNumberFormat="1" applyFont="1" applyAlignment="1">
      <alignment horizontal="right" vertical="center"/>
    </xf>
    <xf numFmtId="174" fontId="55" fillId="0" borderId="0" xfId="0" applyFont="1" applyAlignment="1">
      <alignment horizontal="right" vertical="center"/>
    </xf>
    <xf numFmtId="49" fontId="52" fillId="0" borderId="0" xfId="0" applyNumberFormat="1" applyFont="1" applyAlignment="1">
      <alignment horizontal="center" vertical="center"/>
    </xf>
    <xf numFmtId="49" fontId="53" fillId="0" borderId="0" xfId="0" applyNumberFormat="1" applyFont="1" applyAlignment="1">
      <alignment horizontal="center" vertical="center"/>
    </xf>
    <xf numFmtId="164" fontId="52" fillId="0" borderId="0" xfId="15" applyNumberFormat="1" applyFont="1" applyAlignment="1">
      <alignment horizontal="center" vertical="center"/>
    </xf>
    <xf numFmtId="174" fontId="57" fillId="21" borderId="18" xfId="0" applyFont="1" applyFill="1" applyBorder="1" applyAlignment="1">
      <alignment vertical="center"/>
    </xf>
    <xf numFmtId="174" fontId="58" fillId="21" borderId="2" xfId="0" applyFont="1" applyFill="1" applyBorder="1" applyAlignment="1">
      <alignment vertical="center"/>
    </xf>
    <xf numFmtId="174" fontId="58" fillId="21" borderId="2" xfId="0" applyFont="1" applyFill="1" applyBorder="1" applyAlignment="1">
      <alignment horizontal="center" vertical="center"/>
    </xf>
    <xf numFmtId="174" fontId="58" fillId="21" borderId="19" xfId="0" applyFont="1" applyFill="1" applyBorder="1" applyAlignment="1">
      <alignment vertical="center"/>
    </xf>
    <xf numFmtId="174" fontId="52" fillId="0" borderId="15" xfId="0" applyFont="1" applyBorder="1" applyAlignment="1">
      <alignment vertical="center"/>
    </xf>
    <xf numFmtId="174" fontId="52" fillId="0" borderId="20" xfId="0" applyFont="1" applyBorder="1" applyAlignment="1">
      <alignment vertical="center"/>
    </xf>
    <xf numFmtId="174" fontId="52" fillId="0" borderId="16" xfId="0" applyFont="1" applyBorder="1" applyAlignment="1">
      <alignment vertical="center"/>
    </xf>
    <xf numFmtId="174" fontId="52" fillId="0" borderId="11" xfId="0" applyFont="1" applyBorder="1" applyAlignment="1">
      <alignment vertical="center"/>
    </xf>
    <xf numFmtId="174" fontId="52" fillId="0" borderId="21" xfId="0" applyFont="1" applyBorder="1" applyAlignment="1">
      <alignment vertical="center"/>
    </xf>
    <xf numFmtId="175" fontId="32" fillId="20" borderId="0" xfId="16" applyNumberFormat="1" applyFont="1" applyFill="1" applyBorder="1" applyAlignment="1">
      <alignment/>
    </xf>
    <xf numFmtId="174" fontId="33" fillId="0" borderId="14" xfId="0" applyFont="1" applyBorder="1" applyAlignment="1">
      <alignment wrapText="1"/>
    </xf>
    <xf numFmtId="174" fontId="32" fillId="0" borderId="0" xfId="0" applyFont="1" applyAlignment="1">
      <alignment wrapText="1"/>
    </xf>
    <xf numFmtId="0" fontId="32" fillId="0" borderId="2" xfId="0" applyNumberFormat="1" applyFont="1" applyBorder="1"/>
    <xf numFmtId="0" fontId="32" fillId="0" borderId="19" xfId="0" applyNumberFormat="1" applyFont="1" applyBorder="1"/>
    <xf numFmtId="0" fontId="32" fillId="0" borderId="15" xfId="0" applyNumberFormat="1" applyFont="1" applyBorder="1" applyAlignment="1">
      <alignment horizontal="center"/>
    </xf>
    <xf numFmtId="0" fontId="32" fillId="0" borderId="14" xfId="0" applyNumberFormat="1" applyFont="1" applyBorder="1" applyAlignment="1">
      <alignment horizontal="center" wrapText="1"/>
    </xf>
    <xf numFmtId="43" fontId="32" fillId="0" borderId="20" xfId="18" applyFont="1" applyFill="1" applyBorder="1"/>
    <xf numFmtId="43" fontId="32" fillId="0" borderId="0" xfId="18" applyFont="1" applyFill="1" applyBorder="1" applyAlignment="1">
      <alignment/>
    </xf>
    <xf numFmtId="43" fontId="36" fillId="0" borderId="0" xfId="18" applyFont="1" applyFill="1" applyBorder="1" applyAlignment="1">
      <alignment/>
    </xf>
    <xf numFmtId="43" fontId="36" fillId="0" borderId="20" xfId="18" applyFont="1" applyFill="1" applyBorder="1" applyAlignment="1">
      <alignment/>
    </xf>
    <xf numFmtId="43" fontId="36" fillId="0" borderId="11" xfId="18" applyFont="1" applyFill="1" applyBorder="1" applyAlignment="1">
      <alignment/>
    </xf>
    <xf numFmtId="43" fontId="36" fillId="0" borderId="21" xfId="18" applyFont="1" applyFill="1" applyBorder="1" applyAlignment="1">
      <alignment/>
    </xf>
    <xf numFmtId="174" fontId="32" fillId="20" borderId="0" xfId="0" applyFont="1" applyFill="1" applyAlignment="1">
      <alignment horizontal="right"/>
    </xf>
    <xf numFmtId="174" fontId="58" fillId="0" borderId="0" xfId="0" applyFont="1" applyAlignment="1">
      <alignment horizontal="center" vertical="center"/>
    </xf>
    <xf numFmtId="174" fontId="58" fillId="0" borderId="0" xfId="0" applyFont="1" applyAlignment="1">
      <alignmen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64" fontId="32" fillId="0" borderId="0" xfId="15" applyNumberFormat="1" applyFont="1" applyFill="1" applyBorder="1" applyAlignment="1">
      <alignment/>
    </xf>
    <xf numFmtId="174" fontId="59" fillId="0" borderId="0" xfId="0" applyFont="1" applyProtection="1">
      <protection locked="0"/>
    </xf>
    <xf numFmtId="174" fontId="12" fillId="0" borderId="0" xfId="0" applyFont="1" applyProtection="1">
      <protection locked="0"/>
    </xf>
    <xf numFmtId="174" fontId="59" fillId="0" borderId="22" xfId="0" applyFont="1" applyBorder="1" applyAlignment="1" applyProtection="1">
      <alignment horizontal="center" wrapText="1"/>
      <protection locked="0"/>
    </xf>
    <xf numFmtId="174" fontId="59" fillId="0" borderId="22" xfId="0" applyFont="1" applyBorder="1" applyProtection="1">
      <protection locked="0"/>
    </xf>
    <xf numFmtId="174" fontId="59" fillId="0" borderId="0" xfId="0" applyFont="1" applyAlignment="1" applyProtection="1">
      <alignment horizontal="center"/>
      <protection locked="0"/>
    </xf>
    <xf numFmtId="179" fontId="59" fillId="0" borderId="0" xfId="0" applyNumberFormat="1" applyFont="1" applyProtection="1">
      <protection locked="0"/>
    </xf>
    <xf numFmtId="174" fontId="60" fillId="0" borderId="0" xfId="0" applyFont="1" applyAlignment="1" applyProtection="1">
      <alignment horizontal="center"/>
      <protection locked="0"/>
    </xf>
    <xf numFmtId="179"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9"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4" fontId="60" fillId="0" borderId="0" xfId="0" applyFont="1" applyAlignment="1" applyProtection="1">
      <alignment horizontal="center" wrapText="1"/>
      <protection locked="0"/>
    </xf>
    <xf numFmtId="179" fontId="60" fillId="0" borderId="0" xfId="0" applyNumberFormat="1" applyFont="1" applyAlignment="1" applyProtection="1">
      <alignment horizontal="center" wrapText="1"/>
      <protection locked="0"/>
    </xf>
    <xf numFmtId="183" fontId="59" fillId="0" borderId="0" xfId="15" applyNumberFormat="1" applyFont="1" applyFill="1" applyProtection="1">
      <protection locked="0"/>
    </xf>
    <xf numFmtId="179" fontId="59" fillId="0" borderId="0" xfId="0" applyNumberFormat="1" applyFont="1" applyAlignment="1" applyProtection="1">
      <alignment horizontal="center"/>
      <protection locked="0"/>
    </xf>
    <xf numFmtId="179" fontId="59" fillId="0" borderId="0" xfId="18" applyNumberFormat="1" applyFont="1" applyFill="1" applyProtection="1">
      <protection locked="0"/>
    </xf>
    <xf numFmtId="179" fontId="59" fillId="0" borderId="11" xfId="18" applyNumberFormat="1" applyFont="1" applyFill="1" applyBorder="1" applyProtection="1">
      <protection locked="0"/>
    </xf>
    <xf numFmtId="179" fontId="60" fillId="0" borderId="0" xfId="18" applyNumberFormat="1" applyFont="1" applyFill="1" applyProtection="1">
      <protection locked="0"/>
    </xf>
    <xf numFmtId="174" fontId="12" fillId="0" borderId="0" xfId="0" applyFont="1"/>
    <xf numFmtId="179" fontId="60" fillId="0" borderId="0" xfId="18" applyNumberFormat="1" applyFont="1" applyFill="1" applyAlignment="1" applyProtection="1">
      <alignment horizontal="center"/>
      <protection locked="0"/>
    </xf>
    <xf numFmtId="174" fontId="61" fillId="0" borderId="0" xfId="0" applyFont="1" applyProtection="1">
      <protection locked="0"/>
    </xf>
    <xf numFmtId="175" fontId="12" fillId="0" borderId="0" xfId="16" applyNumberFormat="1" applyFont="1" applyFill="1"/>
    <xf numFmtId="174" fontId="12" fillId="0" borderId="0" xfId="0" applyFont="1" applyAlignment="1" applyProtection="1">
      <alignment wrapText="1"/>
      <protection locked="0"/>
    </xf>
    <xf numFmtId="174" fontId="32" fillId="0" borderId="0" xfId="0" applyFont="1" applyAlignment="1">
      <alignment vertical="center" wrapText="1"/>
    </xf>
    <xf numFmtId="174" fontId="59" fillId="0" borderId="23" xfId="0" applyFont="1" applyBorder="1" applyAlignment="1" applyProtection="1">
      <alignment horizontal="center" vertical="center" wrapText="1"/>
      <protection locked="0"/>
    </xf>
    <xf numFmtId="174" fontId="59" fillId="0" borderId="0" xfId="0" applyFont="1" applyAlignment="1" applyProtection="1">
      <alignment horizontal="center" vertical="center" wrapText="1"/>
      <protection locked="0"/>
    </xf>
    <xf numFmtId="174" fontId="61" fillId="0" borderId="0" xfId="0" applyFont="1" applyAlignment="1" applyProtection="1">
      <alignment horizontal="left"/>
      <protection locked="0"/>
    </xf>
    <xf numFmtId="174" fontId="32" fillId="0" borderId="0" xfId="0" applyFont="1" applyAlignment="1">
      <alignment horizontal="left" indent="1"/>
    </xf>
    <xf numFmtId="179" fontId="32" fillId="0" borderId="0" xfId="18" applyNumberFormat="1" applyFont="1" applyFill="1" applyBorder="1" applyAlignment="1">
      <alignment/>
    </xf>
    <xf numFmtId="179" fontId="32" fillId="0" borderId="0" xfId="15" applyNumberFormat="1" applyFont="1" applyFill="1" applyBorder="1" applyAlignment="1">
      <alignment/>
    </xf>
    <xf numFmtId="49" fontId="33" fillId="0" borderId="0" xfId="0" applyNumberFormat="1" applyFont="1" applyAlignment="1">
      <alignment horizontal="center"/>
    </xf>
    <xf numFmtId="3" fontId="32" fillId="0" borderId="0" xfId="0" applyNumberFormat="1" applyFont="1" applyAlignment="1">
      <alignment horizontal="center"/>
    </xf>
    <xf numFmtId="174" fontId="33" fillId="0" borderId="0" xfId="0" applyFont="1" applyAlignment="1">
      <alignment horizontal="center"/>
    </xf>
    <xf numFmtId="0" fontId="32" fillId="0" borderId="12" xfId="0" applyNumberFormat="1" applyFont="1" applyBorder="1" applyAlignment="1">
      <alignment horizontal="center" wrapText="1"/>
    </xf>
    <xf numFmtId="179" fontId="53" fillId="20" borderId="0" xfId="18" applyNumberFormat="1" applyFont="1" applyFill="1" applyAlignment="1">
      <alignment horizontal="center" vertical="center"/>
    </xf>
    <xf numFmtId="179" fontId="53" fillId="0" borderId="0" xfId="18" applyNumberFormat="1" applyFont="1" applyAlignment="1">
      <alignment vertical="center"/>
    </xf>
    <xf numFmtId="179" fontId="53" fillId="0" borderId="0" xfId="18" applyNumberFormat="1" applyFont="1" applyAlignment="1">
      <alignment horizontal="center" vertical="center"/>
    </xf>
    <xf numFmtId="179" fontId="53" fillId="20" borderId="0" xfId="18" applyNumberFormat="1" applyFont="1" applyFill="1" applyBorder="1" applyAlignment="1">
      <alignment horizontal="center" vertical="center"/>
    </xf>
    <xf numFmtId="179" fontId="53" fillId="0" borderId="0" xfId="18" applyNumberFormat="1" applyFont="1" applyBorder="1" applyAlignment="1">
      <alignment horizontal="center" vertical="center"/>
    </xf>
    <xf numFmtId="179" fontId="53" fillId="0" borderId="11" xfId="18" applyNumberFormat="1" applyFont="1" applyBorder="1" applyAlignment="1">
      <alignment horizontal="center" vertical="center"/>
    </xf>
    <xf numFmtId="179" fontId="53" fillId="20" borderId="6" xfId="18" applyNumberFormat="1" applyFont="1" applyFill="1" applyBorder="1" applyAlignment="1">
      <alignment horizontal="center" vertical="center"/>
    </xf>
    <xf numFmtId="179" fontId="53" fillId="0" borderId="0" xfId="18" applyNumberFormat="1" applyFont="1" applyFill="1" applyAlignment="1">
      <alignment horizontal="center" vertical="center"/>
    </xf>
    <xf numFmtId="179" fontId="32" fillId="20" borderId="0" xfId="18" applyNumberFormat="1" applyFont="1" applyFill="1" applyBorder="1" applyAlignment="1">
      <alignment/>
    </xf>
    <xf numFmtId="0" fontId="1" fillId="0" borderId="0" xfId="145" applyFont="1">
      <alignment/>
      <protection/>
    </xf>
    <xf numFmtId="0" fontId="62" fillId="0" borderId="0" xfId="145" applyFont="1">
      <alignment/>
      <protection/>
    </xf>
    <xf numFmtId="0" fontId="63" fillId="0" borderId="0" xfId="145" applyFont="1">
      <alignment/>
      <protection/>
    </xf>
    <xf numFmtId="0" fontId="1" fillId="0" borderId="0" xfId="145" applyFont="1" applyAlignment="1">
      <alignment horizontal="left" vertical="center"/>
      <protection/>
    </xf>
    <xf numFmtId="10" fontId="1" fillId="0" borderId="0" xfId="146" applyNumberFormat="1" applyFont="1"/>
    <xf numFmtId="0" fontId="2" fillId="0" borderId="0" xfId="145" applyAlignment="1">
      <alignment vertical="center"/>
      <protection/>
    </xf>
    <xf numFmtId="3" fontId="32" fillId="20" borderId="0" xfId="99" applyNumberFormat="1" applyFont="1" applyFill="1">
      <alignment/>
      <protection/>
    </xf>
    <xf numFmtId="175" fontId="32" fillId="20" borderId="11" xfId="16" applyNumberFormat="1" applyFont="1" applyFill="1" applyBorder="1" applyAlignment="1">
      <alignment/>
    </xf>
    <xf numFmtId="44" fontId="32" fillId="20" borderId="0" xfId="16" applyFont="1" applyFill="1" applyBorder="1" applyAlignment="1">
      <alignment/>
    </xf>
    <xf numFmtId="180" fontId="32" fillId="20" borderId="0" xfId="15" applyNumberFormat="1" applyFont="1" applyFill="1" applyBorder="1" applyAlignment="1">
      <alignment/>
    </xf>
    <xf numFmtId="174" fontId="64" fillId="0" borderId="0" xfId="0" applyFont="1" applyAlignment="1">
      <alignment vertical="center"/>
    </xf>
    <xf numFmtId="174" fontId="65" fillId="0" borderId="0" xfId="0" applyFont="1" applyAlignment="1">
      <alignment horizontal="center" vertical="center"/>
    </xf>
    <xf numFmtId="1" fontId="52" fillId="0" borderId="0" xfId="0" applyNumberFormat="1" applyFont="1" applyAlignment="1">
      <alignment horizontal="right" vertical="center"/>
    </xf>
    <xf numFmtId="179" fontId="52" fillId="0" borderId="0" xfId="18" applyNumberFormat="1" applyFont="1" applyAlignment="1">
      <alignment horizontal="left" vertical="center"/>
    </xf>
    <xf numFmtId="179" fontId="66" fillId="0" borderId="0" xfId="18" applyNumberFormat="1" applyFont="1" applyAlignment="1">
      <alignment horizontal="center" vertical="center"/>
    </xf>
    <xf numFmtId="174" fontId="66" fillId="0" borderId="0" xfId="0" applyFont="1" applyAlignment="1">
      <alignment horizontal="center" vertical="center"/>
    </xf>
    <xf numFmtId="1" fontId="53" fillId="0" borderId="0" xfId="0" applyNumberFormat="1" applyFont="1" applyAlignment="1">
      <alignment horizontal="center" vertical="center"/>
    </xf>
    <xf numFmtId="174" fontId="54" fillId="0" borderId="0" xfId="0" applyFont="1" applyAlignment="1">
      <alignment horizontal="right" vertical="center"/>
    </xf>
    <xf numFmtId="185" fontId="54" fillId="0" borderId="0" xfId="0" applyNumberFormat="1" applyFont="1" applyAlignment="1">
      <alignment horizontal="center" vertical="center"/>
    </xf>
    <xf numFmtId="1" fontId="54" fillId="0" borderId="0" xfId="0" applyNumberFormat="1" applyFont="1" applyAlignment="1">
      <alignment horizontal="center" vertical="center"/>
    </xf>
    <xf numFmtId="1" fontId="52" fillId="20" borderId="0" xfId="0" applyNumberFormat="1" applyFont="1" applyFill="1" applyAlignment="1">
      <alignment vertical="center"/>
    </xf>
    <xf numFmtId="179" fontId="53" fillId="20" borderId="0" xfId="18" applyNumberFormat="1" applyFont="1" applyFill="1" applyAlignment="1">
      <alignment vertical="center"/>
    </xf>
    <xf numFmtId="1" fontId="52" fillId="0" borderId="0" xfId="0" applyNumberFormat="1" applyFont="1" applyAlignment="1">
      <alignment vertical="center"/>
    </xf>
    <xf numFmtId="0" fontId="27" fillId="0" borderId="0" xfId="145" applyFont="1">
      <alignment/>
      <protection/>
    </xf>
    <xf numFmtId="0" fontId="33" fillId="0" borderId="24" xfId="0" applyNumberFormat="1" applyFont="1" applyBorder="1" applyAlignment="1">
      <alignment horizontal="center" wrapText="1"/>
    </xf>
    <xf numFmtId="0" fontId="32" fillId="0" borderId="24" xfId="0" applyNumberFormat="1" applyFont="1" applyBorder="1" applyAlignment="1">
      <alignment horizontal="center" wrapText="1"/>
    </xf>
    <xf numFmtId="174" fontId="32" fillId="0" borderId="0" xfId="0" applyFont="1" applyAlignment="1">
      <alignment horizontal="right" vertical="top"/>
    </xf>
    <xf numFmtId="174" fontId="52" fillId="0" borderId="0" xfId="0" applyFont="1" applyAlignment="1">
      <alignment horizontal="center" vertical="top"/>
    </xf>
    <xf numFmtId="174" fontId="52" fillId="0" borderId="0" xfId="0" applyFont="1" applyAlignment="1">
      <alignment vertical="top"/>
    </xf>
    <xf numFmtId="0" fontId="1" fillId="0" borderId="0" xfId="149" applyFont="1">
      <alignment/>
      <protection/>
    </xf>
    <xf numFmtId="0" fontId="62" fillId="0" borderId="0" xfId="149" applyFont="1">
      <alignment/>
      <protection/>
    </xf>
    <xf numFmtId="0" fontId="62" fillId="0" borderId="6" xfId="149" applyFont="1" applyBorder="1">
      <alignment/>
      <protection/>
    </xf>
    <xf numFmtId="10" fontId="1" fillId="20" borderId="0" xfId="149" applyNumberFormat="1" applyFont="1" applyFill="1">
      <alignment/>
      <protection/>
    </xf>
    <xf numFmtId="0" fontId="1" fillId="0" borderId="0" xfId="149" applyFont="1" applyAlignment="1">
      <alignment horizontal="right" wrapText="1"/>
      <protection/>
    </xf>
    <xf numFmtId="0" fontId="1" fillId="0" borderId="0" xfId="149" applyFont="1" applyAlignment="1">
      <alignment horizontal="center"/>
      <protection/>
    </xf>
    <xf numFmtId="0" fontId="1" fillId="0" borderId="0" xfId="149" applyFont="1" applyAlignment="1">
      <alignment horizontal="center" wrapText="1"/>
      <protection/>
    </xf>
    <xf numFmtId="164" fontId="1" fillId="0" borderId="25" xfId="149" applyNumberFormat="1" applyFont="1" applyBorder="1">
      <alignment/>
      <protection/>
    </xf>
    <xf numFmtId="174" fontId="68" fillId="0" borderId="0" xfId="0" applyFont="1" applyAlignment="1">
      <alignment vertical="center"/>
    </xf>
    <xf numFmtId="49" fontId="52" fillId="22" borderId="26" xfId="0" applyNumberFormat="1" applyFont="1" applyFill="1" applyBorder="1" applyAlignment="1">
      <alignment vertical="center"/>
    </xf>
    <xf numFmtId="174" fontId="52" fillId="22" borderId="26" xfId="0" applyFont="1" applyFill="1" applyBorder="1" applyAlignment="1">
      <alignment vertical="center"/>
    </xf>
    <xf numFmtId="49" fontId="52" fillId="22" borderId="6" xfId="0" applyNumberFormat="1" applyFont="1" applyFill="1" applyBorder="1" applyAlignment="1">
      <alignment vertical="center"/>
    </xf>
    <xf numFmtId="174" fontId="52" fillId="22" borderId="6" xfId="0" applyFont="1" applyFill="1" applyBorder="1" applyAlignment="1">
      <alignment vertical="center"/>
    </xf>
    <xf numFmtId="174" fontId="54" fillId="0" borderId="27" xfId="0" applyFont="1" applyBorder="1" applyAlignment="1">
      <alignment horizontal="center" vertical="center"/>
    </xf>
    <xf numFmtId="174" fontId="52" fillId="0" borderId="27" xfId="0" applyFont="1" applyBorder="1" applyAlignment="1">
      <alignment vertical="center"/>
    </xf>
    <xf numFmtId="174" fontId="52" fillId="0" borderId="6" xfId="0" applyFont="1" applyBorder="1" applyAlignment="1">
      <alignment vertical="center"/>
    </xf>
    <xf numFmtId="1" fontId="32" fillId="0" borderId="0" xfId="0" applyNumberFormat="1" applyFont="1"/>
    <xf numFmtId="1" fontId="32" fillId="20" borderId="0" xfId="0" applyNumberFormat="1" applyFont="1" applyFill="1"/>
    <xf numFmtId="49" fontId="34" fillId="0" borderId="0" xfId="0" applyNumberFormat="1" applyFont="1" applyAlignment="1">
      <alignment horizontal="center" wrapText="1"/>
    </xf>
    <xf numFmtId="1" fontId="34" fillId="0" borderId="0" xfId="0" applyNumberFormat="1" applyFont="1" applyAlignment="1">
      <alignment horizontal="center" wrapText="1"/>
    </xf>
    <xf numFmtId="49" fontId="34" fillId="0" borderId="0" xfId="0" applyNumberFormat="1" applyFont="1" applyAlignment="1">
      <alignment horizontal="right" wrapText="1"/>
    </xf>
    <xf numFmtId="1" fontId="32" fillId="20" borderId="0" xfId="0" applyNumberFormat="1" applyFont="1" applyFill="1" applyAlignment="1">
      <alignment horizontal="center"/>
    </xf>
    <xf numFmtId="1" fontId="32" fillId="0" borderId="0" xfId="0" applyNumberFormat="1" applyFont="1" applyAlignment="1">
      <alignment horizontal="center" vertical="top"/>
    </xf>
    <xf numFmtId="49" fontId="32" fillId="0" borderId="0" xfId="0" applyNumberFormat="1" applyFont="1" applyAlignment="1">
      <alignment vertical="top"/>
    </xf>
    <xf numFmtId="1" fontId="32" fillId="20" borderId="0" xfId="0" applyNumberFormat="1" applyFont="1" applyFill="1" applyAlignment="1">
      <alignment vertical="top"/>
    </xf>
    <xf numFmtId="1" fontId="32" fillId="20" borderId="0" xfId="0" applyNumberFormat="1" applyFont="1" applyFill="1" applyAlignment="1">
      <alignment horizontal="center" vertical="top"/>
    </xf>
    <xf numFmtId="179" fontId="32" fillId="0" borderId="0" xfId="18" applyNumberFormat="1" applyFont="1" applyFill="1" applyBorder="1" applyAlignment="1">
      <alignment vertical="top"/>
    </xf>
    <xf numFmtId="179" fontId="32" fillId="20" borderId="0" xfId="18" applyNumberFormat="1" applyFont="1" applyFill="1" applyBorder="1" applyAlignment="1">
      <alignment vertical="top"/>
    </xf>
    <xf numFmtId="174" fontId="32" fillId="0" borderId="0" xfId="0" applyFont="1" applyAlignment="1">
      <alignment vertical="top"/>
    </xf>
    <xf numFmtId="1" fontId="32" fillId="0" borderId="0" xfId="0" applyNumberFormat="1" applyFont="1" applyAlignment="1">
      <alignment vertical="top"/>
    </xf>
    <xf numFmtId="179" fontId="32" fillId="0" borderId="6" xfId="18" applyNumberFormat="1" applyFont="1" applyFill="1" applyBorder="1" applyAlignment="1">
      <alignment vertical="top"/>
    </xf>
    <xf numFmtId="49" fontId="33" fillId="0" borderId="0" xfId="18" applyNumberFormat="1" applyFont="1" applyFill="1" applyBorder="1" applyAlignment="1">
      <alignment horizontal="right" vertical="top"/>
    </xf>
    <xf numFmtId="174" fontId="69" fillId="0" borderId="0" xfId="0" applyFont="1"/>
    <xf numFmtId="0" fontId="69" fillId="0" borderId="0" xfId="0" applyNumberFormat="1" applyFont="1"/>
    <xf numFmtId="174" fontId="70" fillId="0" borderId="0" xfId="0" applyFont="1"/>
    <xf numFmtId="3" fontId="69" fillId="0" borderId="0" xfId="0" applyNumberFormat="1" applyFont="1"/>
    <xf numFmtId="0" fontId="69" fillId="0" borderId="10" xfId="0" applyNumberFormat="1" applyFont="1" applyBorder="1"/>
    <xf numFmtId="174" fontId="70" fillId="0" borderId="10" xfId="0" applyFont="1" applyBorder="1"/>
    <xf numFmtId="174" fontId="70" fillId="0" borderId="17" xfId="0" applyFont="1" applyBorder="1"/>
    <xf numFmtId="0" fontId="73" fillId="0" borderId="0" xfId="0" applyNumberFormat="1" applyFont="1"/>
    <xf numFmtId="165" fontId="73" fillId="0" borderId="0" xfId="0" applyNumberFormat="1" applyFont="1" applyAlignment="1">
      <alignment horizontal="right"/>
    </xf>
    <xf numFmtId="3" fontId="73" fillId="0" borderId="0" xfId="0" applyNumberFormat="1" applyFont="1"/>
    <xf numFmtId="166" fontId="73" fillId="0" borderId="0" xfId="0" applyNumberFormat="1" applyFont="1" applyAlignment="1">
      <alignment horizontal="right"/>
    </xf>
    <xf numFmtId="3" fontId="74" fillId="0" borderId="0" xfId="0" applyNumberFormat="1" applyFont="1"/>
    <xf numFmtId="174" fontId="74" fillId="0" borderId="0" xfId="0" applyFont="1"/>
    <xf numFmtId="174" fontId="75" fillId="0" borderId="0" xfId="0" applyFont="1"/>
    <xf numFmtId="3" fontId="75" fillId="0" borderId="0" xfId="0" applyNumberFormat="1" applyFont="1"/>
    <xf numFmtId="0" fontId="75" fillId="0" borderId="0" xfId="0" applyNumberFormat="1" applyFont="1"/>
    <xf numFmtId="174" fontId="76" fillId="0" borderId="0" xfId="0" applyFont="1"/>
    <xf numFmtId="174" fontId="77" fillId="0" borderId="0" xfId="0" applyFont="1"/>
    <xf numFmtId="174" fontId="75" fillId="0" borderId="0" xfId="0" applyFont="1" applyAlignment="1">
      <alignment horizontal="left" wrapText="1"/>
    </xf>
    <xf numFmtId="9" fontId="32" fillId="0" borderId="0" xfId="15" applyFont="1" applyFill="1" applyBorder="1" applyAlignment="1">
      <alignment/>
    </xf>
    <xf numFmtId="1" fontId="71" fillId="0" borderId="0" xfId="18" applyNumberFormat="1" applyFont="1" applyFill="1" applyBorder="1" applyAlignment="1">
      <alignment/>
    </xf>
    <xf numFmtId="44" fontId="32" fillId="0" borderId="10" xfId="16" applyFont="1" applyFill="1" applyBorder="1" applyAlignment="1">
      <alignment/>
    </xf>
    <xf numFmtId="0" fontId="53" fillId="20" borderId="0" xfId="0" applyNumberFormat="1" applyFont="1" applyFill="1" applyAlignment="1">
      <alignment vertical="center"/>
    </xf>
    <xf numFmtId="174" fontId="53" fillId="20" borderId="0" xfId="0" applyFont="1" applyFill="1" applyAlignment="1">
      <alignment vertical="center"/>
    </xf>
    <xf numFmtId="174" fontId="32" fillId="0" borderId="0" xfId="0" applyFont="1" applyAlignment="1">
      <alignment horizontal="center" vertical="top" wrapText="1"/>
    </xf>
    <xf numFmtId="1" fontId="32" fillId="20" borderId="0" xfId="0" applyNumberFormat="1" applyFont="1" applyFill="1" applyAlignment="1">
      <alignment horizontal="center" vertical="top" wrapText="1"/>
    </xf>
    <xf numFmtId="10" fontId="32" fillId="0" borderId="0" xfId="15" applyNumberFormat="1" applyFont="1" applyAlignment="1">
      <alignment/>
    </xf>
    <xf numFmtId="1" fontId="32" fillId="0" borderId="0" xfId="0" applyNumberFormat="1" applyFont="1" applyAlignment="1">
      <alignment horizontal="center" vertical="top" wrapText="1"/>
    </xf>
    <xf numFmtId="49" fontId="32" fillId="0" borderId="0" xfId="0" applyNumberFormat="1" applyFont="1" applyAlignment="1">
      <alignment horizontal="center" wrapText="1"/>
    </xf>
    <xf numFmtId="174" fontId="34" fillId="0" borderId="0" xfId="0" applyFont="1" applyAlignment="1">
      <alignment horizontal="center"/>
    </xf>
    <xf numFmtId="174" fontId="34" fillId="0" borderId="0" xfId="0" applyFont="1" applyAlignment="1">
      <alignment horizontal="center" vertical="top" wrapText="1"/>
    </xf>
    <xf numFmtId="174" fontId="59" fillId="20" borderId="23" xfId="0" applyFont="1" applyFill="1" applyBorder="1" applyAlignment="1" applyProtection="1">
      <alignment horizontal="center" vertical="center" wrapText="1"/>
      <protection locked="0"/>
    </xf>
    <xf numFmtId="170" fontId="59" fillId="20" borderId="28" xfId="0" applyNumberFormat="1" applyFont="1" applyFill="1" applyBorder="1" applyAlignment="1" applyProtection="1">
      <alignment horizontal="center"/>
      <protection locked="0"/>
    </xf>
    <xf numFmtId="183" fontId="59" fillId="20" borderId="0" xfId="15" applyNumberFormat="1" applyFont="1" applyFill="1" applyProtection="1">
      <protection locked="0"/>
    </xf>
    <xf numFmtId="0" fontId="60" fillId="20" borderId="0" xfId="0" applyNumberFormat="1" applyFont="1" applyFill="1" applyAlignment="1" applyProtection="1">
      <alignment horizontal="left"/>
      <protection locked="0"/>
    </xf>
    <xf numFmtId="174" fontId="59" fillId="20" borderId="0" xfId="0" applyFont="1" applyFill="1" applyAlignment="1" applyProtection="1">
      <alignment horizontal="center"/>
      <protection locked="0"/>
    </xf>
    <xf numFmtId="174" fontId="59" fillId="20" borderId="0" xfId="0" applyFont="1" applyFill="1" applyProtection="1">
      <protection locked="0"/>
    </xf>
    <xf numFmtId="179" fontId="79" fillId="20" borderId="0" xfId="154" applyNumberFormat="1" applyFont="1" applyFill="1" applyAlignment="1">
      <alignment vertical="center"/>
    </xf>
    <xf numFmtId="179" fontId="79" fillId="20" borderId="11" xfId="154" applyNumberFormat="1" applyFont="1" applyFill="1" applyBorder="1" applyAlignment="1">
      <alignment vertical="center"/>
    </xf>
    <xf numFmtId="179" fontId="79" fillId="20" borderId="0" xfId="154" applyNumberFormat="1" applyFont="1" applyFill="1" applyBorder="1" applyAlignment="1">
      <alignment vertical="center"/>
    </xf>
    <xf numFmtId="183"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9" fontId="60" fillId="0" borderId="0" xfId="0" applyNumberFormat="1" applyFont="1" applyProtection="1">
      <protection locked="0"/>
    </xf>
    <xf numFmtId="1" fontId="34" fillId="0" borderId="0" xfId="0" applyNumberFormat="1" applyFont="1" applyAlignment="1">
      <alignment horizontal="center" vertical="top" wrapText="1"/>
    </xf>
    <xf numFmtId="0" fontId="32" fillId="0" borderId="0" xfId="0" applyNumberFormat="1" applyFont="1" applyAlignment="1">
      <alignment horizontal="left" vertical="center" wrapText="1"/>
    </xf>
    <xf numFmtId="175" fontId="59" fillId="0" borderId="28" xfId="16" applyNumberFormat="1" applyFont="1" applyFill="1" applyBorder="1" applyAlignment="1" applyProtection="1">
      <alignment horizontal="center"/>
      <protection locked="0"/>
    </xf>
    <xf numFmtId="174" fontId="59" fillId="0" borderId="0" xfId="0" applyFont="1" applyAlignment="1" applyProtection="1">
      <alignment wrapText="1"/>
      <protection locked="0"/>
    </xf>
    <xf numFmtId="174" fontId="59" fillId="20" borderId="0" xfId="0" applyFont="1" applyFill="1" applyAlignment="1" applyProtection="1">
      <alignment vertical="center"/>
      <protection locked="0"/>
    </xf>
    <xf numFmtId="179" fontId="59" fillId="0" borderId="0" xfId="0" applyNumberFormat="1" applyFont="1" applyAlignment="1" applyProtection="1">
      <alignment vertical="center"/>
      <protection locked="0"/>
    </xf>
    <xf numFmtId="183" fontId="59" fillId="0" borderId="0" xfId="0" applyNumberFormat="1" applyFont="1" applyAlignment="1" applyProtection="1">
      <alignment vertical="center"/>
      <protection locked="0"/>
    </xf>
    <xf numFmtId="0" fontId="59" fillId="0" borderId="0" xfId="0" applyNumberFormat="1" applyFont="1" applyAlignment="1" applyProtection="1">
      <alignment vertical="center"/>
      <protection locked="0"/>
    </xf>
    <xf numFmtId="179" fontId="59" fillId="0" borderId="0" xfId="18" applyNumberFormat="1" applyFont="1" applyFill="1" applyAlignment="1" applyProtection="1">
      <alignment vertical="center"/>
      <protection locked="0"/>
    </xf>
    <xf numFmtId="179" fontId="60" fillId="0" borderId="0" xfId="18" applyNumberFormat="1" applyFont="1" applyFill="1" applyAlignment="1" applyProtection="1">
      <alignment vertical="center"/>
      <protection locked="0"/>
    </xf>
    <xf numFmtId="175" fontId="12" fillId="0" borderId="11" xfId="16" applyNumberFormat="1" applyFont="1" applyFill="1" applyBorder="1"/>
    <xf numFmtId="10" fontId="32" fillId="0" borderId="0" xfId="15" applyNumberFormat="1" applyFont="1" applyAlignment="1">
      <alignment horizontal="right"/>
    </xf>
    <xf numFmtId="179" fontId="32" fillId="0" borderId="0" xfId="18" applyNumberFormat="1" applyFont="1" applyAlignment="1">
      <alignment/>
    </xf>
    <xf numFmtId="174" fontId="80" fillId="20" borderId="0" xfId="0" applyFont="1" applyFill="1" applyAlignment="1">
      <alignment horizontal="left"/>
    </xf>
    <xf numFmtId="174" fontId="32" fillId="20" borderId="0" xfId="0" applyFont="1" applyFill="1"/>
    <xf numFmtId="174" fontId="32" fillId="20" borderId="0" xfId="0" applyFont="1" applyFill="1" applyAlignment="1">
      <alignment horizontal="center"/>
    </xf>
    <xf numFmtId="175" fontId="32" fillId="20" borderId="0" xfId="16" applyNumberFormat="1" applyFont="1" applyFill="1" applyBorder="1"/>
    <xf numFmtId="175" fontId="32" fillId="0" borderId="0" xfId="18" applyNumberFormat="1" applyFont="1" applyFill="1" applyBorder="1"/>
    <xf numFmtId="175" fontId="32" fillId="0" borderId="20" xfId="18" applyNumberFormat="1" applyFont="1" applyFill="1" applyBorder="1"/>
    <xf numFmtId="175" fontId="32" fillId="0" borderId="0" xfId="18" applyNumberFormat="1" applyFont="1" applyFill="1" applyBorder="1" applyAlignment="1">
      <alignment/>
    </xf>
    <xf numFmtId="175" fontId="32" fillId="20" borderId="0" xfId="18" applyNumberFormat="1" applyFont="1" applyFill="1" applyBorder="1" applyAlignment="1">
      <alignment/>
    </xf>
    <xf numFmtId="175" fontId="32" fillId="0" borderId="0" xfId="15" applyNumberFormat="1" applyFont="1" applyFill="1" applyBorder="1" applyAlignment="1">
      <alignment/>
    </xf>
    <xf numFmtId="175" fontId="32" fillId="0" borderId="20" xfId="18" applyNumberFormat="1" applyFont="1" applyFill="1" applyBorder="1" applyAlignment="1">
      <alignment/>
    </xf>
    <xf numFmtId="179" fontId="32" fillId="20" borderId="10" xfId="18" applyNumberFormat="1" applyFont="1" applyFill="1" applyBorder="1" applyAlignment="1">
      <alignment/>
    </xf>
    <xf numFmtId="179" fontId="32" fillId="20" borderId="0" xfId="18" applyNumberFormat="1" applyFont="1" applyFill="1" applyBorder="1"/>
    <xf numFmtId="179" fontId="32" fillId="0" borderId="20" xfId="18" applyNumberFormat="1" applyFont="1" applyFill="1" applyBorder="1" applyAlignment="1">
      <alignment/>
    </xf>
    <xf numFmtId="179" fontId="32" fillId="0" borderId="0" xfId="18" applyNumberFormat="1" applyFont="1" applyFill="1" applyBorder="1" applyAlignment="1">
      <alignment horizontal="center"/>
    </xf>
    <xf numFmtId="0" fontId="72" fillId="0" borderId="0" xfId="0" applyNumberFormat="1" applyFont="1" applyAlignment="1">
      <alignment vertical="center"/>
    </xf>
    <xf numFmtId="179" fontId="32" fillId="0" borderId="6" xfId="18" applyNumberFormat="1" applyFont="1" applyBorder="1" applyAlignment="1">
      <alignment/>
    </xf>
    <xf numFmtId="164" fontId="33" fillId="0" borderId="0" xfId="0" applyNumberFormat="1" applyFont="1" applyAlignment="1">
      <alignment horizontal="left"/>
    </xf>
    <xf numFmtId="179" fontId="32" fillId="0" borderId="0" xfId="18" applyNumberFormat="1" applyFont="1" applyFill="1" applyAlignment="1">
      <alignment/>
    </xf>
    <xf numFmtId="37" fontId="32" fillId="0" borderId="0" xfId="0" applyNumberFormat="1" applyFont="1"/>
    <xf numFmtId="0" fontId="32" fillId="0" borderId="0" xfId="0" applyNumberFormat="1" applyFont="1" applyAlignment="1">
      <alignment horizontal="left"/>
    </xf>
    <xf numFmtId="165" fontId="32" fillId="0" borderId="0" xfId="0" applyNumberFormat="1" applyFont="1"/>
    <xf numFmtId="179" fontId="32" fillId="0" borderId="0" xfId="18" applyNumberFormat="1" applyFont="1" applyBorder="1" applyAlignment="1">
      <alignment/>
    </xf>
    <xf numFmtId="10" fontId="32" fillId="0" borderId="0" xfId="0" applyNumberFormat="1" applyFont="1" applyAlignment="1">
      <alignment horizontal="left"/>
    </xf>
    <xf numFmtId="176" fontId="32" fillId="0" borderId="0" xfId="0" applyNumberFormat="1" applyFont="1"/>
    <xf numFmtId="182" fontId="32" fillId="0" borderId="0" xfId="0" applyNumberFormat="1" applyFont="1"/>
    <xf numFmtId="3" fontId="32" fillId="0" borderId="0" xfId="0" applyNumberFormat="1" applyFont="1" applyAlignment="1">
      <alignment horizontal="left"/>
    </xf>
    <xf numFmtId="179" fontId="32" fillId="0" borderId="6" xfId="18" applyNumberFormat="1" applyFont="1" applyFill="1" applyBorder="1" applyAlignment="1">
      <alignment/>
    </xf>
    <xf numFmtId="164" fontId="32" fillId="0" borderId="0" xfId="0" applyNumberFormat="1" applyFont="1" applyAlignment="1">
      <alignment horizontal="left"/>
    </xf>
    <xf numFmtId="179" fontId="32" fillId="0" borderId="0" xfId="18" applyNumberFormat="1" applyFont="1" applyFill="1" applyAlignment="1">
      <alignment horizontal="right"/>
    </xf>
    <xf numFmtId="166" fontId="32" fillId="0" borderId="0" xfId="0" applyNumberFormat="1" applyFont="1"/>
    <xf numFmtId="1" fontId="33" fillId="0" borderId="0" xfId="0" applyNumberFormat="1" applyFont="1" applyAlignment="1">
      <alignment vertical="center"/>
    </xf>
    <xf numFmtId="0" fontId="33" fillId="0" borderId="12" xfId="0" applyNumberFormat="1" applyFont="1" applyBorder="1" applyAlignment="1">
      <alignment horizontal="center" wrapText="1"/>
    </xf>
    <xf numFmtId="3" fontId="33" fillId="0" borderId="14" xfId="0" applyNumberFormat="1" applyFont="1" applyBorder="1" applyAlignment="1">
      <alignment horizontal="center" wrapText="1"/>
    </xf>
    <xf numFmtId="3" fontId="32" fillId="0" borderId="14" xfId="0" applyNumberFormat="1" applyFont="1" applyBorder="1" applyAlignment="1">
      <alignment horizontal="center"/>
    </xf>
    <xf numFmtId="175" fontId="36" fillId="0" borderId="0" xfId="16" applyNumberFormat="1" applyFont="1" applyFill="1" applyBorder="1" applyAlignment="1">
      <alignment/>
    </xf>
    <xf numFmtId="175" fontId="73" fillId="0" borderId="0" xfId="16" applyNumberFormat="1" applyFont="1" applyFill="1" applyBorder="1" applyAlignment="1">
      <alignment/>
    </xf>
    <xf numFmtId="174" fontId="32" fillId="20" borderId="0" xfId="0" applyFont="1" applyFill="1" applyAlignment="1">
      <alignment horizontal="left"/>
    </xf>
    <xf numFmtId="179" fontId="32" fillId="20" borderId="0" xfId="18" applyNumberFormat="1" applyFont="1" applyFill="1" applyAlignment="1">
      <alignment/>
    </xf>
    <xf numFmtId="179" fontId="32" fillId="0" borderId="0" xfId="15" applyNumberFormat="1" applyFont="1" applyAlignment="1">
      <alignment horizontal="right"/>
    </xf>
    <xf numFmtId="179" fontId="79" fillId="0" borderId="0" xfId="154" applyNumberFormat="1" applyFont="1" applyFill="1" applyAlignment="1">
      <alignment vertical="center"/>
    </xf>
    <xf numFmtId="179" fontId="79" fillId="0" borderId="11" xfId="154" applyNumberFormat="1" applyFont="1" applyFill="1" applyBorder="1" applyAlignment="1">
      <alignment vertical="center"/>
    </xf>
    <xf numFmtId="0" fontId="2" fillId="0" borderId="0" xfId="155">
      <alignment/>
      <protection/>
    </xf>
    <xf numFmtId="0" fontId="2" fillId="0" borderId="0" xfId="155" applyAlignment="1">
      <alignment horizontal="center"/>
      <protection/>
    </xf>
    <xf numFmtId="37" fontId="2" fillId="0" borderId="0" xfId="155" applyNumberFormat="1">
      <alignment/>
      <protection/>
    </xf>
    <xf numFmtId="3" fontId="81" fillId="0" borderId="0" xfId="156" applyNumberFormat="1" applyFont="1" applyAlignment="1">
      <alignment horizontal="center" wrapText="1"/>
      <protection/>
    </xf>
    <xf numFmtId="0" fontId="78" fillId="0" borderId="29" xfId="155" applyFont="1" applyBorder="1" applyAlignment="1">
      <alignment horizontal="center"/>
      <protection/>
    </xf>
    <xf numFmtId="37" fontId="2" fillId="0" borderId="30" xfId="155" applyNumberFormat="1" applyBorder="1">
      <alignment/>
      <protection/>
    </xf>
    <xf numFmtId="0" fontId="2" fillId="0" borderId="31" xfId="155" applyBorder="1">
      <alignment/>
      <protection/>
    </xf>
    <xf numFmtId="0" fontId="2" fillId="0" borderId="26" xfId="155" applyBorder="1">
      <alignment/>
      <protection/>
    </xf>
    <xf numFmtId="0" fontId="2" fillId="0" borderId="32" xfId="155" applyBorder="1">
      <alignment/>
      <protection/>
    </xf>
    <xf numFmtId="0" fontId="78" fillId="0" borderId="33" xfId="155" applyFont="1" applyBorder="1" applyAlignment="1">
      <alignment wrapText="1"/>
      <protection/>
    </xf>
    <xf numFmtId="0" fontId="78" fillId="0" borderId="0" xfId="155" applyFont="1" applyAlignment="1">
      <alignment horizontal="left" indent="2"/>
      <protection/>
    </xf>
    <xf numFmtId="0" fontId="2" fillId="0" borderId="0" xfId="155" applyAlignment="1">
      <alignment horizontal="center" wrapText="1"/>
      <protection/>
    </xf>
    <xf numFmtId="0" fontId="78" fillId="0" borderId="0" xfId="155" applyFont="1" applyAlignment="1">
      <alignment horizontal="center" wrapText="1"/>
      <protection/>
    </xf>
    <xf numFmtId="0" fontId="78" fillId="0" borderId="27" xfId="155" applyFont="1" applyBorder="1" applyAlignment="1">
      <alignment horizontal="center" wrapText="1"/>
      <protection/>
    </xf>
    <xf numFmtId="37" fontId="2" fillId="0" borderId="27" xfId="155" applyNumberFormat="1" applyBorder="1">
      <alignment/>
      <protection/>
    </xf>
    <xf numFmtId="37" fontId="2" fillId="0" borderId="33" xfId="155" applyNumberFormat="1" applyBorder="1">
      <alignment/>
      <protection/>
    </xf>
    <xf numFmtId="37" fontId="78" fillId="0" borderId="33" xfId="155" applyNumberFormat="1" applyFont="1" applyBorder="1" applyAlignment="1">
      <alignment wrapText="1"/>
      <protection/>
    </xf>
    <xf numFmtId="37" fontId="78" fillId="0" borderId="0" xfId="155" applyNumberFormat="1" applyFont="1">
      <alignment/>
      <protection/>
    </xf>
    <xf numFmtId="37" fontId="78" fillId="0" borderId="33" xfId="155" applyNumberFormat="1" applyFont="1" applyBorder="1">
      <alignment/>
      <protection/>
    </xf>
    <xf numFmtId="0" fontId="2" fillId="0" borderId="20" xfId="155" applyBorder="1">
      <alignment/>
      <protection/>
    </xf>
    <xf numFmtId="37" fontId="78" fillId="0" borderId="34" xfId="155" applyNumberFormat="1" applyFont="1" applyBorder="1">
      <alignment/>
      <protection/>
    </xf>
    <xf numFmtId="37" fontId="2" fillId="0" borderId="6" xfId="155" applyNumberFormat="1" applyBorder="1">
      <alignment/>
      <protection/>
    </xf>
    <xf numFmtId="37" fontId="78" fillId="0" borderId="6" xfId="155" applyNumberFormat="1" applyFont="1" applyBorder="1">
      <alignment/>
      <protection/>
    </xf>
    <xf numFmtId="37" fontId="2" fillId="0" borderId="35" xfId="155" applyNumberFormat="1" applyBorder="1">
      <alignment/>
      <protection/>
    </xf>
    <xf numFmtId="0" fontId="78" fillId="0" borderId="0" xfId="155" applyFont="1" applyAlignment="1">
      <alignment wrapText="1"/>
      <protection/>
    </xf>
    <xf numFmtId="179" fontId="78" fillId="0" borderId="0" xfId="157" applyNumberFormat="1" applyFont="1" applyFill="1"/>
    <xf numFmtId="43" fontId="2" fillId="0" borderId="0" xfId="155" applyNumberFormat="1">
      <alignment/>
      <protection/>
    </xf>
    <xf numFmtId="0" fontId="2" fillId="0" borderId="11" xfId="155" applyBorder="1">
      <alignment/>
      <protection/>
    </xf>
    <xf numFmtId="0" fontId="2" fillId="0" borderId="11" xfId="155" applyBorder="1" applyAlignment="1">
      <alignment horizontal="center" wrapText="1"/>
      <protection/>
    </xf>
    <xf numFmtId="0" fontId="79" fillId="0" borderId="11" xfId="156" applyFont="1" applyBorder="1" applyAlignment="1">
      <alignment horizontal="center" wrapText="1"/>
      <protection/>
    </xf>
    <xf numFmtId="0" fontId="5" fillId="0" borderId="11" xfId="156" applyBorder="1" applyAlignment="1">
      <alignment horizontal="center" wrapText="1"/>
      <protection/>
    </xf>
    <xf numFmtId="179" fontId="2" fillId="20" borderId="0" xfId="18" applyNumberFormat="1" applyFont="1" applyFill="1"/>
    <xf numFmtId="179" fontId="2" fillId="0" borderId="0" xfId="155" applyNumberFormat="1">
      <alignment/>
      <protection/>
    </xf>
    <xf numFmtId="179" fontId="78" fillId="0" borderId="0" xfId="155" applyNumberFormat="1" applyFont="1">
      <alignment/>
      <protection/>
    </xf>
    <xf numFmtId="179" fontId="2" fillId="0" borderId="0" xfId="18" applyNumberFormat="1" applyFont="1"/>
    <xf numFmtId="0" fontId="78" fillId="0" borderId="0" xfId="155" applyFont="1">
      <alignment/>
      <protection/>
    </xf>
    <xf numFmtId="0" fontId="78" fillId="0" borderId="0" xfId="155" applyFont="1" applyAlignment="1">
      <alignment vertical="top"/>
      <protection/>
    </xf>
    <xf numFmtId="0" fontId="78" fillId="0" borderId="0" xfId="155" applyFont="1" applyAlignment="1">
      <alignment horizontal="center"/>
      <protection/>
    </xf>
    <xf numFmtId="174" fontId="52" fillId="0" borderId="0" xfId="0" applyFont="1" applyAlignment="1">
      <alignment horizontal="left" vertical="center"/>
    </xf>
    <xf numFmtId="174" fontId="32" fillId="0" borderId="0" xfId="0" applyFont="1" applyAlignment="1">
      <alignment horizontal="left" vertical="top"/>
    </xf>
    <xf numFmtId="1" fontId="52" fillId="22" borderId="26" xfId="0" applyNumberFormat="1" applyFont="1" applyFill="1" applyBorder="1" applyAlignment="1">
      <alignment vertical="center"/>
    </xf>
    <xf numFmtId="1" fontId="52" fillId="22" borderId="6" xfId="0" applyNumberFormat="1" applyFont="1" applyFill="1" applyBorder="1" applyAlignment="1">
      <alignment vertical="center"/>
    </xf>
    <xf numFmtId="1" fontId="52" fillId="0" borderId="6" xfId="0" applyNumberFormat="1" applyFont="1" applyBorder="1" applyAlignment="1">
      <alignment vertical="center"/>
    </xf>
    <xf numFmtId="1" fontId="52" fillId="0" borderId="0" xfId="0" applyNumberFormat="1" applyFont="1" applyAlignment="1">
      <alignment horizontal="left" vertical="center"/>
    </xf>
    <xf numFmtId="179" fontId="52" fillId="0" borderId="0" xfId="18" applyNumberFormat="1" applyFont="1" applyFill="1" applyAlignment="1">
      <alignment horizontal="left" vertical="center"/>
    </xf>
    <xf numFmtId="43" fontId="52" fillId="0" borderId="0" xfId="18" applyFont="1" applyFill="1" applyAlignment="1">
      <alignment horizontal="left" vertical="center"/>
    </xf>
    <xf numFmtId="170" fontId="52" fillId="0" borderId="0" xfId="0" applyNumberFormat="1" applyFont="1" applyAlignment="1">
      <alignment vertical="center"/>
    </xf>
    <xf numFmtId="179" fontId="52" fillId="20" borderId="0" xfId="18" applyNumberFormat="1" applyFont="1" applyFill="1" applyAlignment="1">
      <alignment horizontal="center" vertical="center"/>
    </xf>
    <xf numFmtId="1" fontId="56" fillId="0" borderId="0" xfId="0" applyNumberFormat="1" applyFont="1" applyAlignment="1">
      <alignment horizontal="left" vertical="center"/>
    </xf>
    <xf numFmtId="1" fontId="52" fillId="0" borderId="0" xfId="0" applyNumberFormat="1" applyFont="1" applyAlignment="1">
      <alignment horizontal="center" vertical="center"/>
    </xf>
    <xf numFmtId="1" fontId="54" fillId="22" borderId="31" xfId="0" applyNumberFormat="1" applyFont="1" applyFill="1" applyBorder="1" applyAlignment="1">
      <alignment horizontal="left" vertical="center"/>
    </xf>
    <xf numFmtId="1" fontId="54" fillId="22" borderId="34" xfId="0" applyNumberFormat="1" applyFont="1" applyFill="1" applyBorder="1" applyAlignment="1">
      <alignment horizontal="left" vertical="center"/>
    </xf>
    <xf numFmtId="1" fontId="52" fillId="0" borderId="33" xfId="0" applyNumberFormat="1" applyFont="1" applyBorder="1" applyAlignment="1">
      <alignment horizontal="center" vertical="center"/>
    </xf>
    <xf numFmtId="1" fontId="52" fillId="0" borderId="0" xfId="0" applyNumberFormat="1" applyFont="1" applyAlignment="1">
      <alignment horizontal="center" vertical="top" wrapText="1"/>
    </xf>
    <xf numFmtId="1" fontId="52" fillId="0" borderId="0" xfId="0" applyNumberFormat="1" applyFont="1" applyAlignment="1">
      <alignment horizontal="center" vertical="top"/>
    </xf>
    <xf numFmtId="1" fontId="52" fillId="0" borderId="34" xfId="0" applyNumberFormat="1" applyFont="1" applyBorder="1" applyAlignment="1">
      <alignment horizontal="center" vertical="center"/>
    </xf>
    <xf numFmtId="174" fontId="52" fillId="0" borderId="0" xfId="0" applyFont="1" applyAlignment="1">
      <alignment horizontal="right" vertical="center"/>
    </xf>
    <xf numFmtId="179" fontId="52" fillId="0" borderId="0" xfId="18" applyNumberFormat="1" applyFont="1" applyAlignment="1">
      <alignment vertical="center"/>
    </xf>
    <xf numFmtId="179" fontId="52" fillId="0" borderId="0" xfId="18" applyNumberFormat="1" applyFont="1" applyFill="1" applyAlignment="1">
      <alignment horizontal="center" vertical="center"/>
    </xf>
    <xf numFmtId="179" fontId="52" fillId="0" borderId="0" xfId="18" applyNumberFormat="1" applyFont="1" applyFill="1" applyAlignment="1">
      <alignment vertical="center"/>
    </xf>
    <xf numFmtId="179" fontId="52" fillId="22" borderId="26" xfId="18" applyNumberFormat="1" applyFont="1" applyFill="1" applyBorder="1" applyAlignment="1">
      <alignment horizontal="center" vertical="center"/>
    </xf>
    <xf numFmtId="179" fontId="52" fillId="22" borderId="26" xfId="18" applyNumberFormat="1" applyFont="1" applyFill="1" applyBorder="1" applyAlignment="1">
      <alignment vertical="center"/>
    </xf>
    <xf numFmtId="179" fontId="52" fillId="22" borderId="32" xfId="18" applyNumberFormat="1" applyFont="1" applyFill="1" applyBorder="1" applyAlignment="1">
      <alignment vertical="center"/>
    </xf>
    <xf numFmtId="179" fontId="52" fillId="22" borderId="6" xfId="18" applyNumberFormat="1" applyFont="1" applyFill="1" applyBorder="1" applyAlignment="1">
      <alignment horizontal="center" vertical="center"/>
    </xf>
    <xf numFmtId="179" fontId="52" fillId="22" borderId="6" xfId="18" applyNumberFormat="1" applyFont="1" applyFill="1" applyBorder="1" applyAlignment="1">
      <alignment vertical="center"/>
    </xf>
    <xf numFmtId="179" fontId="52" fillId="22" borderId="35" xfId="18" applyNumberFormat="1" applyFont="1" applyFill="1" applyBorder="1" applyAlignment="1">
      <alignment vertical="center"/>
    </xf>
    <xf numFmtId="179" fontId="52" fillId="0" borderId="0" xfId="18" applyNumberFormat="1" applyFont="1" applyFill="1" applyBorder="1" applyAlignment="1">
      <alignment horizontal="center" vertical="center"/>
    </xf>
    <xf numFmtId="179" fontId="52" fillId="0" borderId="0" xfId="18" applyNumberFormat="1" applyFont="1" applyBorder="1" applyAlignment="1">
      <alignment vertical="center"/>
    </xf>
    <xf numFmtId="179" fontId="52" fillId="0" borderId="27" xfId="18" applyNumberFormat="1" applyFont="1" applyBorder="1" applyAlignment="1">
      <alignment vertical="center"/>
    </xf>
    <xf numFmtId="179" fontId="52" fillId="0" borderId="0" xfId="18" applyNumberFormat="1" applyFont="1" applyFill="1" applyBorder="1" applyAlignment="1">
      <alignment vertical="center"/>
    </xf>
    <xf numFmtId="179" fontId="52" fillId="0" borderId="27" xfId="18" applyNumberFormat="1" applyFont="1" applyFill="1" applyBorder="1" applyAlignment="1">
      <alignment vertical="center"/>
    </xf>
    <xf numFmtId="179" fontId="52" fillId="0" borderId="0" xfId="18" applyNumberFormat="1" applyFont="1" applyBorder="1" applyAlignment="1">
      <alignment horizontal="center" vertical="center"/>
    </xf>
    <xf numFmtId="179" fontId="52" fillId="0" borderId="6" xfId="18" applyNumberFormat="1" applyFont="1" applyBorder="1" applyAlignment="1">
      <alignment horizontal="center" vertical="center"/>
    </xf>
    <xf numFmtId="179" fontId="52" fillId="0" borderId="35" xfId="18" applyNumberFormat="1" applyFont="1" applyBorder="1" applyAlignment="1">
      <alignment horizontal="center" vertical="center"/>
    </xf>
    <xf numFmtId="179" fontId="52" fillId="0" borderId="0" xfId="18" applyNumberFormat="1" applyFont="1" applyAlignment="1">
      <alignment horizontal="center" vertical="center"/>
    </xf>
    <xf numFmtId="1" fontId="0" fillId="0" borderId="0" xfId="0" applyNumberFormat="1"/>
    <xf numFmtId="1" fontId="0" fillId="0" borderId="0" xfId="0" applyNumberFormat="1" applyAlignment="1">
      <alignment horizontal="center" vertical="center"/>
    </xf>
    <xf numFmtId="179" fontId="2" fillId="0" borderId="0" xfId="18" applyNumberFormat="1" applyFont="1" applyFill="1" applyBorder="1"/>
    <xf numFmtId="179" fontId="2" fillId="0" borderId="0" xfId="18" applyNumberFormat="1" applyFont="1" applyFill="1" applyBorder="1"/>
    <xf numFmtId="0" fontId="2" fillId="0" borderId="0" xfId="155" applyFont="1" applyAlignment="1">
      <alignment horizontal="center" wrapText="1"/>
      <protection/>
    </xf>
    <xf numFmtId="174" fontId="79" fillId="0" borderId="0" xfId="0" applyFont="1"/>
    <xf numFmtId="174" fontId="82" fillId="0" borderId="0" xfId="0" applyFont="1"/>
    <xf numFmtId="1" fontId="82" fillId="0" borderId="0" xfId="0" applyNumberFormat="1" applyFont="1" applyAlignment="1">
      <alignment horizontal="center"/>
    </xf>
    <xf numFmtId="1" fontId="79" fillId="0" borderId="0" xfId="0" applyNumberFormat="1" applyFont="1" applyAlignment="1">
      <alignment horizontal="center"/>
    </xf>
    <xf numFmtId="174" fontId="79" fillId="20" borderId="0" xfId="0" applyFont="1" applyFill="1"/>
    <xf numFmtId="2" fontId="79" fillId="20" borderId="0" xfId="0" applyNumberFormat="1" applyFont="1" applyFill="1" applyAlignment="1">
      <alignment horizontal="center"/>
    </xf>
    <xf numFmtId="1" fontId="79" fillId="20" borderId="0" xfId="0" applyNumberFormat="1" applyFont="1" applyFill="1" applyAlignment="1">
      <alignment horizontal="center"/>
    </xf>
    <xf numFmtId="179" fontId="79" fillId="0" borderId="0" xfId="18" applyNumberFormat="1" applyFont="1" applyAlignment="1">
      <alignment/>
    </xf>
    <xf numFmtId="179" fontId="82" fillId="0" borderId="0" xfId="18" applyNumberFormat="1" applyFont="1" applyAlignment="1">
      <alignment horizontal="center" wrapText="1"/>
    </xf>
    <xf numFmtId="1" fontId="82" fillId="0" borderId="0" xfId="18" applyNumberFormat="1" applyFont="1" applyAlignment="1">
      <alignment horizontal="center"/>
    </xf>
    <xf numFmtId="174" fontId="79" fillId="0" borderId="0" xfId="0" applyFont="1" applyAlignment="1">
      <alignment horizontal="center"/>
    </xf>
    <xf numFmtId="179" fontId="79" fillId="0" borderId="0" xfId="18" applyNumberFormat="1" applyFont="1" applyAlignment="1">
      <alignment horizontal="center"/>
    </xf>
    <xf numFmtId="179" fontId="79" fillId="20" borderId="0" xfId="18" applyNumberFormat="1" applyFont="1" applyFill="1" applyAlignment="1">
      <alignment/>
    </xf>
    <xf numFmtId="179" fontId="79" fillId="20" borderId="11" xfId="18" applyNumberFormat="1" applyFont="1" applyFill="1" applyBorder="1" applyAlignment="1">
      <alignment/>
    </xf>
    <xf numFmtId="2" fontId="79" fillId="0" borderId="0" xfId="0" applyNumberFormat="1" applyFont="1" applyAlignment="1">
      <alignment horizontal="center"/>
    </xf>
    <xf numFmtId="179" fontId="2" fillId="0" borderId="0" xfId="18" applyNumberFormat="1" applyFont="1" applyFill="1"/>
    <xf numFmtId="179" fontId="79" fillId="0" borderId="11" xfId="18" applyNumberFormat="1" applyFont="1" applyBorder="1" applyAlignment="1">
      <alignment/>
    </xf>
    <xf numFmtId="0" fontId="2" fillId="0" borderId="0" xfId="155" applyFont="1">
      <alignment/>
      <protection/>
    </xf>
    <xf numFmtId="0" fontId="2" fillId="20" borderId="0" xfId="155" applyFill="1" applyAlignment="1">
      <alignment horizontal="center"/>
      <protection/>
    </xf>
    <xf numFmtId="1" fontId="79" fillId="0" borderId="0" xfId="0" applyNumberFormat="1" applyFont="1" applyAlignment="1">
      <alignment horizontal="center" vertical="top"/>
    </xf>
    <xf numFmtId="174" fontId="79" fillId="0" borderId="0" xfId="0" applyFont="1" applyAlignment="1">
      <alignment vertical="top"/>
    </xf>
    <xf numFmtId="0" fontId="32" fillId="20" borderId="0" xfId="0" applyNumberFormat="1" applyFont="1" applyFill="1" applyAlignment="1">
      <alignment horizontal="right"/>
    </xf>
    <xf numFmtId="49" fontId="83" fillId="0" borderId="0" xfId="18" applyNumberFormat="1" applyFont="1" applyFill="1" applyBorder="1" applyAlignment="1">
      <alignment horizontal="right" vertical="top"/>
    </xf>
    <xf numFmtId="179" fontId="71" fillId="0" borderId="0" xfId="18" applyNumberFormat="1" applyFont="1" applyFill="1" applyBorder="1" applyAlignment="1">
      <alignment vertical="top"/>
    </xf>
    <xf numFmtId="174" fontId="71" fillId="0" borderId="0" xfId="0" applyFont="1" applyAlignment="1">
      <alignment horizontal="right"/>
    </xf>
    <xf numFmtId="174" fontId="71" fillId="0" borderId="0" xfId="0" applyFont="1"/>
    <xf numFmtId="0" fontId="32" fillId="0" borderId="0" xfId="0" applyNumberFormat="1" applyFont="1" applyAlignment="1">
      <alignment horizontal="center" vertical="center"/>
    </xf>
    <xf numFmtId="179" fontId="32" fillId="0" borderId="0" xfId="15" applyNumberFormat="1" applyFont="1" applyFill="1" applyAlignment="1">
      <alignment horizontal="right"/>
    </xf>
    <xf numFmtId="179" fontId="52" fillId="20" borderId="0" xfId="18" applyNumberFormat="1" applyFont="1" applyFill="1" applyAlignment="1">
      <alignment vertical="center"/>
    </xf>
    <xf numFmtId="174" fontId="54" fillId="0" borderId="0" xfId="0" applyFont="1" applyAlignment="1">
      <alignment horizontal="left" vertical="center"/>
    </xf>
    <xf numFmtId="174" fontId="79" fillId="0" borderId="0" xfId="0" applyFont="1" applyAlignment="1">
      <alignment horizontal="left"/>
    </xf>
    <xf numFmtId="179" fontId="82" fillId="0" borderId="0" xfId="18" applyNumberFormat="1" applyFont="1" applyFill="1" applyAlignment="1">
      <alignment/>
    </xf>
    <xf numFmtId="179" fontId="79" fillId="0" borderId="0" xfId="18" applyNumberFormat="1" applyFont="1" applyFill="1" applyAlignment="1">
      <alignment/>
    </xf>
    <xf numFmtId="1" fontId="82" fillId="0" borderId="0" xfId="0" applyNumberFormat="1" applyFont="1" applyAlignment="1">
      <alignment horizontal="left" vertical="center"/>
    </xf>
    <xf numFmtId="1" fontId="82" fillId="0" borderId="0" xfId="0" applyNumberFormat="1" applyFont="1" applyAlignment="1">
      <alignment vertical="center"/>
    </xf>
    <xf numFmtId="0" fontId="79" fillId="0" borderId="0" xfId="0" applyNumberFormat="1" applyFont="1" applyAlignment="1">
      <alignment horizontal="right"/>
    </xf>
    <xf numFmtId="0" fontId="82" fillId="0" borderId="0" xfId="151" applyFont="1" applyAlignment="1">
      <alignment vertical="top"/>
      <protection/>
    </xf>
    <xf numFmtId="0" fontId="82" fillId="0" borderId="0" xfId="152" applyFont="1" applyAlignment="1">
      <alignment horizontal="center" vertical="center"/>
      <protection/>
    </xf>
    <xf numFmtId="0" fontId="79" fillId="0" borderId="0" xfId="152" applyFont="1" applyAlignment="1">
      <alignment horizontal="right"/>
      <protection/>
    </xf>
    <xf numFmtId="0" fontId="82" fillId="0" borderId="12" xfId="151" applyFont="1" applyBorder="1" applyAlignment="1">
      <alignment horizontal="center" vertical="center" wrapText="1"/>
      <protection/>
    </xf>
    <xf numFmtId="0" fontId="82" fillId="20" borderId="12" xfId="151" applyFont="1" applyFill="1" applyBorder="1" applyAlignment="1">
      <alignment horizontal="center" vertical="center" wrapText="1"/>
      <protection/>
    </xf>
    <xf numFmtId="0" fontId="82" fillId="0" borderId="0" xfId="151" applyFont="1" applyAlignment="1">
      <alignment horizontal="left" vertical="center" wrapText="1"/>
      <protection/>
    </xf>
    <xf numFmtId="0" fontId="82" fillId="0" borderId="0" xfId="151" applyFont="1" applyAlignment="1">
      <alignment vertical="center" wrapText="1"/>
      <protection/>
    </xf>
    <xf numFmtId="0" fontId="82" fillId="0" borderId="0" xfId="151" applyFont="1" applyAlignment="1">
      <alignment horizontal="center" vertical="center" wrapText="1"/>
      <protection/>
    </xf>
    <xf numFmtId="0" fontId="82" fillId="0" borderId="0" xfId="151" applyFont="1" applyAlignment="1">
      <alignment horizontal="left" wrapText="1"/>
      <protection/>
    </xf>
    <xf numFmtId="0" fontId="82" fillId="20" borderId="0" xfId="151" applyFont="1" applyFill="1">
      <alignment/>
      <protection/>
    </xf>
    <xf numFmtId="179" fontId="82" fillId="0" borderId="0" xfId="154" applyNumberFormat="1" applyFont="1" applyFill="1" applyBorder="1"/>
    <xf numFmtId="179" fontId="79" fillId="0" borderId="0" xfId="154" applyNumberFormat="1" applyFont="1"/>
    <xf numFmtId="0" fontId="82" fillId="0" borderId="0" xfId="151" applyFont="1">
      <alignment/>
      <protection/>
    </xf>
    <xf numFmtId="179" fontId="79" fillId="0" borderId="0" xfId="154" applyNumberFormat="1" applyFont="1" applyAlignment="1">
      <alignment horizontal="center"/>
    </xf>
    <xf numFmtId="179" fontId="82" fillId="0" borderId="0" xfId="151" applyNumberFormat="1" applyFont="1">
      <alignment/>
      <protection/>
    </xf>
    <xf numFmtId="179" fontId="82" fillId="0" borderId="0" xfId="154" applyNumberFormat="1" applyFont="1" applyFill="1"/>
    <xf numFmtId="179" fontId="82" fillId="20" borderId="0" xfId="154" applyNumberFormat="1" applyFont="1" applyFill="1"/>
    <xf numFmtId="179" fontId="79" fillId="0" borderId="0" xfId="154" applyNumberFormat="1" applyFont="1" applyFill="1" applyAlignment="1">
      <alignment vertical="top"/>
    </xf>
    <xf numFmtId="179" fontId="82" fillId="0" borderId="0" xfId="154" applyNumberFormat="1" applyFont="1" applyFill="1" applyBorder="1" applyAlignment="1">
      <alignment vertical="top"/>
    </xf>
    <xf numFmtId="179" fontId="79" fillId="0" borderId="0" xfId="154" applyNumberFormat="1" applyFont="1" applyFill="1"/>
    <xf numFmtId="43" fontId="82" fillId="0" borderId="0" xfId="151" applyNumberFormat="1" applyFont="1" applyAlignment="1">
      <alignment horizontal="center" vertical="center" wrapText="1"/>
      <protection/>
    </xf>
    <xf numFmtId="0" fontId="79" fillId="20" borderId="0" xfId="0" applyNumberFormat="1" applyFont="1" applyFill="1" applyAlignment="1">
      <alignment horizontal="right"/>
    </xf>
    <xf numFmtId="179" fontId="79" fillId="20" borderId="0" xfId="154" applyNumberFormat="1" applyFont="1" applyFill="1"/>
    <xf numFmtId="179" fontId="82" fillId="20" borderId="0" xfId="154" applyNumberFormat="1" applyFont="1" applyFill="1" applyBorder="1"/>
    <xf numFmtId="174" fontId="32" fillId="23" borderId="0" xfId="0" applyFont="1" applyFill="1" applyAlignment="1">
      <alignment horizontal="center" wrapText="1"/>
    </xf>
    <xf numFmtId="174" fontId="32" fillId="20" borderId="0" xfId="0" applyFont="1" applyFill="1" applyAlignment="1">
      <alignment horizontal="right" vertical="center"/>
    </xf>
    <xf numFmtId="0" fontId="79" fillId="0" borderId="0" xfId="151" applyFont="1" applyAlignment="1">
      <alignment vertical="center"/>
      <protection/>
    </xf>
    <xf numFmtId="0" fontId="79" fillId="20" borderId="0" xfId="151" applyFont="1" applyFill="1" applyAlignment="1">
      <alignment horizontal="left" wrapText="1"/>
      <protection/>
    </xf>
    <xf numFmtId="1" fontId="79" fillId="0" borderId="0" xfId="0" applyNumberFormat="1" applyFont="1" applyAlignment="1">
      <alignment horizontal="left" vertical="center"/>
    </xf>
    <xf numFmtId="0" fontId="79" fillId="0" borderId="12" xfId="151" applyFont="1" applyBorder="1" applyAlignment="1">
      <alignment horizontal="left" vertical="center" wrapText="1"/>
      <protection/>
    </xf>
    <xf numFmtId="0" fontId="79" fillId="0" borderId="0" xfId="151" applyFont="1" applyAlignment="1">
      <alignment horizontal="left" vertical="center" wrapText="1"/>
      <protection/>
    </xf>
    <xf numFmtId="0" fontId="32" fillId="0" borderId="0" xfId="0" applyNumberFormat="1" applyFont="1" applyAlignment="1">
      <alignment horizontal="left" wrapText="1"/>
    </xf>
    <xf numFmtId="0" fontId="32" fillId="0" borderId="0" xfId="0" applyNumberFormat="1" applyFont="1" applyAlignment="1">
      <alignment vertical="top" wrapText="1"/>
    </xf>
    <xf numFmtId="174" fontId="32" fillId="0" borderId="0" xfId="0" applyFont="1" applyAlignment="1">
      <alignment horizontal="left" vertical="top" wrapText="1"/>
    </xf>
    <xf numFmtId="174" fontId="32" fillId="0" borderId="0" xfId="0" applyFont="1" applyAlignment="1">
      <alignment horizontal="left" wrapText="1"/>
    </xf>
    <xf numFmtId="0" fontId="79" fillId="0" borderId="0" xfId="155" applyFont="1" applyAlignment="1">
      <alignment horizontal="left"/>
      <protection/>
    </xf>
    <xf numFmtId="0" fontId="79" fillId="0" borderId="0" xfId="155" applyFont="1" applyAlignment="1">
      <alignment horizontal="left" wrapText="1"/>
      <protection/>
    </xf>
    <xf numFmtId="0" fontId="79" fillId="0" borderId="0" xfId="155" applyFont="1">
      <alignment/>
      <protection/>
    </xf>
    <xf numFmtId="0" fontId="82" fillId="0" borderId="0" xfId="155" applyFont="1" applyAlignment="1">
      <alignment vertical="top"/>
      <protection/>
    </xf>
    <xf numFmtId="0" fontId="79" fillId="0" borderId="0" xfId="151" applyFont="1">
      <alignment/>
      <protection/>
    </xf>
    <xf numFmtId="0" fontId="84" fillId="0" borderId="0" xfId="153" applyFont="1" applyAlignment="1">
      <alignment horizontal="center"/>
      <protection/>
    </xf>
    <xf numFmtId="0" fontId="82" fillId="0" borderId="0" xfId="151" applyFont="1" applyAlignment="1">
      <alignment horizontal="center" wrapText="1"/>
      <protection/>
    </xf>
    <xf numFmtId="0" fontId="79" fillId="20" borderId="0" xfId="151" applyFont="1" applyFill="1" applyAlignment="1">
      <alignment horizontal="left"/>
      <protection/>
    </xf>
    <xf numFmtId="174" fontId="0" fillId="0" borderId="0" xfId="0" applyFont="1"/>
    <xf numFmtId="0" fontId="79" fillId="0" borderId="0" xfId="151" applyFont="1" applyAlignment="1">
      <alignment horizontal="left"/>
      <protection/>
    </xf>
    <xf numFmtId="0" fontId="79" fillId="0" borderId="0" xfId="162" applyFont="1" applyAlignment="1">
      <alignment vertical="top" wrapText="1"/>
      <protection/>
    </xf>
    <xf numFmtId="0" fontId="82" fillId="0" borderId="12" xfId="151" applyFont="1" applyBorder="1" applyAlignment="1">
      <alignment horizontal="left" vertical="center" wrapText="1"/>
      <protection/>
    </xf>
    <xf numFmtId="179" fontId="79" fillId="0" borderId="0" xfId="154" applyNumberFormat="1" applyFont="1" applyFill="1" applyAlignment="1">
      <alignment horizontal="center"/>
    </xf>
    <xf numFmtId="0" fontId="82" fillId="0" borderId="0" xfId="151" applyFont="1" applyAlignment="1">
      <alignment horizontal="left"/>
      <protection/>
    </xf>
    <xf numFmtId="0" fontId="79" fillId="0" borderId="0" xfId="151" applyFont="1" applyAlignment="1">
      <alignment horizontal="center" vertical="center"/>
      <protection/>
    </xf>
    <xf numFmtId="0" fontId="79" fillId="20" borderId="0" xfId="151" applyFont="1" applyFill="1">
      <alignment/>
      <protection/>
    </xf>
    <xf numFmtId="179" fontId="79" fillId="0" borderId="0" xfId="151" applyNumberFormat="1" applyFont="1">
      <alignment/>
      <protection/>
    </xf>
    <xf numFmtId="0" fontId="79" fillId="20" borderId="0" xfId="151" applyFont="1" applyFill="1" applyAlignment="1">
      <alignment horizontal="center"/>
      <protection/>
    </xf>
    <xf numFmtId="0" fontId="79" fillId="0" borderId="0" xfId="151" applyFont="1" applyAlignment="1">
      <alignment horizontal="center"/>
      <protection/>
    </xf>
    <xf numFmtId="179" fontId="79" fillId="0" borderId="11" xfId="151" applyNumberFormat="1" applyFont="1" applyBorder="1">
      <alignment/>
      <protection/>
    </xf>
    <xf numFmtId="179" fontId="82" fillId="0" borderId="0" xfId="154" applyNumberFormat="1" applyFont="1" applyFill="1" applyBorder="1" applyAlignment="1">
      <alignment vertical="center"/>
    </xf>
    <xf numFmtId="0" fontId="79" fillId="0" borderId="0" xfId="151" applyFont="1" applyAlignment="1">
      <alignment horizontal="left" vertical="top"/>
      <protection/>
    </xf>
    <xf numFmtId="0" fontId="79" fillId="0" borderId="0" xfId="151" applyFont="1" applyAlignment="1">
      <alignment vertical="top"/>
      <protection/>
    </xf>
    <xf numFmtId="174" fontId="33" fillId="0" borderId="0" xfId="0" applyFont="1" applyAlignment="1">
      <alignment horizontal="left" vertical="center"/>
    </xf>
    <xf numFmtId="0" fontId="32" fillId="20" borderId="0" xfId="0" applyNumberFormat="1" applyFont="1" applyFill="1"/>
    <xf numFmtId="0" fontId="32" fillId="0" borderId="6" xfId="0" applyNumberFormat="1" applyFont="1" applyBorder="1" applyAlignment="1">
      <alignment horizontal="center"/>
    </xf>
    <xf numFmtId="42" fontId="32" fillId="0" borderId="0" xfId="0" applyNumberFormat="1" applyFont="1"/>
    <xf numFmtId="175" fontId="32" fillId="0" borderId="0" xfId="16" applyNumberFormat="1" applyFont="1" applyFill="1"/>
    <xf numFmtId="42" fontId="32" fillId="0" borderId="0" xfId="0" applyNumberFormat="1" applyFont="1" applyAlignment="1">
      <alignment horizontal="center"/>
    </xf>
    <xf numFmtId="180" fontId="32" fillId="0" borderId="0" xfId="15" applyNumberFormat="1" applyFont="1" applyAlignment="1">
      <alignment/>
    </xf>
    <xf numFmtId="177" fontId="32" fillId="0" borderId="0" xfId="0" applyNumberFormat="1" applyFont="1"/>
    <xf numFmtId="0" fontId="32" fillId="0" borderId="6" xfId="0" applyNumberFormat="1" applyFont="1" applyBorder="1" applyAlignment="1">
      <alignment horizontal="centerContinuous"/>
    </xf>
    <xf numFmtId="179" fontId="32" fillId="0" borderId="0" xfId="0" applyNumberFormat="1" applyFont="1" applyAlignment="1">
      <alignment horizontal="center"/>
    </xf>
    <xf numFmtId="165" fontId="32" fillId="0" borderId="0" xfId="0" applyNumberFormat="1" applyFont="1" applyAlignment="1">
      <alignment horizontal="right"/>
    </xf>
    <xf numFmtId="43" fontId="32" fillId="0" borderId="0" xfId="18" applyFont="1"/>
    <xf numFmtId="179" fontId="32" fillId="0" borderId="0" xfId="18" applyNumberFormat="1" applyFont="1" applyFill="1"/>
    <xf numFmtId="37" fontId="32" fillId="0" borderId="0" xfId="16" applyNumberFormat="1" applyFont="1" applyFill="1"/>
    <xf numFmtId="37" fontId="32" fillId="0" borderId="0" xfId="16" applyNumberFormat="1" applyFont="1" applyFill="1" applyBorder="1" applyAlignment="1">
      <alignment horizontal="center"/>
    </xf>
    <xf numFmtId="179" fontId="32" fillId="0" borderId="6" xfId="18" applyNumberFormat="1" applyFont="1" applyFill="1" applyBorder="1"/>
    <xf numFmtId="179" fontId="32" fillId="0" borderId="0" xfId="16" applyNumberFormat="1" applyFont="1" applyFill="1" applyAlignment="1">
      <alignment horizontal="right"/>
    </xf>
    <xf numFmtId="179" fontId="32" fillId="0" borderId="0" xfId="16" applyNumberFormat="1" applyFont="1" applyFill="1"/>
    <xf numFmtId="175" fontId="32" fillId="0" borderId="0" xfId="16" applyNumberFormat="1" applyFont="1" applyFill="1" applyBorder="1"/>
    <xf numFmtId="175" fontId="32" fillId="0" borderId="0" xfId="16" applyNumberFormat="1" applyFont="1" applyFill="1" applyAlignment="1">
      <alignment horizontal="right"/>
    </xf>
    <xf numFmtId="179" fontId="32" fillId="20" borderId="0" xfId="18" applyNumberFormat="1" applyFont="1" applyFill="1"/>
    <xf numFmtId="179" fontId="32" fillId="0" borderId="0" xfId="0" applyNumberFormat="1" applyFont="1"/>
    <xf numFmtId="3" fontId="32" fillId="0" borderId="0" xfId="0" applyNumberFormat="1" applyFont="1" applyAlignment="1">
      <alignment horizontal="fill"/>
    </xf>
    <xf numFmtId="179" fontId="32" fillId="0" borderId="36" xfId="18" applyNumberFormat="1" applyFont="1" applyBorder="1" applyAlignment="1">
      <alignment horizontal="right"/>
    </xf>
    <xf numFmtId="44" fontId="32" fillId="0" borderId="0" xfId="18" applyNumberFormat="1" applyFont="1" applyFill="1" applyBorder="1" applyAlignment="1">
      <alignment horizontal="right"/>
    </xf>
    <xf numFmtId="42" fontId="32" fillId="0" borderId="0" xfId="0" applyNumberFormat="1" applyFont="1" applyAlignment="1">
      <alignment horizontal="right"/>
    </xf>
    <xf numFmtId="3" fontId="32" fillId="0" borderId="6" xfId="0" applyNumberFormat="1" applyFont="1" applyBorder="1" applyAlignment="1">
      <alignment horizontal="center"/>
    </xf>
    <xf numFmtId="186" fontId="32" fillId="20" borderId="0" xfId="18" applyNumberFormat="1" applyFont="1" applyFill="1"/>
    <xf numFmtId="174" fontId="32" fillId="0" borderId="0" xfId="0" applyFont="1" applyAlignment="1">
      <alignment horizontal="left"/>
    </xf>
    <xf numFmtId="43" fontId="32" fillId="0" borderId="0" xfId="18" applyFont="1" applyFill="1"/>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71" fontId="32" fillId="0" borderId="0" xfId="15" applyNumberFormat="1" applyFont="1"/>
    <xf numFmtId="171" fontId="32" fillId="0" borderId="0" xfId="15" applyNumberFormat="1" applyFont="1" applyAlignment="1">
      <alignment horizontal="left"/>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Border="1"/>
    <xf numFmtId="173" fontId="32" fillId="0" borderId="0" xfId="0" applyNumberFormat="1" applyFont="1"/>
    <xf numFmtId="43" fontId="32" fillId="0" borderId="0" xfId="18" applyFont="1" applyFill="1" applyAlignment="1">
      <alignment/>
    </xf>
    <xf numFmtId="44" fontId="32" fillId="0" borderId="0" xfId="16" applyFont="1" applyFill="1" applyBorder="1" applyAlignment="1">
      <alignment/>
    </xf>
    <xf numFmtId="0" fontId="33" fillId="0" borderId="0" xfId="0" applyNumberFormat="1" applyFont="1" applyAlignment="1">
      <alignment horizontal="right"/>
    </xf>
    <xf numFmtId="3" fontId="32" fillId="0" borderId="0" xfId="0" applyNumberFormat="1" applyFont="1" applyAlignment="1">
      <alignment horizontal="right"/>
    </xf>
    <xf numFmtId="179" fontId="32" fillId="20" borderId="6" xfId="18" applyNumberFormat="1" applyFont="1" applyFill="1" applyBorder="1" applyAlignment="1">
      <alignment/>
    </xf>
    <xf numFmtId="43" fontId="32" fillId="0" borderId="0" xfId="18" applyFont="1" applyFill="1" applyBorder="1" applyAlignment="1">
      <alignment horizontal="center"/>
    </xf>
    <xf numFmtId="43" fontId="32" fillId="0" borderId="0" xfId="18" applyFont="1" applyAlignment="1">
      <alignment horizontal="center"/>
    </xf>
    <xf numFmtId="179" fontId="32" fillId="0" borderId="36" xfId="18" applyNumberFormat="1" applyFont="1" applyBorder="1" applyAlignment="1">
      <alignment/>
    </xf>
    <xf numFmtId="43" fontId="32" fillId="0" borderId="0" xfId="18" applyFont="1" applyBorder="1" applyAlignment="1">
      <alignment/>
    </xf>
    <xf numFmtId="0" fontId="32" fillId="0" borderId="0" xfId="0" applyNumberFormat="1" applyFont="1" applyProtection="1">
      <protection locked="0"/>
    </xf>
    <xf numFmtId="0" fontId="33" fillId="0" borderId="0" xfId="0" applyNumberFormat="1" applyFont="1" applyAlignment="1">
      <alignment horizontal="left"/>
    </xf>
    <xf numFmtId="172" fontId="32" fillId="0" borderId="0" xfId="0" applyNumberFormat="1" applyFont="1" applyAlignment="1">
      <alignment horizontal="left"/>
    </xf>
    <xf numFmtId="166" fontId="32" fillId="0" borderId="0" xfId="0" applyNumberFormat="1" applyFont="1" applyAlignment="1">
      <alignment horizontal="center"/>
    </xf>
    <xf numFmtId="10" fontId="32" fillId="0" borderId="0" xfId="0" applyNumberFormat="1" applyFont="1" applyAlignment="1">
      <alignment horizontal="right"/>
    </xf>
    <xf numFmtId="10" fontId="32" fillId="0" borderId="0" xfId="15" applyNumberFormat="1" applyFont="1" applyAlignment="1">
      <alignment horizontal="left"/>
    </xf>
    <xf numFmtId="10" fontId="33" fillId="0" borderId="0" xfId="15" applyNumberFormat="1" applyFont="1" applyAlignment="1">
      <alignment horizontal="left"/>
    </xf>
    <xf numFmtId="184" fontId="32" fillId="0" borderId="0" xfId="18" applyNumberFormat="1" applyFont="1" applyFill="1" applyAlignment="1">
      <alignment horizontal="right"/>
    </xf>
    <xf numFmtId="178" fontId="32" fillId="0" borderId="0" xfId="0" applyNumberFormat="1" applyFont="1" applyAlignment="1">
      <alignment horizontal="left"/>
    </xf>
    <xf numFmtId="167" fontId="32" fillId="0" borderId="0" xfId="0" applyNumberFormat="1" applyFont="1"/>
    <xf numFmtId="179" fontId="32" fillId="0" borderId="36" xfId="18" applyNumberFormat="1" applyFont="1" applyFill="1" applyBorder="1" applyAlignment="1">
      <alignment/>
    </xf>
    <xf numFmtId="0" fontId="32" fillId="0" borderId="6" xfId="0" applyNumberFormat="1" applyFont="1" applyBorder="1"/>
    <xf numFmtId="3" fontId="32" fillId="0" borderId="6" xfId="0" applyNumberFormat="1" applyFont="1" applyBorder="1"/>
    <xf numFmtId="4" fontId="32" fillId="0" borderId="0" xfId="0" applyNumberFormat="1" applyFont="1"/>
    <xf numFmtId="3" fontId="32" fillId="0" borderId="0" xfId="0" applyNumberFormat="1" applyFont="1" quotePrefix="1"/>
    <xf numFmtId="43" fontId="32" fillId="20" borderId="0" xfId="18" applyFont="1" applyFill="1" applyAlignment="1">
      <alignment/>
    </xf>
    <xf numFmtId="43" fontId="32" fillId="20" borderId="6" xfId="18" applyFont="1" applyFill="1" applyBorder="1" applyAlignment="1">
      <alignment/>
    </xf>
    <xf numFmtId="3" fontId="36" fillId="0" borderId="0" xfId="0" applyNumberFormat="1" applyFont="1"/>
    <xf numFmtId="9" fontId="32" fillId="0" borderId="0" xfId="0" applyNumberFormat="1" applyFont="1"/>
    <xf numFmtId="169" fontId="32" fillId="0" borderId="0" xfId="0" applyNumberFormat="1" applyFont="1"/>
    <xf numFmtId="184" fontId="32" fillId="20" borderId="0" xfId="18" applyNumberFormat="1" applyFont="1" applyFill="1" applyAlignment="1">
      <alignment/>
    </xf>
    <xf numFmtId="169" fontId="32" fillId="0" borderId="6" xfId="0" applyNumberFormat="1" applyFont="1" applyBorder="1"/>
    <xf numFmtId="174" fontId="32" fillId="0" borderId="0" xfId="0" applyFont="1" applyProtection="1">
      <protection/>
    </xf>
    <xf numFmtId="179" fontId="32" fillId="20" borderId="0" xfId="18" applyNumberFormat="1" applyFont="1" applyFill="1" applyBorder="1" applyProtection="1">
      <protection locked="0"/>
    </xf>
    <xf numFmtId="38" fontId="32" fillId="0" borderId="0" xfId="0" applyNumberFormat="1" applyFont="1" applyProtection="1">
      <protection/>
    </xf>
    <xf numFmtId="179" fontId="32" fillId="20" borderId="6" xfId="18" applyNumberFormat="1" applyFont="1" applyFill="1" applyBorder="1" applyProtection="1">
      <protection locked="0"/>
    </xf>
    <xf numFmtId="38" fontId="32" fillId="0" borderId="0" xfId="0" applyNumberFormat="1" applyFont="1"/>
    <xf numFmtId="179" fontId="32" fillId="0" borderId="0" xfId="18" applyNumberFormat="1" applyFont="1" applyFill="1" applyBorder="1" applyProtection="1">
      <protection/>
    </xf>
    <xf numFmtId="168" fontId="32" fillId="0" borderId="0" xfId="0" applyNumberFormat="1" applyFont="1" applyAlignment="1">
      <alignment horizontal="center"/>
    </xf>
    <xf numFmtId="1" fontId="32" fillId="0" borderId="0" xfId="0" applyNumberFormat="1" applyFont="1" applyAlignment="1" applyProtection="1">
      <alignment horizontal="right"/>
      <protection/>
    </xf>
    <xf numFmtId="179" fontId="32" fillId="20" borderId="0" xfId="18" applyNumberFormat="1" applyFont="1" applyFill="1" applyBorder="1" applyProtection="1">
      <protection/>
    </xf>
    <xf numFmtId="1" fontId="32" fillId="0" borderId="0" xfId="0" applyNumberFormat="1" applyFont="1" applyProtection="1">
      <protection/>
    </xf>
    <xf numFmtId="179" fontId="32" fillId="20" borderId="0" xfId="18" applyNumberFormat="1" applyFont="1" applyFill="1" applyBorder="1" applyAlignment="1" applyProtection="1">
      <alignment/>
      <protection locked="0"/>
    </xf>
    <xf numFmtId="3" fontId="32" fillId="0" borderId="0" xfId="0" applyNumberFormat="1" applyFont="1" applyProtection="1">
      <protection/>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43" fontId="32" fillId="20" borderId="0" xfId="18" applyFont="1" applyFill="1" applyAlignment="1">
      <alignment vertical="top" wrapText="1"/>
    </xf>
    <xf numFmtId="0" fontId="32" fillId="0" borderId="0" xfId="0" applyNumberFormat="1" applyFont="1" applyAlignment="1">
      <alignment horizontal="left" indent="1"/>
    </xf>
    <xf numFmtId="1" fontId="82" fillId="20" borderId="0" xfId="18" applyNumberFormat="1" applyFont="1" applyFill="1" applyAlignment="1">
      <alignment horizontal="center"/>
    </xf>
    <xf numFmtId="0" fontId="2" fillId="20" borderId="0" xfId="151" applyFont="1" applyFill="1" applyAlignment="1">
      <alignment horizontal="center"/>
      <protection/>
    </xf>
    <xf numFmtId="0" fontId="2" fillId="0" borderId="0" xfId="151" applyFont="1" applyAlignment="1">
      <alignment horizontal="center"/>
      <protection/>
    </xf>
    <xf numFmtId="10" fontId="32" fillId="20" borderId="0" xfId="15" applyNumberFormat="1" applyFont="1" applyFill="1" applyAlignment="1">
      <alignment vertical="top" wrapText="1"/>
    </xf>
    <xf numFmtId="180" fontId="12" fillId="0" borderId="0" xfId="15" applyNumberFormat="1" applyFont="1" applyProtection="1">
      <protection locked="0"/>
    </xf>
    <xf numFmtId="174" fontId="33" fillId="0" borderId="0" xfId="0" applyFont="1" applyAlignment="1">
      <alignment vertical="top"/>
    </xf>
    <xf numFmtId="175" fontId="32" fillId="0" borderId="0" xfId="18" applyNumberFormat="1" applyFont="1" applyFill="1" applyBorder="1" applyAlignment="1">
      <alignment horizontal="right"/>
    </xf>
    <xf numFmtId="43" fontId="79" fillId="20" borderId="0" xfId="18" applyFont="1" applyFill="1" applyAlignment="1">
      <alignment/>
    </xf>
    <xf numFmtId="10" fontId="32" fillId="0" borderId="0" xfId="15" applyNumberFormat="1" applyFont="1" applyFill="1" applyAlignment="1">
      <alignment/>
    </xf>
    <xf numFmtId="43" fontId="79" fillId="0" borderId="0" xfId="18" applyFont="1"/>
    <xf numFmtId="179" fontId="32" fillId="0" borderId="0" xfId="18" applyNumberFormat="1" applyFont="1"/>
    <xf numFmtId="174" fontId="54" fillId="0" borderId="15" xfId="0" applyFont="1" applyBorder="1" applyAlignment="1">
      <alignment vertical="center" wrapText="1"/>
    </xf>
    <xf numFmtId="174" fontId="54" fillId="0" borderId="0" xfId="0" applyFont="1" applyAlignment="1">
      <alignment vertical="center" wrapText="1"/>
    </xf>
    <xf numFmtId="0" fontId="27" fillId="0" borderId="0" xfId="99" applyFont="1" applyAlignment="1">
      <alignment vertical="top"/>
      <protection/>
    </xf>
    <xf numFmtId="0" fontId="2" fillId="20" borderId="0" xfId="155" applyFont="1" applyFill="1" applyAlignment="1">
      <alignment horizontal="center"/>
      <protection/>
    </xf>
    <xf numFmtId="0" fontId="2" fillId="0" borderId="0" xfId="155" applyFont="1">
      <alignment/>
      <protection/>
    </xf>
    <xf numFmtId="170" fontId="52" fillId="0" borderId="0" xfId="0" applyNumberFormat="1" applyFont="1" applyAlignment="1">
      <alignment horizontal="left" vertical="center"/>
    </xf>
    <xf numFmtId="171" fontId="32" fillId="0" borderId="0" xfId="15" applyNumberFormat="1" applyFont="1" applyFill="1"/>
    <xf numFmtId="171" fontId="32" fillId="0" borderId="0" xfId="0" applyNumberFormat="1" applyFont="1"/>
    <xf numFmtId="3" fontId="33" fillId="0" borderId="0" xfId="0" applyNumberFormat="1" applyFont="1" applyAlignment="1">
      <alignment vertical="top" wrapText="1"/>
    </xf>
    <xf numFmtId="170" fontId="33" fillId="0" borderId="0" xfId="0" applyNumberFormat="1" applyFont="1" applyAlignment="1" applyProtection="1">
      <alignment vertical="top" wrapText="1"/>
      <protection locked="0"/>
    </xf>
    <xf numFmtId="174" fontId="33" fillId="0" borderId="0" xfId="0" applyFont="1" applyAlignment="1">
      <alignment vertical="top" wrapText="1"/>
    </xf>
    <xf numFmtId="10" fontId="32" fillId="0" borderId="0" xfId="15" applyNumberFormat="1" applyFont="1" applyFill="1" applyAlignment="1">
      <alignment horizontal="right"/>
    </xf>
    <xf numFmtId="174" fontId="33" fillId="0" borderId="0" xfId="0" applyFont="1" applyAlignment="1">
      <alignment vertical="center" wrapText="1"/>
    </xf>
    <xf numFmtId="174" fontId="54" fillId="0" borderId="0" xfId="0" applyFont="1" applyAlignment="1">
      <alignment vertical="top" wrapText="1"/>
    </xf>
    <xf numFmtId="179" fontId="82" fillId="0" borderId="0" xfId="18" applyNumberFormat="1" applyFont="1" applyFill="1" applyAlignment="1">
      <alignment vertical="top" wrapText="1"/>
    </xf>
    <xf numFmtId="179" fontId="53" fillId="0" borderId="0" xfId="18" applyNumberFormat="1" applyFont="1" applyFill="1" applyAlignment="1">
      <alignment vertical="center"/>
    </xf>
    <xf numFmtId="174" fontId="55" fillId="0" borderId="0" xfId="0" applyFont="1" applyAlignment="1">
      <alignment vertical="top" wrapText="1"/>
    </xf>
    <xf numFmtId="0" fontId="52" fillId="0" borderId="0" xfId="159" applyFont="1" applyAlignment="1">
      <alignment horizontal="left"/>
      <protection/>
    </xf>
    <xf numFmtId="0" fontId="52" fillId="0" borderId="0" xfId="159" applyFont="1">
      <alignment/>
      <protection/>
    </xf>
    <xf numFmtId="0" fontId="52" fillId="0" borderId="0" xfId="159" applyFont="1" applyAlignment="1">
      <alignment horizontal="center"/>
      <protection/>
    </xf>
    <xf numFmtId="0" fontId="54" fillId="0" borderId="0" xfId="159" applyFont="1">
      <alignment/>
      <protection/>
    </xf>
    <xf numFmtId="0" fontId="54" fillId="0" borderId="0" xfId="159" applyFont="1" applyAlignment="1">
      <alignment horizontal="right"/>
      <protection/>
    </xf>
    <xf numFmtId="174" fontId="52" fillId="0" borderId="0" xfId="0" applyFont="1" applyAlignment="1">
      <alignment horizontal="left"/>
    </xf>
    <xf numFmtId="0" fontId="65" fillId="0" borderId="0" xfId="153" applyFont="1" applyAlignment="1">
      <alignment horizontal="center"/>
      <protection/>
    </xf>
    <xf numFmtId="174" fontId="52" fillId="0" borderId="0" xfId="0" applyFont="1"/>
    <xf numFmtId="0" fontId="52" fillId="0" borderId="0" xfId="159" applyFont="1" applyAlignment="1" applyProtection="1">
      <alignment horizontal="left"/>
      <protection locked="0"/>
    </xf>
    <xf numFmtId="0" fontId="52" fillId="0" borderId="0" xfId="159" applyFont="1" applyAlignment="1" applyProtection="1">
      <alignment horizontal="center" vertical="center"/>
      <protection locked="0"/>
    </xf>
    <xf numFmtId="0" fontId="52" fillId="0" borderId="12" xfId="159" applyFont="1" applyBorder="1" applyAlignment="1" applyProtection="1">
      <alignment horizontal="center" vertical="center" wrapText="1"/>
      <protection locked="0"/>
    </xf>
    <xf numFmtId="0" fontId="52" fillId="0" borderId="24" xfId="159" applyFont="1" applyBorder="1" applyAlignment="1" applyProtection="1">
      <alignment horizontal="center" vertical="center" wrapText="1"/>
      <protection locked="0"/>
    </xf>
    <xf numFmtId="179" fontId="52" fillId="0" borderId="19" xfId="159" applyNumberFormat="1" applyFont="1" applyBorder="1" applyAlignment="1" applyProtection="1">
      <alignment horizontal="center"/>
      <protection locked="0"/>
    </xf>
    <xf numFmtId="0" fontId="52" fillId="0" borderId="0" xfId="159" applyFont="1" applyProtection="1">
      <alignment/>
      <protection locked="0"/>
    </xf>
    <xf numFmtId="0" fontId="52" fillId="0" borderId="0" xfId="159" applyFont="1" applyAlignment="1" applyProtection="1">
      <alignment horizontal="left" wrapText="1"/>
      <protection locked="0"/>
    </xf>
    <xf numFmtId="0" fontId="52" fillId="0" borderId="0" xfId="159" applyFont="1" applyAlignment="1" applyProtection="1">
      <alignment horizontal="left" vertical="center"/>
      <protection locked="0"/>
    </xf>
    <xf numFmtId="0" fontId="52" fillId="20" borderId="17" xfId="159" applyFont="1" applyFill="1" applyBorder="1" applyAlignment="1" applyProtection="1">
      <alignment horizontal="center" vertical="center" wrapText="1"/>
      <protection locked="0"/>
    </xf>
    <xf numFmtId="0" fontId="52" fillId="0" borderId="17" xfId="159" applyFont="1" applyBorder="1" applyAlignment="1" applyProtection="1">
      <alignment horizontal="center" vertical="center" wrapText="1"/>
      <protection locked="0"/>
    </xf>
    <xf numFmtId="0" fontId="52" fillId="20" borderId="24" xfId="159" applyFont="1" applyFill="1" applyBorder="1" applyAlignment="1" applyProtection="1">
      <alignment horizontal="center" vertical="center" wrapText="1"/>
      <protection locked="0"/>
    </xf>
    <xf numFmtId="0" fontId="86" fillId="0" borderId="0" xfId="159" applyFont="1">
      <alignment/>
      <protection/>
    </xf>
    <xf numFmtId="0" fontId="52" fillId="0" borderId="0" xfId="159" applyFont="1" applyAlignment="1">
      <alignment horizontal="center" vertical="center" wrapText="1"/>
      <protection/>
    </xf>
    <xf numFmtId="0" fontId="52" fillId="20" borderId="0" xfId="159" applyFont="1" applyFill="1" applyAlignment="1">
      <alignment horizontal="left"/>
      <protection/>
    </xf>
    <xf numFmtId="0" fontId="54" fillId="0" borderId="0" xfId="151" applyFont="1" applyAlignment="1">
      <alignment horizontal="center" wrapText="1"/>
      <protection/>
    </xf>
    <xf numFmtId="0" fontId="52" fillId="20" borderId="0" xfId="151" applyFont="1" applyFill="1" applyAlignment="1">
      <alignment horizontal="left"/>
      <protection/>
    </xf>
    <xf numFmtId="0" fontId="52" fillId="20" borderId="0" xfId="159" applyFont="1" applyFill="1">
      <alignment/>
      <protection/>
    </xf>
    <xf numFmtId="179" fontId="52" fillId="20" borderId="0" xfId="160" applyNumberFormat="1" applyFont="1" applyFill="1"/>
    <xf numFmtId="179" fontId="52" fillId="0" borderId="0" xfId="160" applyNumberFormat="1" applyFont="1" applyFill="1"/>
    <xf numFmtId="0" fontId="52" fillId="20" borderId="0" xfId="159" applyFont="1" applyFill="1" applyAlignment="1">
      <alignment horizontal="center"/>
      <protection/>
    </xf>
    <xf numFmtId="179" fontId="52" fillId="20" borderId="0" xfId="159" applyNumberFormat="1" applyFont="1" applyFill="1" applyAlignment="1">
      <alignment horizontal="center"/>
      <protection/>
    </xf>
    <xf numFmtId="179" fontId="52" fillId="0" borderId="0" xfId="159" applyNumberFormat="1" applyFont="1">
      <alignment/>
      <protection/>
    </xf>
    <xf numFmtId="179" fontId="52" fillId="0" borderId="14" xfId="160" applyNumberFormat="1" applyFont="1" applyFill="1" applyBorder="1"/>
    <xf numFmtId="179" fontId="52" fillId="0" borderId="0" xfId="160" applyNumberFormat="1" applyFont="1" applyFill="1" applyBorder="1"/>
    <xf numFmtId="179" fontId="52" fillId="20" borderId="0" xfId="160" applyNumberFormat="1" applyFont="1" applyFill="1" applyBorder="1"/>
    <xf numFmtId="0" fontId="54" fillId="20" borderId="0" xfId="159" applyFont="1" applyFill="1" applyAlignment="1">
      <alignment horizontal="left"/>
      <protection/>
    </xf>
    <xf numFmtId="179" fontId="54" fillId="0" borderId="0" xfId="160" applyNumberFormat="1" applyFont="1" applyFill="1" applyBorder="1"/>
    <xf numFmtId="179" fontId="54" fillId="0" borderId="25" xfId="160" applyNumberFormat="1" applyFont="1" applyFill="1" applyBorder="1"/>
    <xf numFmtId="0" fontId="54" fillId="0" borderId="0" xfId="159" applyFont="1" applyAlignment="1">
      <alignment horizontal="center"/>
      <protection/>
    </xf>
    <xf numFmtId="0" fontId="52" fillId="0" borderId="0" xfId="159" applyFont="1" applyAlignment="1">
      <alignment horizontal="right"/>
      <protection/>
    </xf>
    <xf numFmtId="179" fontId="52" fillId="0" borderId="0" xfId="18" applyNumberFormat="1" applyFont="1" applyFill="1"/>
    <xf numFmtId="179" fontId="54" fillId="0" borderId="0" xfId="160" applyNumberFormat="1" applyFont="1" applyFill="1"/>
    <xf numFmtId="0" fontId="52" fillId="0" borderId="0" xfId="159" applyFont="1" applyAlignment="1">
      <alignment horizontal="center" vertical="center"/>
      <protection/>
    </xf>
    <xf numFmtId="0" fontId="52" fillId="0" borderId="12" xfId="159" applyFont="1" applyBorder="1" applyAlignment="1">
      <alignment horizontal="center" vertical="center" wrapText="1"/>
      <protection/>
    </xf>
    <xf numFmtId="0" fontId="52" fillId="0" borderId="24" xfId="159" applyFont="1" applyBorder="1" applyAlignment="1">
      <alignment horizontal="center" vertical="center" wrapText="1"/>
      <protection/>
    </xf>
    <xf numFmtId="179" fontId="52" fillId="0" borderId="19" xfId="159" applyNumberFormat="1" applyFont="1" applyBorder="1" applyAlignment="1">
      <alignment horizontal="center"/>
      <protection/>
    </xf>
    <xf numFmtId="0" fontId="52" fillId="0" borderId="0" xfId="159" applyFont="1" applyAlignment="1">
      <alignment horizontal="left" wrapText="1"/>
      <protection/>
    </xf>
    <xf numFmtId="0" fontId="52" fillId="0" borderId="0" xfId="159" applyFont="1" applyAlignment="1">
      <alignment horizontal="left" vertical="center"/>
      <protection/>
    </xf>
    <xf numFmtId="0" fontId="52" fillId="20" borderId="17" xfId="159" applyFont="1" applyFill="1" applyBorder="1" applyAlignment="1">
      <alignment horizontal="center" vertical="center" wrapText="1"/>
      <protection/>
    </xf>
    <xf numFmtId="0" fontId="52" fillId="0" borderId="17" xfId="159" applyFont="1" applyBorder="1" applyAlignment="1">
      <alignment horizontal="center" vertical="center" wrapText="1"/>
      <protection/>
    </xf>
    <xf numFmtId="0" fontId="52" fillId="20" borderId="24" xfId="159" applyFont="1" applyFill="1" applyBorder="1" applyAlignment="1">
      <alignment horizontal="center" vertical="center" wrapText="1"/>
      <protection/>
    </xf>
    <xf numFmtId="0" fontId="54" fillId="0" borderId="0" xfId="159" applyFont="1" applyAlignment="1">
      <alignment horizontal="left"/>
      <protection/>
    </xf>
    <xf numFmtId="0" fontId="52" fillId="0" borderId="0" xfId="162" applyFont="1" applyAlignment="1">
      <alignment horizontal="left"/>
      <protection/>
    </xf>
    <xf numFmtId="0" fontId="52" fillId="0" borderId="0" xfId="162" applyFont="1">
      <alignment/>
      <protection/>
    </xf>
    <xf numFmtId="179" fontId="52" fillId="0" borderId="0" xfId="163" applyNumberFormat="1" applyFont="1"/>
    <xf numFmtId="179" fontId="54" fillId="0" borderId="0" xfId="163" applyNumberFormat="1" applyFont="1" applyFill="1" applyBorder="1"/>
    <xf numFmtId="179" fontId="52" fillId="0" borderId="0" xfId="162" applyNumberFormat="1" applyFont="1">
      <alignment/>
      <protection/>
    </xf>
    <xf numFmtId="0" fontId="52" fillId="0" borderId="0" xfId="162" applyFont="1" applyAlignment="1">
      <alignment horizontal="center" vertical="top"/>
      <protection/>
    </xf>
    <xf numFmtId="0" fontId="52" fillId="0" borderId="0" xfId="151" applyFont="1">
      <alignment/>
      <protection/>
    </xf>
    <xf numFmtId="179" fontId="52" fillId="0" borderId="0" xfId="163" applyNumberFormat="1" applyFont="1" applyFill="1"/>
    <xf numFmtId="0" fontId="52" fillId="0" borderId="0" xfId="162" applyFont="1" applyAlignment="1">
      <alignment vertical="top"/>
      <protection/>
    </xf>
    <xf numFmtId="179" fontId="52" fillId="0" borderId="0" xfId="163" applyNumberFormat="1" applyFont="1" applyFill="1" applyAlignment="1">
      <alignment vertical="top"/>
    </xf>
    <xf numFmtId="179" fontId="54" fillId="0" borderId="0" xfId="163" applyNumberFormat="1" applyFont="1" applyFill="1" applyBorder="1" applyAlignment="1">
      <alignment vertical="top"/>
    </xf>
    <xf numFmtId="0" fontId="75" fillId="0" borderId="0" xfId="0" applyNumberFormat="1" applyFont="1" applyAlignment="1">
      <alignment horizontal="center"/>
    </xf>
    <xf numFmtId="0" fontId="32" fillId="0" borderId="0" xfId="0" applyNumberFormat="1" applyFont="1" applyAlignment="1">
      <alignment vertical="top" wrapText="1"/>
    </xf>
    <xf numFmtId="0" fontId="32" fillId="0" borderId="0" xfId="0" applyNumberFormat="1" applyFont="1" applyAlignment="1">
      <alignment horizontal="left" wrapText="1"/>
    </xf>
    <xf numFmtId="0" fontId="32" fillId="0" borderId="0" xfId="0" applyNumberFormat="1" applyFont="1" applyAlignment="1">
      <alignment horizontal="left" vertical="top" wrapText="1"/>
    </xf>
    <xf numFmtId="174" fontId="32" fillId="0" borderId="0" xfId="0" applyFont="1" applyAlignment="1">
      <alignment horizontal="left"/>
    </xf>
    <xf numFmtId="0" fontId="32" fillId="0" borderId="0" xfId="0" applyNumberFormat="1" applyFont="1" applyAlignment="1">
      <alignment horizontal="left"/>
    </xf>
    <xf numFmtId="174" fontId="32" fillId="0" borderId="0" xfId="0" applyFont="1" applyAlignment="1">
      <alignment vertical="top" wrapText="1"/>
    </xf>
    <xf numFmtId="174" fontId="32" fillId="0" borderId="0" xfId="0" applyFont="1"/>
    <xf numFmtId="168" fontId="32" fillId="0" borderId="0" xfId="0" applyNumberFormat="1" applyFont="1" applyAlignment="1">
      <alignment horizontal="center"/>
    </xf>
    <xf numFmtId="174" fontId="32" fillId="0" borderId="0" xfId="0" applyFont="1" applyAlignment="1">
      <alignment horizontal="center"/>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33" fillId="0" borderId="0" xfId="0" applyNumberFormat="1" applyFont="1" applyAlignment="1">
      <alignment horizontal="center"/>
    </xf>
    <xf numFmtId="49" fontId="32" fillId="0" borderId="0" xfId="0" applyNumberFormat="1" applyFont="1" applyAlignment="1">
      <alignment horizontal="center"/>
    </xf>
    <xf numFmtId="49" fontId="32" fillId="0" borderId="0" xfId="0" applyNumberFormat="1" applyFont="1" applyAlignment="1">
      <alignment horizontal="left" vertical="top" wrapText="1"/>
    </xf>
    <xf numFmtId="3" fontId="32" fillId="0" borderId="0" xfId="0" applyNumberFormat="1" applyFont="1" applyAlignment="1">
      <alignment horizontal="center"/>
    </xf>
    <xf numFmtId="174" fontId="32" fillId="0" borderId="0" xfId="0" applyFont="1" applyAlignment="1">
      <alignment horizontal="left" wrapText="1"/>
    </xf>
    <xf numFmtId="174" fontId="32" fillId="0" borderId="0" xfId="0" applyFont="1" applyAlignment="1">
      <alignment horizontal="left" vertical="center"/>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32"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79" fillId="0" borderId="0" xfId="162" applyFont="1" applyAlignment="1">
      <alignment horizontal="left" vertical="top" wrapText="1"/>
      <protection/>
    </xf>
    <xf numFmtId="0" fontId="79" fillId="0" borderId="0" xfId="151" applyFont="1" applyAlignment="1">
      <alignment horizontal="left" vertical="top" wrapText="1"/>
      <protection/>
    </xf>
    <xf numFmtId="174" fontId="82" fillId="0" borderId="0" xfId="0" applyFont="1" applyAlignment="1">
      <alignment horizontal="center"/>
    </xf>
    <xf numFmtId="174" fontId="79" fillId="0" borderId="0" xfId="0" applyFont="1" applyAlignment="1">
      <alignment horizontal="center"/>
    </xf>
    <xf numFmtId="0" fontId="52" fillId="0" borderId="13" xfId="159" applyFont="1" applyBorder="1" applyAlignment="1" applyProtection="1">
      <alignment horizontal="center" vertical="center"/>
      <protection locked="0"/>
    </xf>
    <xf numFmtId="0" fontId="52" fillId="0" borderId="14" xfId="159" applyFont="1" applyBorder="1" applyAlignment="1" applyProtection="1">
      <alignment horizontal="center" vertical="center"/>
      <protection locked="0"/>
    </xf>
    <xf numFmtId="0" fontId="52" fillId="0" borderId="24" xfId="159" applyFont="1" applyBorder="1" applyAlignment="1" applyProtection="1">
      <alignment horizontal="center" vertical="center"/>
      <protection locked="0"/>
    </xf>
    <xf numFmtId="0" fontId="52" fillId="0" borderId="13" xfId="159" applyFont="1" applyBorder="1" applyAlignment="1" applyProtection="1">
      <alignment horizontal="center" vertical="center" wrapText="1"/>
      <protection locked="0"/>
    </xf>
    <xf numFmtId="0" fontId="52" fillId="0" borderId="14" xfId="159" applyFont="1" applyBorder="1" applyAlignment="1" applyProtection="1">
      <alignment horizontal="center" vertical="center" wrapText="1"/>
      <protection locked="0"/>
    </xf>
    <xf numFmtId="0" fontId="52" fillId="0" borderId="24" xfId="159" applyFont="1" applyBorder="1" applyAlignment="1" applyProtection="1">
      <alignment horizontal="center" vertical="center" wrapText="1"/>
      <protection locked="0"/>
    </xf>
    <xf numFmtId="0" fontId="52" fillId="0" borderId="13" xfId="159" applyFont="1" applyBorder="1" applyAlignment="1">
      <alignment horizontal="center" vertical="center"/>
      <protection/>
    </xf>
    <xf numFmtId="0" fontId="52" fillId="0" borderId="14" xfId="159" applyFont="1" applyBorder="1" applyAlignment="1">
      <alignment horizontal="center" vertical="center"/>
      <protection/>
    </xf>
    <xf numFmtId="0" fontId="52" fillId="0" borderId="24" xfId="159" applyFont="1" applyBorder="1" applyAlignment="1">
      <alignment horizontal="center" vertical="center"/>
      <protection/>
    </xf>
    <xf numFmtId="0" fontId="52" fillId="0" borderId="13" xfId="159" applyFont="1" applyBorder="1" applyAlignment="1">
      <alignment horizontal="center" vertical="center" wrapText="1"/>
      <protection/>
    </xf>
    <xf numFmtId="0" fontId="52" fillId="0" borderId="14" xfId="159" applyFont="1" applyBorder="1" applyAlignment="1">
      <alignment horizontal="center" vertical="center" wrapText="1"/>
      <protection/>
    </xf>
    <xf numFmtId="0" fontId="52" fillId="0" borderId="24" xfId="159" applyFont="1" applyBorder="1" applyAlignment="1">
      <alignment horizontal="center" vertical="center" wrapText="1"/>
      <protection/>
    </xf>
    <xf numFmtId="0" fontId="52" fillId="0" borderId="0" xfId="162" applyFont="1" applyAlignment="1">
      <alignment horizontal="left" vertical="top" wrapText="1"/>
      <protection/>
    </xf>
    <xf numFmtId="174" fontId="52" fillId="0" borderId="0" xfId="0" applyFont="1" applyAlignment="1">
      <alignment horizontal="left" vertical="top" wrapText="1"/>
    </xf>
    <xf numFmtId="174" fontId="52" fillId="0" borderId="0" xfId="0" applyFont="1" applyAlignment="1">
      <alignment horizontal="left" vertical="center" wrapText="1"/>
    </xf>
    <xf numFmtId="174" fontId="52" fillId="0" borderId="0" xfId="0" applyFont="1" applyAlignment="1">
      <alignment horizontal="left" vertical="center"/>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0" fontId="59" fillId="0" borderId="0" xfId="0" applyNumberFormat="1" applyFont="1" applyAlignment="1" applyProtection="1">
      <alignment horizontal="left" wrapText="1"/>
      <protection locked="0"/>
    </xf>
    <xf numFmtId="0" fontId="78" fillId="20" borderId="30" xfId="155" applyFont="1" applyFill="1" applyBorder="1" applyAlignment="1">
      <alignment horizontal="center"/>
      <protection/>
    </xf>
    <xf numFmtId="0" fontId="78" fillId="20" borderId="37" xfId="155" applyFont="1" applyFill="1" applyBorder="1" applyAlignment="1">
      <alignment horizontal="center"/>
      <protection/>
    </xf>
    <xf numFmtId="0" fontId="2" fillId="20" borderId="0" xfId="155" applyFont="1" applyFill="1" applyAlignment="1">
      <alignment horizontal="center" wrapText="1"/>
      <protection/>
    </xf>
    <xf numFmtId="0" fontId="2" fillId="20" borderId="0" xfId="155" applyFill="1" applyAlignment="1">
      <alignment horizontal="center" wrapText="1"/>
      <protection/>
    </xf>
    <xf numFmtId="179" fontId="82" fillId="0" borderId="0" xfId="18" applyNumberFormat="1" applyFont="1" applyAlignment="1">
      <alignment horizontal="center"/>
    </xf>
    <xf numFmtId="174" fontId="79" fillId="0" borderId="0" xfId="0" applyFont="1" applyAlignment="1">
      <alignment horizontal="left" vertical="top" wrapText="1"/>
    </xf>
    <xf numFmtId="174" fontId="54" fillId="0" borderId="0" xfId="0" applyFont="1" applyAlignment="1">
      <alignment horizontal="center" vertical="center"/>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1" fillId="0" borderId="0" xfId="145" applyFont="1" applyAlignment="1">
      <alignment horizontal="left" vertical="center" wrapText="1"/>
      <protection/>
    </xf>
  </cellXfs>
  <cellStyles count="151">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4 2" xfId="148"/>
    <cellStyle name="Normal 4 3" xfId="149"/>
    <cellStyle name="Percent 3" xfId="150"/>
    <cellStyle name="Normal 5" xfId="151"/>
    <cellStyle name="Normal 10" xfId="152"/>
    <cellStyle name="Normal 2 3" xfId="153"/>
    <cellStyle name="Comma 3" xfId="154"/>
    <cellStyle name="Normal 7" xfId="155"/>
    <cellStyle name="Normal 2 2 2" xfId="156"/>
    <cellStyle name="Comma 5" xfId="157"/>
    <cellStyle name="Comma [0] 2" xfId="158"/>
    <cellStyle name="Normal 6" xfId="159"/>
    <cellStyle name="Comma 4" xfId="160"/>
    <cellStyle name="Percent 4" xfId="161"/>
    <cellStyle name="Normal 5 2" xfId="162"/>
    <cellStyle name="Comma 3 2" xfId="163"/>
    <cellStyle name="Currency 3" xfId="16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1" Type="http://schemas.openxmlformats.org/officeDocument/2006/relationships/externalLink" Target="externalLinks/externalLink72.xml" /><Relationship Id="rId87" Type="http://schemas.openxmlformats.org/officeDocument/2006/relationships/externalLink" Target="externalLinks/externalLink58.xml" /><Relationship Id="rId100" Type="http://schemas.openxmlformats.org/officeDocument/2006/relationships/externalLink" Target="externalLinks/externalLink71.xml" /><Relationship Id="rId79" Type="http://schemas.openxmlformats.org/officeDocument/2006/relationships/externalLink" Target="externalLinks/externalLink50.xml" /><Relationship Id="rId84" Type="http://schemas.openxmlformats.org/officeDocument/2006/relationships/externalLink" Target="externalLinks/externalLink55.xml" /><Relationship Id="rId3" Type="http://schemas.openxmlformats.org/officeDocument/2006/relationships/worksheet" Target="worksheets/sheet1.xml" /><Relationship Id="rId64" Type="http://schemas.openxmlformats.org/officeDocument/2006/relationships/externalLink" Target="externalLinks/externalLink35.xml" /><Relationship Id="rId68" Type="http://schemas.openxmlformats.org/officeDocument/2006/relationships/externalLink" Target="externalLinks/externalLink39.xml" /><Relationship Id="rId75" Type="http://schemas.openxmlformats.org/officeDocument/2006/relationships/externalLink" Target="externalLinks/externalLink46.xml" /><Relationship Id="rId65" Type="http://schemas.openxmlformats.org/officeDocument/2006/relationships/externalLink" Target="externalLinks/externalLink36.xml" /><Relationship Id="rId80" Type="http://schemas.openxmlformats.org/officeDocument/2006/relationships/externalLink" Target="externalLinks/externalLink51.xml" /><Relationship Id="rId48" Type="http://schemas.openxmlformats.org/officeDocument/2006/relationships/externalLink" Target="externalLinks/externalLink19.xml" /><Relationship Id="rId49" Type="http://schemas.openxmlformats.org/officeDocument/2006/relationships/externalLink" Target="externalLinks/externalLink20.xml" /><Relationship Id="rId44" Type="http://schemas.openxmlformats.org/officeDocument/2006/relationships/externalLink" Target="externalLinks/externalLink15.xml" /><Relationship Id="rId45" Type="http://schemas.openxmlformats.org/officeDocument/2006/relationships/externalLink" Target="externalLinks/externalLink16.xml" /><Relationship Id="rId46" Type="http://schemas.openxmlformats.org/officeDocument/2006/relationships/externalLink" Target="externalLinks/externalLink17.xml" /><Relationship Id="rId47" Type="http://schemas.openxmlformats.org/officeDocument/2006/relationships/externalLink" Target="externalLinks/externalLink18.xml" /><Relationship Id="rId40" Type="http://schemas.openxmlformats.org/officeDocument/2006/relationships/externalLink" Target="externalLinks/externalLink11.xml" /><Relationship Id="rId41" Type="http://schemas.openxmlformats.org/officeDocument/2006/relationships/externalLink" Target="externalLinks/externalLink12.xml" /><Relationship Id="rId42" Type="http://schemas.openxmlformats.org/officeDocument/2006/relationships/externalLink" Target="externalLinks/externalLink13.xml" /><Relationship Id="rId43" Type="http://schemas.openxmlformats.org/officeDocument/2006/relationships/externalLink" Target="externalLinks/externalLink14.xml" /><Relationship Id="rId86" Type="http://schemas.openxmlformats.org/officeDocument/2006/relationships/externalLink" Target="externalLinks/externalLink57.xml" /><Relationship Id="rId28" Type="http://schemas.openxmlformats.org/officeDocument/2006/relationships/customXml" Target="../customXml/item2.xml" /><Relationship Id="rId29" Type="http://schemas.openxmlformats.org/officeDocument/2006/relationships/customXml" Target="../customXml/item3.xml" /><Relationship Id="rId81" Type="http://schemas.openxmlformats.org/officeDocument/2006/relationships/externalLink" Target="externalLinks/externalLink52.xml" /><Relationship Id="rId82" Type="http://schemas.openxmlformats.org/officeDocument/2006/relationships/externalLink" Target="externalLinks/externalLink53.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sharedStrings" Target="sharedStrings.xml" /><Relationship Id="rId27" Type="http://schemas.openxmlformats.org/officeDocument/2006/relationships/customXml" Target="../customXml/item1.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66" Type="http://schemas.openxmlformats.org/officeDocument/2006/relationships/externalLink" Target="externalLinks/externalLink37.xml" /><Relationship Id="rId67" Type="http://schemas.openxmlformats.org/officeDocument/2006/relationships/externalLink" Target="externalLinks/externalLink38.xml" /><Relationship Id="rId60" Type="http://schemas.openxmlformats.org/officeDocument/2006/relationships/externalLink" Target="externalLinks/externalLink31.xml" /><Relationship Id="rId61" Type="http://schemas.openxmlformats.org/officeDocument/2006/relationships/externalLink" Target="externalLinks/externalLink32.xml" /><Relationship Id="rId62" Type="http://schemas.openxmlformats.org/officeDocument/2006/relationships/externalLink" Target="externalLinks/externalLink33.xml" /><Relationship Id="rId63" Type="http://schemas.openxmlformats.org/officeDocument/2006/relationships/externalLink" Target="externalLinks/externalLink34.xml" /><Relationship Id="rId7" Type="http://schemas.openxmlformats.org/officeDocument/2006/relationships/worksheet" Target="worksheets/sheet5.xml" /><Relationship Id="rId93" Type="http://schemas.openxmlformats.org/officeDocument/2006/relationships/externalLink" Target="externalLinks/externalLink64.xml" /><Relationship Id="rId99" Type="http://schemas.openxmlformats.org/officeDocument/2006/relationships/externalLink" Target="externalLinks/externalLink70.xml" /><Relationship Id="rId1" Type="http://schemas.openxmlformats.org/officeDocument/2006/relationships/theme" Target="theme/theme1.xml" /><Relationship Id="rId13" Type="http://schemas.openxmlformats.org/officeDocument/2006/relationships/worksheet" Target="worksheets/sheet11.xml" /><Relationship Id="rId95" Type="http://schemas.openxmlformats.org/officeDocument/2006/relationships/externalLink" Target="externalLinks/externalLink66.xml" /><Relationship Id="rId5" Type="http://schemas.openxmlformats.org/officeDocument/2006/relationships/worksheet" Target="worksheets/sheet3.xml" /><Relationship Id="rId9" Type="http://schemas.openxmlformats.org/officeDocument/2006/relationships/worksheet" Target="worksheets/sheet7.xml" /><Relationship Id="rId89" Type="http://schemas.openxmlformats.org/officeDocument/2006/relationships/externalLink" Target="externalLinks/externalLink60.xml" /><Relationship Id="rId78" Type="http://schemas.openxmlformats.org/officeDocument/2006/relationships/externalLink" Target="externalLinks/externalLink49.xml" /><Relationship Id="rId38" Type="http://schemas.openxmlformats.org/officeDocument/2006/relationships/externalLink" Target="externalLinks/externalLink9.xml" /><Relationship Id="rId39" Type="http://schemas.openxmlformats.org/officeDocument/2006/relationships/externalLink" Target="externalLinks/externalLink10.xml" /><Relationship Id="rId34" Type="http://schemas.openxmlformats.org/officeDocument/2006/relationships/externalLink" Target="externalLinks/externalLink5.xml" /><Relationship Id="rId35" Type="http://schemas.openxmlformats.org/officeDocument/2006/relationships/externalLink" Target="externalLinks/externalLink6.xml" /><Relationship Id="rId36" Type="http://schemas.openxmlformats.org/officeDocument/2006/relationships/externalLink" Target="externalLinks/externalLink7.xml" /><Relationship Id="rId37" Type="http://schemas.openxmlformats.org/officeDocument/2006/relationships/externalLink" Target="externalLinks/externalLink8.xml" /><Relationship Id="rId30" Type="http://schemas.openxmlformats.org/officeDocument/2006/relationships/externalLink" Target="externalLinks/externalLink1.xml" /><Relationship Id="rId31" Type="http://schemas.openxmlformats.org/officeDocument/2006/relationships/externalLink" Target="externalLinks/externalLink2.xml" /><Relationship Id="rId32" Type="http://schemas.openxmlformats.org/officeDocument/2006/relationships/externalLink" Target="externalLinks/externalLink3.xml" /><Relationship Id="rId33" Type="http://schemas.openxmlformats.org/officeDocument/2006/relationships/externalLink" Target="externalLinks/externalLink4.xml" /><Relationship Id="rId74" Type="http://schemas.openxmlformats.org/officeDocument/2006/relationships/externalLink" Target="externalLinks/externalLink45.xml" /><Relationship Id="rId77" Type="http://schemas.openxmlformats.org/officeDocument/2006/relationships/externalLink" Target="externalLinks/externalLink48.xml" /><Relationship Id="rId70" Type="http://schemas.openxmlformats.org/officeDocument/2006/relationships/externalLink" Target="externalLinks/externalLink41.xml" /><Relationship Id="rId69" Type="http://schemas.openxmlformats.org/officeDocument/2006/relationships/externalLink" Target="externalLinks/externalLink40.xml" /><Relationship Id="rId72" Type="http://schemas.openxmlformats.org/officeDocument/2006/relationships/externalLink" Target="externalLinks/externalLink43.xml" /><Relationship Id="rId73" Type="http://schemas.openxmlformats.org/officeDocument/2006/relationships/externalLink" Target="externalLinks/externalLink44.xml" /><Relationship Id="rId83" Type="http://schemas.openxmlformats.org/officeDocument/2006/relationships/externalLink" Target="externalLinks/externalLink54.xml" /><Relationship Id="rId76" Type="http://schemas.openxmlformats.org/officeDocument/2006/relationships/externalLink" Target="externalLinks/externalLink47.xml" /><Relationship Id="rId18" Type="http://schemas.openxmlformats.org/officeDocument/2006/relationships/worksheet" Target="worksheets/sheet16.xml" /><Relationship Id="rId19" Type="http://schemas.openxmlformats.org/officeDocument/2006/relationships/worksheet" Target="worksheets/sheet17.xml" /><Relationship Id="rId14" Type="http://schemas.openxmlformats.org/officeDocument/2006/relationships/worksheet" Target="worksheets/sheet12.xml" /><Relationship Id="rId15" Type="http://schemas.openxmlformats.org/officeDocument/2006/relationships/worksheet" Target="worksheets/sheet13.xml" /><Relationship Id="rId58" Type="http://schemas.openxmlformats.org/officeDocument/2006/relationships/externalLink" Target="externalLinks/externalLink29.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54" Type="http://schemas.openxmlformats.org/officeDocument/2006/relationships/externalLink" Target="externalLinks/externalLink25.xml" /><Relationship Id="rId55" Type="http://schemas.openxmlformats.org/officeDocument/2006/relationships/externalLink" Target="externalLinks/externalLink26.xml" /><Relationship Id="rId56" Type="http://schemas.openxmlformats.org/officeDocument/2006/relationships/externalLink" Target="externalLinks/externalLink27.xml" /><Relationship Id="rId57" Type="http://schemas.openxmlformats.org/officeDocument/2006/relationships/externalLink" Target="externalLinks/externalLink28.xml" /><Relationship Id="rId50" Type="http://schemas.openxmlformats.org/officeDocument/2006/relationships/externalLink" Target="externalLinks/externalLink21.xml" /><Relationship Id="rId51" Type="http://schemas.openxmlformats.org/officeDocument/2006/relationships/externalLink" Target="externalLinks/externalLink22.xml" /><Relationship Id="rId52" Type="http://schemas.openxmlformats.org/officeDocument/2006/relationships/externalLink" Target="externalLinks/externalLink23.xml" /><Relationship Id="rId53" Type="http://schemas.openxmlformats.org/officeDocument/2006/relationships/externalLink" Target="externalLinks/externalLink24.xml" /><Relationship Id="rId96" Type="http://schemas.openxmlformats.org/officeDocument/2006/relationships/externalLink" Target="externalLinks/externalLink67.xml" /><Relationship Id="rId97" Type="http://schemas.openxmlformats.org/officeDocument/2006/relationships/externalLink" Target="externalLinks/externalLink68.xml" /><Relationship Id="rId90" Type="http://schemas.openxmlformats.org/officeDocument/2006/relationships/externalLink" Target="externalLinks/externalLink61.xml" /><Relationship Id="rId91" Type="http://schemas.openxmlformats.org/officeDocument/2006/relationships/externalLink" Target="externalLinks/externalLink62.xml" /><Relationship Id="rId92" Type="http://schemas.openxmlformats.org/officeDocument/2006/relationships/externalLink" Target="externalLinks/externalLink63.xml" /><Relationship Id="rId71" Type="http://schemas.openxmlformats.org/officeDocument/2006/relationships/externalLink" Target="externalLinks/externalLink42.xml" /><Relationship Id="rId16" Type="http://schemas.openxmlformats.org/officeDocument/2006/relationships/worksheet" Target="worksheets/sheet14.xml" /><Relationship Id="rId102" Type="http://schemas.openxmlformats.org/officeDocument/2006/relationships/calcChain" Target="calcChain.xml" /><Relationship Id="rId98" Type="http://schemas.openxmlformats.org/officeDocument/2006/relationships/externalLink" Target="externalLinks/externalLink69.xml" /><Relationship Id="rId59" Type="http://schemas.openxmlformats.org/officeDocument/2006/relationships/externalLink" Target="externalLinks/externalLink30.xml" /><Relationship Id="rId4" Type="http://schemas.openxmlformats.org/officeDocument/2006/relationships/worksheet" Target="worksheets/sheet2.xml" /><Relationship Id="rId12" Type="http://schemas.openxmlformats.org/officeDocument/2006/relationships/worksheet" Target="worksheets/sheet10.xml" /><Relationship Id="rId94" Type="http://schemas.openxmlformats.org/officeDocument/2006/relationships/externalLink" Target="externalLinks/externalLink65.xml" /><Relationship Id="rId8" Type="http://schemas.openxmlformats.org/officeDocument/2006/relationships/worksheet" Target="worksheets/sheet6.xml" /><Relationship Id="rId85" Type="http://schemas.openxmlformats.org/officeDocument/2006/relationships/externalLink" Target="externalLinks/externalLink56.xml" /><Relationship Id="rId2" Type="http://schemas.openxmlformats.org/officeDocument/2006/relationships/styles" Target="styles.xml" /><Relationship Id="rId88" Type="http://schemas.openxmlformats.org/officeDocument/2006/relationships/externalLink" Target="externalLinks/externalLink59.xml" /><Relationship Id="rId6" Type="http://schemas.openxmlformats.org/officeDocument/2006/relationships/worksheet" Target="worksheets/sheet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48_corptaxnorth/tax/accrual/2006/ACE/December/Worksheet%20in%20Basis%20(1).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yeh001/My%20Documents/Agouron/Ready%20for%20Review/Executive%20Summary/california%20Agouron%20Supermodel@10%.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https://firstenergycorp-my.sharepoint.com/2002/TRANS/2001/SUPPORT-PACKAGES/DPLG-APRIL2001-TRANSCHECKOUT.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H:\2009%20transmission%20rate%20case\Last%20File%20Schedules%20(version%201).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2002/TRANS/2001/SUPPORT-PACKAGES/DPLG-APRIL2001-TRANSCHECKOUT.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xls" TargetMode="External" /></Relationships>
</file>

<file path=xl/externalLinks/_rels/externalLink8.xml.rels><?xml version="1.0" encoding="UTF-8" standalone="yes"?><Relationships xmlns="http://schemas.openxmlformats.org/package/2006/relationships"><Relationship Id="rId1" Type="http://schemas.microsoft.com/office/2006/relationships/xlExternalLinkPath/xlPathMissing" Target="Masterdata"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D:\PEPCO\FERC%20Form%201\Form%201.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hang/LOCALS~1/Temp/notesC66157/2011%20Q4%20SAP%20Cash%20Payment%20Data.xlsx"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NJ%20Restructuring/2002%20Budget%20and%20Rates/2002%20High%20Level%20Budget/2002-2006%20TUB%20Forecast%20.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youlee/Local%20Settings/Temp/3)%20SPPC%202001%20Remove%20Capital%20Direct%20Costs.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youlee/Local%20Settings/Temp/3)NPC%20%20Adjustment%20%202001%20Direct%20Capital%20Costs%20Removed%20.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orking/Annual%20Update%20-%202013/2013%20Annual%20Update%2020130430.xlsx"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Working/Annual%20Update%20-%202013/2013%20Annual%20Update%2020130430.xlsx"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IDD%20#5%20-%20Alliant%20-%20IPL_7.xlsx"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http://kmapp-na1-02.towers.com:8901/00270/2000mlob/othsys/team/p8001w02.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4tr/Monthly%20Balances%20for%20Cap%20Int%20excluded%20routine%20jobs.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MARS001/My%20Documents/Clients/Accounting%20Method/AES/2002%20Indirect%20Cost%20Study%20-%20Calculation.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2008%20New%20Method%20263A%20Calculation.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MARS001/LOCALS~1/Temp/notes335BF6/WBS%20by%20Profit%20Center%20CE%20Summary.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fjeldal/LOCALS~1/Temp/notes8160F2/2003-2007%20TUB%20Forecast%20Deferral%20Case%20v080102.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Users/49001/AppData/Local/Microsoft/Windows/INetCache/Content.Outlook/EJ1IUIAX/DRAFT%20Populated%20Formula%20Rate%20Settlement%20Template.xlsx"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ellevans/My%20Documents/Clients/STR/Indirect%20Cost/Alliant%20Energy/Dept%20Analysis/AandGAnalysis%201999.xls"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hared/NewJerseyDeferrals/1999%20Deferrals/oct99/OctoberTariff(Old).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file:///A:\PAWATER\WATERA.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file:///\\EP-WPP-FP04\UD2\X080KGA\My%20Documents\version4.xls" TargetMode="External" /></Relationships>
</file>

<file path=xl/externalLinks/_rels/externalLink31.xml.rels><?xml version="1.0" encoding="UTF-8" standalone="yes"?><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 /></Relationships>
</file>

<file path=xl/externalLinks/_rels/externalLink3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TEMP/Res_Alloc_MBS_Replacement_Project.xls" TargetMode="External" /></Relationships>
</file>

<file path=xl/externalLinks/_rels/externalLink3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6tr/cap%20int%202006/Cut-Ins.xls" TargetMode="External" /></Relationships>
</file>

<file path=xl/externalLinks/_rels/externalLink34.xml.rels><?xml version="1.0" encoding="UTF-8" standalone="yes"?><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 /></Relationships>
</file>

<file path=xl/externalLinks/_rels/externalLink3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INDOWS/TEMP/Unit%20Data%20Upload/Templates/Hyp.%20Retrieve%20v3.5%20%20-%20May%20%2002.xls" TargetMode="External" /></Relationships>
</file>

<file path=xl/externalLinks/_rels/externalLink36.xml.rels><?xml version="1.0" encoding="UTF-8" standalone="yes"?><Relationships xmlns="http://schemas.openxmlformats.org/package/2006/relationships"><Relationship Id="rId1" Type="http://schemas.microsoft.com/office/2006/relationships/xlExternalLinkPath/xlStartup" Target="CONADM/TEST/FCW/Data97/TRANC.xls" TargetMode="External" /></Relationships>
</file>

<file path=xl/externalLinks/_rels/externalLink37.xml.rels><?xml version="1.0" encoding="UTF-8" standalone="yes"?><Relationships xmlns="http://schemas.openxmlformats.org/package/2006/relationships"><Relationship Id="rId1" Type="http://schemas.openxmlformats.org/officeDocument/2006/relationships/externalLinkPath" Target="http://www.oasis.oati.com/Kraft/Special%20Projects/OATT/2001/2001%20OATT%20Rates%20TD%20OMadj.xls" TargetMode="External" /></Relationships>
</file>

<file path=xl/externalLinks/_rels/externalLink3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nvision/NPC/NVPWR_BALANCE_SHEET_(2001-12-31).xls" TargetMode="External" /></Relationships>
</file>

<file path=xl/externalLinks/_rels/externalLink39.xml.rels><?xml version="1.0" encoding="UTF-8" standalone="yes"?><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 /></Relationships>
</file>

<file path=xl/externalLinks/_rels/externalLink40.xml.rels><?xml version="1.0" encoding="UTF-8" standalone="yes"?><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 /></Relationships>
</file>

<file path=xl/externalLinks/_rels/externalLink41.xml.rels><?xml version="1.0" encoding="UTF-8" standalone="yes"?><Relationships xmlns="http://schemas.openxmlformats.org/package/2006/relationships"><Relationship Id="rId1" Type="http://schemas.microsoft.com/office/2006/relationships/xlExternalLinkPath/xlStartup" Target="CONADM/TEST/NUTRANS/TARIFFS/FIRM1.XLS" TargetMode="External" /></Relationships>
</file>

<file path=xl/externalLinks/_rels/externalLink42.xml.rels><?xml version="1.0" encoding="UTF-8" standalone="yes"?><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 /></Relationships>
</file>

<file path=xl/externalLinks/_rels/externalLink43.xml.rels><?xml version="1.0" encoding="UTF-8" standalone="yes"?><Relationships xmlns="http://schemas.openxmlformats.org/package/2006/relationships"><Relationship Id="rId1" Type="http://schemas.openxmlformats.org/officeDocument/2006/relationships/externalLinkPath" Target="file:///\\91875CAF\Pepco%2012-31-07%20TBBS%20adjust%20for%20MD%20rate%20change%20updated%20KRS.xls" TargetMode="External" /></Relationships>
</file>

<file path=xl/externalLinks/_rels/externalLink4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DOCUME~1/e50781/LOCALS~1/Temp/Domino%20Web%20Access/3-12-07%20KCK%20-%20For%20Next%20Rate%20Case.xls" TargetMode="External" /></Relationships>
</file>

<file path=xl/externalLinks/_rels/externalLink45.xml.rels><?xml version="1.0" encoding="UTF-8" standalone="yes"?><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 /></Relationships>
</file>

<file path=xl/externalLinks/_rels/externalLink46.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G304/CorpModel/Download/eda_cwip.xls" TargetMode="External" /></Relationships>
</file>

<file path=xl/externalLinks/_rels/externalLink4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6tr/cap%20int%202006/Interest%20Computation.xls" TargetMode="External" /></Relationships>
</file>

<file path=xl/externalLinks/_rels/externalLink4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2007/Accounting/March%20Q1/DTE%20YTD%20MARCH%202007%20FIT%20ANALYSIS.xls" TargetMode="External" /></Relationships>
</file>

<file path=xl/externalLinks/_rels/externalLink49.xml.rels><?xml version="1.0" encoding="UTF-8" standalone="yes"?><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 /></Relationships>
</file>

<file path=xl/externalLinks/_rels/externalLink50.xml.rels><?xml version="1.0" encoding="UTF-8" standalone="yes"?><Relationships xmlns="http://schemas.openxmlformats.org/package/2006/relationships"><Relationship Id="rId1" Type="http://schemas.openxmlformats.org/officeDocument/2006/relationships/externalLinkPath" Target="file:///\\A4C5C635\Pepco%202012%20September%20Close%202.xlsx" TargetMode="External" /></Relationships>
</file>

<file path=xl/externalLinks/_rels/externalLink51.xml.rels><?xml version="1.0" encoding="UTF-8" standalone="yes"?><Relationships xmlns="http://schemas.openxmlformats.org/package/2006/relationships"><Relationship Id="rId1" Type="http://schemas.openxmlformats.org/officeDocument/2006/relationships/externalLinkPath" Target="file:///\\FNBNW301\VOL5\STAFF\jdm\misc\2001%202Q\MERGER2.XLS" TargetMode="External" /></Relationships>
</file>

<file path=xl/externalLinks/_rels/externalLink5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MARS001/Local%20Settings/Temp/wz5907/Expense%20by%20Cost%20Center%20Group%20Reg%20Ind%205-9%202008%20with%20Group%20TDBU%20PC's.xls" TargetMode="External" /></Relationships>
</file>

<file path=xl/externalLinks/_rels/externalLink5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Financial%20Reports/Rpts2000/1200/UNSEC/DECO10QB.xls" TargetMode="External" /></Relationships>
</file>

<file path=xl/externalLinks/_rels/externalLink54.xml.rels><?xml version="1.0" encoding="UTF-8" standalone="yes"?><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 /></Relationships>
</file>

<file path=xl/externalLinks/_rels/externalLink55.xml.rels><?xml version="1.0" encoding="UTF-8" standalone="yes"?><Relationships xmlns="http://schemas.openxmlformats.org/package/2006/relationships"><Relationship Id="rId1" Type="http://schemas.openxmlformats.org/officeDocument/2006/relationships/externalLinkPath" Target="file:///\\FNBNW301\VOL5\STAFF\jdm\KMH\Merge\FERC%20Filing\FERC%20stmts2.XLS" TargetMode="External" /></Relationships>
</file>

<file path=xl/externalLinks/_rels/externalLink56.xml.rels><?xml version="1.0" encoding="UTF-8" standalone="yes"?><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 /></Relationships>
</file>

<file path=xl/externalLinks/_rels/externalLink57.xml.rels><?xml version="1.0" encoding="UTF-8" standalone="yes"?><Relationships xmlns="http://schemas.openxmlformats.org/package/2006/relationships"><Relationship Id="rId1" Type="http://schemas.openxmlformats.org/officeDocument/2006/relationships/externalLinkPath" Target="file:///\\CP-NT04\NCRFiles\Finance\Finsvcs\Close%20-%20Current\Current%20Month%20Analyses.xls" TargetMode="External" /></Relationships>
</file>

<file path=xl/externalLinks/_rels/externalLink5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orking/Annual%20Update%20-%202013/Data/Capital%20projection%2020130417.xlsx" TargetMode="External" /></Relationships>
</file>

<file path=xl/externalLinks/_rels/externalLink59.xml.rels><?xml version="1.0" encoding="UTF-8" standalone="yes"?><Relationships xmlns="http://schemas.openxmlformats.org/package/2006/relationships"><Relationship Id="rId1" Type="http://schemas.openxmlformats.org/officeDocument/2006/relationships/externalLinkPath" Target="/Working/Annual%20Update%20-%202013/Data/Capital%20projection%2020130417.xlsx" TargetMode="External" /></Relationships>
</file>

<file path=xl/externalLinks/_rels/externalLink60.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ellevans/My%20Documents/Clients/STR/Indirect%20Cost/Nstar/Pools/Summary%20Query%20other%20cos%20-%20full%20lists.xls" TargetMode="External" /></Relationships>
</file>

<file path=xl/externalLinks/_rels/externalLink6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MARS001/LOCALS~1/Temp/notes335BF6/MEC%20EMPLOYEE%20HEADCOUNT%202006-2009%20updated.xls" TargetMode="External" /></Relationships>
</file>

<file path=xl/externalLinks/_rels/externalLink62.xml.rels><?xml version="1.0" encoding="UTF-8" standalone="yes"?><Relationships xmlns="http://schemas.openxmlformats.org/package/2006/relationships"><Relationship Id="rId1" Type="http://schemas.openxmlformats.org/officeDocument/2006/relationships/externalLinkPath" Target="file:///\\CC-WPP-FP05\UD3\yoakumj\My%20Documents\Entry%20Template%20-%20State%20Dropdown.xls" TargetMode="External" /></Relationships>
</file>

<file path=xl/externalLinks/_rels/externalLink63.xml.rels><?xml version="1.0" encoding="UTF-8" standalone="yes"?><Relationships xmlns="http://schemas.openxmlformats.org/package/2006/relationships"><Relationship Id="rId1" Type="http://schemas.openxmlformats.org/officeDocument/2006/relationships/externalLinkPath" Target="file:///\\C2521D90\Appleton%20Papers%202000-2001_Additional%201040%20exclusions.xls" TargetMode="External" /></Relationships>
</file>

<file path=xl/externalLinks/_rels/externalLink64.xml.rels><?xml version="1.0" encoding="UTF-8" standalone="yes"?><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 /></Relationships>
</file>

<file path=xl/externalLinks/_rels/externalLink6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DIR/Desktop/Synforms_4.1.xls" TargetMode="External" /></Relationships>
</file>

<file path=xl/externalLinks/_rels/externalLink66.xml.rels><?xml version="1.0" encoding="UTF-8" standalone="yes"?><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 /></Relationships>
</file>

<file path=xl/externalLinks/_rels/externalLink67.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 /></Relationships>
</file>

<file path=xl/externalLinks/_rels/externalLink6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Program%20Files/Exchange/MP%20Adds%202001.xls" TargetMode="External" /></Relationships>
</file>

<file path=xl/externalLinks/_rels/externalLink69.xml.rels><?xml version="1.0" encoding="UTF-8" standalone="yes"?><Relationships xmlns="http://schemas.openxmlformats.org/package/2006/relationships"><Relationship Id="rId1" Type="http://schemas.openxmlformats.org/officeDocument/2006/relationships/externalLinkPath" Target="https://firstenergycorp-my.sharepoint.com/tariffs/2000/formula%20rates/NSP%20xcelcoss%20miso.xls" TargetMode="External" /></Relationships>
</file>

<file path=xl/externalLinks/_rels/externalLink70.xml.rels><?xml version="1.0" encoding="UTF-8" standalone="yes"?><Relationships xmlns="http://schemas.openxmlformats.org/package/2006/relationships"><Relationship Id="rId1" Type="http://schemas.openxmlformats.org/officeDocument/2006/relationships/externalLinkPath" Target="file:///H:\tariffs\2000\formula%20rates\NSP%20xcelcoss%20miso.xls" TargetMode="External" /></Relationships>
</file>

<file path=xl/externalLinks/_rels/externalLink7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PHI_Shared_Services/G038/MDDETAIL/PROPTAX.XLS" TargetMode="External" /></Relationships>
</file>

<file path=xl/externalLinks/_rels/externalLink72.xml.rels><?xml version="1.0" encoding="UTF-8" standalone="yes"?><Relationships xmlns="http://schemas.openxmlformats.org/package/2006/relationships"><Relationship Id="rId1" Type="http://schemas.microsoft.com/office/2006/relationships/xlExternalLinkPath/xlPathMissing" Target="gIsRef"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v>
          </cell>
        </row>
        <row r="35">
          <cell r="B35" t="str">
            <v>FACTOR_1.15</v>
          </cell>
          <cell r="C35">
            <v>1.15</v>
          </cell>
        </row>
        <row r="36">
          <cell r="B36" t="str">
            <v>FACTOR_1.2</v>
          </cell>
          <cell r="C36">
            <v>1.2</v>
          </cell>
        </row>
        <row r="37">
          <cell r="B37" t="str">
            <v>FACTOR_1.25</v>
          </cell>
          <cell r="C37">
            <v>1.25</v>
          </cell>
        </row>
      </sheetData>
      <sheetData sheetId="3" refreshError="1">
        <row r="8">
          <cell r="A8">
            <v>1998</v>
          </cell>
          <cell r="C8">
            <v>10504391</v>
          </cell>
          <cell r="E8">
            <v>0</v>
          </cell>
          <cell r="G8">
            <v>3547208.5505</v>
          </cell>
        </row>
        <row r="18">
          <cell r="I18">
            <v>0.11</v>
          </cell>
        </row>
        <row r="20">
          <cell r="I20">
            <v>772837.9752775</v>
          </cell>
        </row>
        <row r="22">
          <cell r="G22" t="str">
            <v>280C Reduced CA R&amp;D Credit (at 91.16%)</v>
          </cell>
          <cell r="I22">
            <v>704519.098262969</v>
          </cell>
        </row>
        <row r="31">
          <cell r="C31">
            <v>1994</v>
          </cell>
          <cell r="E31">
            <v>1995</v>
          </cell>
          <cell r="G31">
            <v>1996</v>
          </cell>
          <cell r="I31">
            <v>1997</v>
          </cell>
        </row>
        <row r="32">
          <cell r="C32">
            <v>81903401</v>
          </cell>
          <cell r="E32">
            <v>68045552</v>
          </cell>
          <cell r="G32">
            <v>76597856.9792844</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v>
          </cell>
          <cell r="Q1">
            <v>36599.4370537037</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Adjustments:</v>
          </cell>
        </row>
        <row r="36">
          <cell r="A36" t="str">
            <v>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Adjustments:</v>
          </cell>
        </row>
        <row r="40">
          <cell r="C40">
            <v>0</v>
          </cell>
          <cell r="D40">
            <v>0</v>
          </cell>
          <cell r="E40">
            <v>0</v>
          </cell>
          <cell r="F40">
            <v>0</v>
          </cell>
          <cell r="G40">
            <v>0</v>
          </cell>
          <cell r="K40">
            <v>0</v>
          </cell>
          <cell r="L40">
            <v>0</v>
          </cell>
          <cell r="M40">
            <v>0</v>
          </cell>
          <cell r="N40">
            <v>0</v>
          </cell>
          <cell r="O40">
            <v>0</v>
          </cell>
          <cell r="P40" t="str">
            <v>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Adjustments:</v>
          </cell>
        </row>
        <row r="46">
          <cell r="B46" t="str">
            <v>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v>
          </cell>
        </row>
        <row r="75">
          <cell r="A75" t="str">
            <v> </v>
          </cell>
        </row>
        <row r="76">
          <cell r="A76" t="str">
            <v>Schedule CC2</v>
          </cell>
          <cell r="P76">
            <v>36599.4370537037</v>
          </cell>
          <cell r="Q76">
            <v>36599.4370537037</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5569741.788</v>
          </cell>
          <cell r="K82">
            <v>7927846.01</v>
          </cell>
          <cell r="L82">
            <v>11613530.587</v>
          </cell>
          <cell r="M82">
            <v>19707135.007</v>
          </cell>
          <cell r="N82">
            <v>35935120.9578</v>
          </cell>
          <cell r="O82">
            <v>25478958.2387948</v>
          </cell>
          <cell r="P82">
            <v>58157347.5275</v>
          </cell>
          <cell r="Q82">
            <v>56448709.3025</v>
          </cell>
        </row>
        <row r="83">
          <cell r="A83" t="str">
            <v>  Adjustments:</v>
          </cell>
        </row>
        <row r="86">
          <cell r="A86" t="str">
            <v>Total before Yr by Yr Adj</v>
          </cell>
          <cell r="C86">
            <v>20127</v>
          </cell>
          <cell r="D86">
            <v>63138</v>
          </cell>
          <cell r="E86">
            <v>500401</v>
          </cell>
          <cell r="F86">
            <v>1329416</v>
          </cell>
          <cell r="G86">
            <v>3373992</v>
          </cell>
          <cell r="H86">
            <v>3881959</v>
          </cell>
          <cell r="I86">
            <v>3454243.852</v>
          </cell>
          <cell r="J86">
            <v>5569741.788</v>
          </cell>
          <cell r="K86">
            <v>7927846.01</v>
          </cell>
          <cell r="L86">
            <v>11613530.587</v>
          </cell>
          <cell r="M86">
            <v>19707135.007</v>
          </cell>
          <cell r="N86">
            <v>35935120.9578</v>
          </cell>
          <cell r="O86">
            <v>25478958.2387948</v>
          </cell>
          <cell r="P86">
            <v>58157347.5275</v>
          </cell>
          <cell r="Q86">
            <v>56448709.3025</v>
          </cell>
        </row>
        <row r="87">
          <cell r="A87" t="str">
            <v>  Adjustments:</v>
          </cell>
        </row>
        <row r="90">
          <cell r="A90" t="str">
            <v>Total for 1990</v>
          </cell>
          <cell r="C90">
            <v>20127</v>
          </cell>
          <cell r="D90">
            <v>63138</v>
          </cell>
          <cell r="E90">
            <v>500401</v>
          </cell>
          <cell r="F90">
            <v>1329416</v>
          </cell>
          <cell r="G90">
            <v>3373992</v>
          </cell>
          <cell r="H90">
            <v>3881959</v>
          </cell>
          <cell r="I90">
            <v>3454243.852</v>
          </cell>
          <cell r="J90">
            <v>5569741.788</v>
          </cell>
          <cell r="K90">
            <v>7927846.01</v>
          </cell>
          <cell r="L90">
            <v>11613530.587</v>
          </cell>
          <cell r="M90">
            <v>19707135.007</v>
          </cell>
          <cell r="N90">
            <v>35935120.9578</v>
          </cell>
          <cell r="O90">
            <v>25478958.2387948</v>
          </cell>
          <cell r="P90">
            <v>58157347.5275</v>
          </cell>
          <cell r="Q90">
            <v>56448709.3025</v>
          </cell>
        </row>
        <row r="91">
          <cell r="A91" t="str">
            <v>  Adjustments:</v>
          </cell>
        </row>
        <row r="94">
          <cell r="A94" t="str">
            <v>Total For  1991</v>
          </cell>
          <cell r="C94">
            <v>20127</v>
          </cell>
          <cell r="D94">
            <v>63138</v>
          </cell>
          <cell r="E94">
            <v>500401</v>
          </cell>
          <cell r="F94">
            <v>1329416</v>
          </cell>
          <cell r="G94">
            <v>3373992</v>
          </cell>
          <cell r="H94">
            <v>3881959</v>
          </cell>
          <cell r="I94">
            <v>3454243.852</v>
          </cell>
          <cell r="J94">
            <v>5569741.788</v>
          </cell>
          <cell r="K94">
            <v>7927846.01</v>
          </cell>
          <cell r="L94">
            <v>11613530.587</v>
          </cell>
          <cell r="M94">
            <v>19707135.007</v>
          </cell>
          <cell r="N94">
            <v>35935120.9578</v>
          </cell>
          <cell r="O94">
            <v>25478958.2387948</v>
          </cell>
          <cell r="P94">
            <v>58157347.5275</v>
          </cell>
          <cell r="Q94">
            <v>56448709.3025</v>
          </cell>
        </row>
        <row r="95">
          <cell r="A95" t="str">
            <v>  Adjustments:</v>
          </cell>
        </row>
        <row r="98">
          <cell r="A98" t="str">
            <v>Total For 1992</v>
          </cell>
          <cell r="C98">
            <v>20127</v>
          </cell>
          <cell r="D98">
            <v>63138</v>
          </cell>
          <cell r="E98">
            <v>500401</v>
          </cell>
          <cell r="F98">
            <v>1329416</v>
          </cell>
          <cell r="G98">
            <v>3373992</v>
          </cell>
          <cell r="H98">
            <v>3881959</v>
          </cell>
          <cell r="I98">
            <v>3454243.852</v>
          </cell>
          <cell r="J98">
            <v>5569741.788</v>
          </cell>
          <cell r="K98">
            <v>7927846.01</v>
          </cell>
          <cell r="L98">
            <v>11613530.587</v>
          </cell>
          <cell r="M98">
            <v>19707135.007</v>
          </cell>
          <cell r="N98">
            <v>35935120.9578</v>
          </cell>
          <cell r="O98">
            <v>25478958.2387948</v>
          </cell>
          <cell r="P98">
            <v>58157347.5275</v>
          </cell>
          <cell r="Q98">
            <v>56448709.3025</v>
          </cell>
        </row>
        <row r="99">
          <cell r="A99" t="str">
            <v>  Adjustments:</v>
          </cell>
        </row>
        <row r="101">
          <cell r="A101" t="str">
            <v>Total For 1993</v>
          </cell>
          <cell r="C101">
            <v>20127</v>
          </cell>
          <cell r="D101">
            <v>63138</v>
          </cell>
          <cell r="E101">
            <v>500401</v>
          </cell>
          <cell r="F101">
            <v>1329416</v>
          </cell>
          <cell r="G101">
            <v>3373992</v>
          </cell>
          <cell r="H101">
            <v>3881959</v>
          </cell>
          <cell r="I101">
            <v>3454243.852</v>
          </cell>
          <cell r="J101">
            <v>5569741.788</v>
          </cell>
          <cell r="K101">
            <v>7927846.01</v>
          </cell>
          <cell r="L101">
            <v>11613530.587</v>
          </cell>
          <cell r="M101">
            <v>19707135.007</v>
          </cell>
          <cell r="N101">
            <v>35935120.9578</v>
          </cell>
          <cell r="O101">
            <v>25478958.2387948</v>
          </cell>
          <cell r="P101">
            <v>58157347.5275</v>
          </cell>
          <cell r="Q101">
            <v>56448709.3025</v>
          </cell>
        </row>
        <row r="102">
          <cell r="A102" t="str">
            <v>  Adjustments:</v>
          </cell>
        </row>
        <row r="105">
          <cell r="A105" t="str">
            <v>Total For 1994</v>
          </cell>
          <cell r="C105">
            <v>20127</v>
          </cell>
          <cell r="D105">
            <v>63138</v>
          </cell>
          <cell r="E105">
            <v>500401</v>
          </cell>
          <cell r="F105">
            <v>1329416</v>
          </cell>
          <cell r="G105">
            <v>3373992</v>
          </cell>
          <cell r="H105">
            <v>3881959</v>
          </cell>
          <cell r="I105">
            <v>3454243.852</v>
          </cell>
          <cell r="J105">
            <v>5569741.788</v>
          </cell>
          <cell r="K105">
            <v>7927846.01</v>
          </cell>
          <cell r="L105">
            <v>11613530.587</v>
          </cell>
          <cell r="M105">
            <v>19707135.007</v>
          </cell>
          <cell r="N105">
            <v>35935120.9578</v>
          </cell>
          <cell r="O105">
            <v>25478958.2387948</v>
          </cell>
          <cell r="P105">
            <v>58157347.5275</v>
          </cell>
          <cell r="Q105">
            <v>56448709.3025</v>
          </cell>
        </row>
        <row r="106">
          <cell r="A106" t="str">
            <v>  Adjustments:</v>
          </cell>
        </row>
        <row r="109">
          <cell r="A109" t="str">
            <v>Total For 1995</v>
          </cell>
          <cell r="C109">
            <v>20127</v>
          </cell>
          <cell r="D109">
            <v>63138</v>
          </cell>
          <cell r="E109">
            <v>500401</v>
          </cell>
          <cell r="F109">
            <v>1329416</v>
          </cell>
          <cell r="G109">
            <v>3373992</v>
          </cell>
          <cell r="H109">
            <v>3881959</v>
          </cell>
          <cell r="I109">
            <v>3454243.852</v>
          </cell>
          <cell r="J109">
            <v>5569741.788</v>
          </cell>
          <cell r="K109">
            <v>7927846.01</v>
          </cell>
          <cell r="L109">
            <v>11613530.587</v>
          </cell>
          <cell r="M109">
            <v>19707135.007</v>
          </cell>
          <cell r="N109">
            <v>35935120.9578</v>
          </cell>
          <cell r="O109">
            <v>25478958.2387948</v>
          </cell>
          <cell r="P109">
            <v>58157347.5275</v>
          </cell>
          <cell r="Q109">
            <v>56448709.3025</v>
          </cell>
        </row>
        <row r="110">
          <cell r="A110" t="str">
            <v>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5569741.788</v>
          </cell>
          <cell r="K113">
            <v>7927846.01</v>
          </cell>
          <cell r="L113">
            <v>11613530.587</v>
          </cell>
          <cell r="M113">
            <v>19707135.007</v>
          </cell>
          <cell r="N113">
            <v>35935120.9578</v>
          </cell>
          <cell r="O113">
            <v>25478958.2387948</v>
          </cell>
          <cell r="P113">
            <v>58157347.5275</v>
          </cell>
          <cell r="Q113">
            <v>56448709.3025</v>
          </cell>
        </row>
        <row r="114">
          <cell r="A114" t="str">
            <v>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5569741.788</v>
          </cell>
          <cell r="K119">
            <v>7927846.01</v>
          </cell>
          <cell r="L119">
            <v>11613530.587</v>
          </cell>
          <cell r="M119">
            <v>19707135.007</v>
          </cell>
          <cell r="N119">
            <v>35935120.9578</v>
          </cell>
          <cell r="O119">
            <v>25478958.2387948</v>
          </cell>
          <cell r="P119">
            <v>58157347.5275</v>
          </cell>
          <cell r="Q119">
            <v>56448709.3025</v>
          </cell>
        </row>
        <row r="120">
          <cell r="A120" t="str">
            <v>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5569741.788</v>
          </cell>
          <cell r="K123">
            <v>7927846.01</v>
          </cell>
          <cell r="L123">
            <v>11613530.587</v>
          </cell>
          <cell r="M123">
            <v>19707135.007</v>
          </cell>
          <cell r="N123">
            <v>35935120.9578</v>
          </cell>
          <cell r="O123">
            <v>25478958.2387948</v>
          </cell>
          <cell r="P123">
            <v>58157347.5275</v>
          </cell>
          <cell r="Q123">
            <v>56448709.3025</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Fixed Base % (above)</v>
          </cell>
          <cell r="B142" t="str">
            <v>(A)</v>
          </cell>
          <cell r="I142">
            <v>0.16</v>
          </cell>
          <cell r="J142">
            <v>0.16</v>
          </cell>
          <cell r="K142">
            <v>0.16</v>
          </cell>
          <cell r="L142">
            <v>0.16</v>
          </cell>
          <cell r="M142">
            <v>0.16</v>
          </cell>
          <cell r="N142">
            <v>0.16</v>
          </cell>
          <cell r="O142">
            <v>0.16</v>
          </cell>
          <cell r="P142">
            <v>0.03</v>
          </cell>
          <cell r="Q142">
            <v>0.03</v>
          </cell>
        </row>
        <row r="143">
          <cell r="A143" t="str">
            <v>    Base Amt (AGR*FB%)</v>
          </cell>
          <cell r="I143">
            <v>266292.32</v>
          </cell>
          <cell r="J143">
            <v>438091.12</v>
          </cell>
          <cell r="K143">
            <v>629739.84</v>
          </cell>
          <cell r="L143">
            <v>851161.2</v>
          </cell>
          <cell r="M143">
            <v>1561027.48</v>
          </cell>
          <cell r="N143">
            <v>2397532</v>
          </cell>
          <cell r="O143">
            <v>4625839.04</v>
          </cell>
          <cell r="P143">
            <v>947720.19</v>
          </cell>
          <cell r="Q143">
            <v>1262297.4</v>
          </cell>
        </row>
        <row r="145">
          <cell r="A145" t="str">
            <v> *** C A U T I O N *** :  ALL TOTALS AND SUBTOTALS ARE SENSITIVE TO EXISTING LOCATIONS OF ROWS AND COLUMNS !!!</v>
          </cell>
        </row>
        <row r="146">
          <cell r="A146" t="str">
            <v>                                       IF ANY ELEMENTS OF EXISTING FORMATS ARE CHANGED, ALL TOTALS AND SUBTOTALS MUST BE CHECKED !!!</v>
          </cell>
        </row>
        <row r="152">
          <cell r="A152">
            <v>0</v>
          </cell>
          <cell r="P152">
            <v>36599.4370537037</v>
          </cell>
          <cell r="Q152">
            <v>36599.4370537037</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5569741.788</v>
          </cell>
          <cell r="K158">
            <v>7927846.01</v>
          </cell>
          <cell r="L158">
            <v>11613530.587</v>
          </cell>
          <cell r="M158">
            <v>19707135.007</v>
          </cell>
          <cell r="N158">
            <v>35935120.9578</v>
          </cell>
          <cell r="O158">
            <v>25478958.2387948</v>
          </cell>
          <cell r="P158">
            <v>58157347.5275</v>
          </cell>
          <cell r="Q158">
            <v>56448709.3025</v>
          </cell>
        </row>
        <row r="160">
          <cell r="A160" t="str">
            <v>                               (Pre-1990)</v>
          </cell>
          <cell r="C160">
            <v>0</v>
          </cell>
          <cell r="D160">
            <v>0</v>
          </cell>
          <cell r="E160">
            <v>0</v>
          </cell>
          <cell r="F160">
            <v>0</v>
          </cell>
          <cell r="G160">
            <v>0</v>
          </cell>
          <cell r="H160">
            <v>0</v>
          </cell>
        </row>
        <row r="161">
          <cell r="A161" t="str">
            <v>Less Base Amount:  </v>
          </cell>
          <cell r="B161" t="str">
            <v>CC2</v>
          </cell>
          <cell r="I161">
            <v>266292.32</v>
          </cell>
          <cell r="J161">
            <v>438091.12</v>
          </cell>
          <cell r="K161">
            <v>629739.84</v>
          </cell>
          <cell r="L161">
            <v>851161.2</v>
          </cell>
          <cell r="M161">
            <v>1561027.48</v>
          </cell>
          <cell r="N161">
            <v>2397532</v>
          </cell>
          <cell r="O161">
            <v>2451947.46928962</v>
          </cell>
          <cell r="P161">
            <v>947720.19</v>
          </cell>
          <cell r="Q161">
            <v>1262297.4</v>
          </cell>
        </row>
        <row r="162">
          <cell r="A162" t="str">
            <v>  1981 QREs</v>
          </cell>
          <cell r="C162">
            <v>0</v>
          </cell>
        </row>
        <row r="163">
          <cell r="A163" t="str">
            <v>  1982 QREs</v>
          </cell>
          <cell r="C163">
            <v>0</v>
          </cell>
          <cell r="D163">
            <v>0</v>
          </cell>
        </row>
        <row r="164">
          <cell r="A164" t="str">
            <v>  1983 QREs</v>
          </cell>
          <cell r="C164">
            <v>0</v>
          </cell>
          <cell r="D164">
            <v>0</v>
          </cell>
          <cell r="E164">
            <v>0</v>
          </cell>
        </row>
        <row r="165">
          <cell r="A165" t="str">
            <v>  1984 QREs</v>
          </cell>
          <cell r="D165">
            <v>0</v>
          </cell>
          <cell r="E165">
            <v>0</v>
          </cell>
          <cell r="F165">
            <v>0</v>
          </cell>
        </row>
        <row r="166">
          <cell r="A166" t="str">
            <v>  1985 QREs</v>
          </cell>
          <cell r="E166">
            <v>0</v>
          </cell>
          <cell r="F166">
            <v>0</v>
          </cell>
          <cell r="G166">
            <v>0</v>
          </cell>
        </row>
        <row r="167">
          <cell r="A167" t="str">
            <v>  1986 QREs</v>
          </cell>
          <cell r="F167">
            <v>0</v>
          </cell>
          <cell r="G167">
            <v>0</v>
          </cell>
          <cell r="H167">
            <v>0</v>
          </cell>
        </row>
        <row r="168">
          <cell r="A168" t="str">
            <v>  1987 QREs</v>
          </cell>
          <cell r="G168">
            <v>0</v>
          </cell>
          <cell r="H168">
            <v>0</v>
          </cell>
        </row>
        <row r="169">
          <cell r="A169" t="str">
            <v>  1988 QREs</v>
          </cell>
          <cell r="H169">
            <v>0</v>
          </cell>
        </row>
        <row r="170">
          <cell r="A170" t="str">
            <v>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v>
          </cell>
          <cell r="M171">
            <v>1561027.48</v>
          </cell>
          <cell r="N171">
            <v>2397532</v>
          </cell>
          <cell r="O171">
            <v>2451947.46928962</v>
          </cell>
          <cell r="P171">
            <v>947720.19</v>
          </cell>
          <cell r="Q171">
            <v>1262297.4</v>
          </cell>
        </row>
        <row r="172">
          <cell r="A172" t="str">
            <v>Curr Yr Less Base Amt      (X)</v>
          </cell>
          <cell r="C172">
            <v>0</v>
          </cell>
          <cell r="D172">
            <v>0</v>
          </cell>
          <cell r="E172">
            <v>0</v>
          </cell>
          <cell r="F172">
            <v>0</v>
          </cell>
          <cell r="G172">
            <v>0</v>
          </cell>
          <cell r="H172">
            <v>0</v>
          </cell>
          <cell r="I172">
            <v>3187951.532</v>
          </cell>
          <cell r="J172">
            <v>5131650.668</v>
          </cell>
          <cell r="K172">
            <v>7298106.17</v>
          </cell>
          <cell r="L172">
            <v>10762369.387</v>
          </cell>
          <cell r="M172">
            <v>18146107.527</v>
          </cell>
          <cell r="N172">
            <v>33537588.9578</v>
          </cell>
          <cell r="O172">
            <v>23027010.7695052</v>
          </cell>
          <cell r="P172">
            <v>57209627.3375</v>
          </cell>
          <cell r="Q172">
            <v>55186411.9025</v>
          </cell>
        </row>
        <row r="173">
          <cell r="A173" t="str">
            <v>50% of Current Year          (Y)</v>
          </cell>
          <cell r="C173">
            <v>0</v>
          </cell>
          <cell r="D173">
            <v>0</v>
          </cell>
          <cell r="E173">
            <v>0</v>
          </cell>
          <cell r="F173">
            <v>0</v>
          </cell>
          <cell r="G173">
            <v>0</v>
          </cell>
          <cell r="H173">
            <v>0</v>
          </cell>
          <cell r="I173">
            <v>1727121.926</v>
          </cell>
          <cell r="J173">
            <v>2784870.894</v>
          </cell>
          <cell r="K173">
            <v>3963923.005</v>
          </cell>
          <cell r="L173">
            <v>5806765.2935</v>
          </cell>
          <cell r="M173">
            <v>9853567.5035</v>
          </cell>
          <cell r="N173">
            <v>17967560.4789</v>
          </cell>
          <cell r="O173">
            <v>12739479.1193974</v>
          </cell>
          <cell r="P173">
            <v>29078673.76375</v>
          </cell>
          <cell r="Q173">
            <v>28224354.65125</v>
          </cell>
        </row>
        <row r="174">
          <cell r="A174" t="str">
            <v>Creditable Amt &lt; of (X) or (Y)</v>
          </cell>
          <cell r="C174">
            <v>0</v>
          </cell>
          <cell r="D174">
            <v>0</v>
          </cell>
          <cell r="E174">
            <v>0</v>
          </cell>
          <cell r="F174">
            <v>0</v>
          </cell>
          <cell r="G174">
            <v>0</v>
          </cell>
          <cell r="H174">
            <v>0</v>
          </cell>
          <cell r="I174">
            <v>1727121.926</v>
          </cell>
          <cell r="J174">
            <v>2784870.894</v>
          </cell>
          <cell r="K174">
            <v>3963923.005</v>
          </cell>
          <cell r="L174">
            <v>5806765.2935</v>
          </cell>
          <cell r="M174">
            <v>9853567.5035</v>
          </cell>
          <cell r="N174">
            <v>17967560.4789</v>
          </cell>
          <cell r="O174">
            <v>12739479.1193974</v>
          </cell>
          <cell r="P174">
            <v>29078673.76375</v>
          </cell>
          <cell r="Q174">
            <v>28224354.65125</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v>
          </cell>
          <cell r="J176">
            <v>222789.67152</v>
          </cell>
          <cell r="K176">
            <v>317113.8404</v>
          </cell>
          <cell r="L176">
            <v>464541.22348</v>
          </cell>
          <cell r="M176">
            <v>788285.40028</v>
          </cell>
          <cell r="N176">
            <v>1437404.838312</v>
          </cell>
          <cell r="O176">
            <v>1019158.32955179</v>
          </cell>
          <cell r="P176">
            <v>3198654.1140125</v>
          </cell>
          <cell r="Q176">
            <v>3104679.0116375</v>
          </cell>
        </row>
        <row r="181">
          <cell r="G181" t="str">
            <v>California</v>
          </cell>
          <cell r="H181" t="str">
            <v>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v>
          </cell>
        </row>
        <row r="188">
          <cell r="A188" t="str">
            <v>1988</v>
          </cell>
          <cell r="B188" t="str">
            <v>Above</v>
          </cell>
          <cell r="C188">
            <v>0</v>
          </cell>
          <cell r="D188" t="str">
            <v>none</v>
          </cell>
          <cell r="E188">
            <v>0</v>
          </cell>
          <cell r="G188" t="str">
            <v> </v>
          </cell>
        </row>
        <row r="189">
          <cell r="A189" t="str">
            <v>1989</v>
          </cell>
          <cell r="B189" t="str">
            <v>Above</v>
          </cell>
          <cell r="C189">
            <v>0</v>
          </cell>
          <cell r="D189" t="str">
            <v>none</v>
          </cell>
          <cell r="E189">
            <v>0</v>
          </cell>
          <cell r="G189" t="str">
            <v> </v>
          </cell>
        </row>
        <row r="190">
          <cell r="A190" t="str">
            <v>1990</v>
          </cell>
          <cell r="B190" t="str">
            <v>Above</v>
          </cell>
          <cell r="C190">
            <v>138169.75408</v>
          </cell>
          <cell r="D190" t="str">
            <v>90.7% of full credit</v>
          </cell>
          <cell r="E190">
            <v>125319.96695056</v>
          </cell>
          <cell r="G190">
            <v>129856</v>
          </cell>
          <cell r="H190">
            <v>-4536.03304943998</v>
          </cell>
        </row>
        <row r="191">
          <cell r="A191" t="str">
            <v>1991</v>
          </cell>
          <cell r="B191" t="str">
            <v>Above</v>
          </cell>
          <cell r="C191">
            <v>222789.67152</v>
          </cell>
          <cell r="D191" t="str">
            <v>90.7% of full credit</v>
          </cell>
          <cell r="E191">
            <v>202070.23206864</v>
          </cell>
          <cell r="G191">
            <v>203230</v>
          </cell>
          <cell r="H191">
            <v>-1159.76793135999</v>
          </cell>
        </row>
        <row r="192">
          <cell r="A192" t="str">
            <v>1992</v>
          </cell>
          <cell r="B192" t="str">
            <v>Above</v>
          </cell>
          <cell r="C192">
            <v>317113.8404</v>
          </cell>
          <cell r="D192" t="str">
            <v>90.7% of full credit</v>
          </cell>
          <cell r="E192">
            <v>287622.2532428</v>
          </cell>
          <cell r="G192">
            <v>175281</v>
          </cell>
          <cell r="H192">
            <v>112341.2532428</v>
          </cell>
        </row>
        <row r="193">
          <cell r="A193" t="str">
            <v>1993</v>
          </cell>
          <cell r="B193" t="str">
            <v>Above</v>
          </cell>
          <cell r="C193">
            <v>464541.22348</v>
          </cell>
          <cell r="D193" t="str">
            <v>90.7% of full credit</v>
          </cell>
          <cell r="E193">
            <v>421338.88969636</v>
          </cell>
          <cell r="G193">
            <v>294709</v>
          </cell>
          <cell r="H193">
            <v>126629.88969636</v>
          </cell>
        </row>
        <row r="194">
          <cell r="A194" t="str">
            <v>1994</v>
          </cell>
          <cell r="B194" t="str">
            <v>Above</v>
          </cell>
          <cell r="C194">
            <v>788285.40028</v>
          </cell>
          <cell r="D194" t="str">
            <v>90.7% of full credit</v>
          </cell>
          <cell r="E194">
            <v>714974.85805396</v>
          </cell>
          <cell r="G194">
            <v>340813</v>
          </cell>
          <cell r="H194">
            <v>374161.85805396</v>
          </cell>
        </row>
        <row r="195">
          <cell r="A195" t="str">
            <v>1995</v>
          </cell>
          <cell r="B195" t="str">
            <v>Above</v>
          </cell>
          <cell r="C195">
            <v>1437404.838312</v>
          </cell>
          <cell r="D195" t="str">
            <v>90.7% of full credit</v>
          </cell>
          <cell r="E195">
            <v>1303726.18834898</v>
          </cell>
          <cell r="G195">
            <v>582317</v>
          </cell>
          <cell r="H195">
            <v>721409.188348984</v>
          </cell>
        </row>
        <row r="196">
          <cell r="A196" t="str">
            <v>1996</v>
          </cell>
          <cell r="B196" t="str">
            <v>Above</v>
          </cell>
          <cell r="C196">
            <v>1019158.32955179</v>
          </cell>
          <cell r="D196" t="str">
            <v>90.7% of full credit</v>
          </cell>
          <cell r="E196">
            <v>924376.604903474</v>
          </cell>
          <cell r="G196">
            <v>926500</v>
          </cell>
          <cell r="H196">
            <v>-2123.39509652555</v>
          </cell>
        </row>
        <row r="197">
          <cell r="A197" t="str">
            <v>1997</v>
          </cell>
          <cell r="B197" t="str">
            <v>Above</v>
          </cell>
          <cell r="C197">
            <v>3198654.1140125</v>
          </cell>
          <cell r="D197" t="str">
            <v>91.16% of full credit</v>
          </cell>
          <cell r="E197">
            <v>2915893.09033379</v>
          </cell>
          <cell r="G197">
            <v>2876621</v>
          </cell>
          <cell r="H197">
            <v>39272.0903337947</v>
          </cell>
        </row>
        <row r="198">
          <cell r="A198" t="str">
            <v>1998</v>
          </cell>
          <cell r="B198" t="str">
            <v>Above</v>
          </cell>
          <cell r="C198">
            <v>3104679.0116375</v>
          </cell>
          <cell r="D198" t="str">
            <v>91.16% of full credit</v>
          </cell>
          <cell r="E198">
            <v>2830225.38700874</v>
          </cell>
          <cell r="G198">
            <v>3568615</v>
          </cell>
          <cell r="H198">
            <v>-738389.612991255</v>
          </cell>
        </row>
        <row r="200">
          <cell r="A200" t="str">
            <v>     Total</v>
          </cell>
          <cell r="C200">
            <v>10690796.1832738</v>
          </cell>
          <cell r="E200">
            <v>9725547.47060732</v>
          </cell>
          <cell r="G200">
            <v>9097942</v>
          </cell>
          <cell r="H200">
            <v>627605.470607318</v>
          </cell>
        </row>
        <row r="202">
          <cell r="A202" t="str">
            <v>  NOTE 1 : **CAUTION**  For 1984-1989 calculations: </v>
          </cell>
        </row>
        <row r="203">
          <cell r="A203" t="str">
            <v>    1. Current and base year expenditures must be entered in the appropriate cells, and</v>
          </cell>
        </row>
        <row r="204">
          <cell r="A204" t="str">
            <v>    2. Current and base year amounts must be adjusted for Acq/Disp.</v>
          </cell>
        </row>
        <row r="206">
          <cell r="A206" t="str">
            <v> **C A U T I O N** :  ALL TOTALS AND SUBTOTALS ARE SENSITIVE TO EXISTING LOCATIONS OF ROWS AND COLUMNS !!!</v>
          </cell>
        </row>
        <row r="207">
          <cell r="A207" t="str">
            <v>                                  IF ANY ELEMENTS OF EXISTING FORMATS ARE CHANGED, ALL TOTALS AND SUBTOTALS MUST BE CHECKED !!!</v>
          </cell>
        </row>
      </sheetData>
      <sheetData sheetId="6" refreshError="1">
        <row r="15">
          <cell r="B15" t="str">
            <v>Qualifying Research</v>
          </cell>
          <cell r="C15">
            <v>25478958.2387948</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v>
          </cell>
        </row>
        <row r="10">
          <cell r="A10" t="str">
            <v>||</v>
          </cell>
          <cell r="B10" t="str">
            <v> </v>
          </cell>
        </row>
        <row r="11">
          <cell r="A11" t="str">
            <v>||</v>
          </cell>
          <cell r="B11" t="str">
            <v> </v>
          </cell>
        </row>
        <row r="12">
          <cell r="A12" t="str">
            <v>||</v>
          </cell>
          <cell r="B12" t="str">
            <v> </v>
          </cell>
        </row>
        <row r="13">
          <cell r="A13" t="str">
            <v>||</v>
          </cell>
          <cell r="B13" t="str">
            <v> </v>
          </cell>
        </row>
        <row r="14">
          <cell r="A14" t="str">
            <v>||</v>
          </cell>
          <cell r="B14" t="str">
            <v> </v>
          </cell>
        </row>
        <row r="15">
          <cell r="A15" t="str">
            <v>||</v>
          </cell>
          <cell r="B15" t="str">
            <v>&lt;&lt;&lt;Company N&gt;&gt;&gt;</v>
          </cell>
          <cell r="R15" t="str">
            <v>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Tax Return Adjustments:</v>
          </cell>
        </row>
        <row r="31">
          <cell r="B31" t="str">
            <v>    Amendments</v>
          </cell>
        </row>
        <row r="32">
          <cell r="B32" t="str">
            <v>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v>
          </cell>
        </row>
        <row r="36">
          <cell r="B36" t="str">
            <v>  Other Adjustments:</v>
          </cell>
        </row>
        <row r="37">
          <cell r="A37" t="str">
            <v>||</v>
          </cell>
          <cell r="B37" t="str">
            <v>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v>
          </cell>
        </row>
        <row r="52">
          <cell r="B52" t="str">
            <v> </v>
          </cell>
        </row>
      </sheetData>
      <sheetData sheetId="8"/>
      <sheetData sheetId="9"/>
      <sheetData sheetId="10" refreshError="1">
        <row r="1">
          <cell r="Q1">
            <v>36599.4370537037</v>
          </cell>
          <cell r="R1">
            <v>36599.4370537037</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Qualifying Wages</v>
          </cell>
          <cell r="C8" t="str">
            <v>BU1</v>
          </cell>
          <cell r="D8">
            <v>11087</v>
          </cell>
          <cell r="E8">
            <v>50015</v>
          </cell>
          <cell r="F8">
            <v>323590</v>
          </cell>
          <cell r="G8">
            <v>899647</v>
          </cell>
          <cell r="H8">
            <v>2067727</v>
          </cell>
          <cell r="I8">
            <v>2741619</v>
          </cell>
          <cell r="J8">
            <v>2299558.002</v>
          </cell>
          <cell r="K8">
            <v>3542463.788</v>
          </cell>
          <cell r="L8">
            <v>5126210.56</v>
          </cell>
          <cell r="M8">
            <v>7134127.537</v>
          </cell>
          <cell r="N8">
            <v>9257454.457</v>
          </cell>
          <cell r="O8">
            <v>17917881</v>
          </cell>
          <cell r="P8">
            <v>29938649</v>
          </cell>
          <cell r="Q8">
            <v>50930323</v>
          </cell>
          <cell r="R8">
            <v>49405882</v>
          </cell>
        </row>
        <row r="9">
          <cell r="A9">
            <v>0</v>
          </cell>
          <cell r="B9" t="str">
            <v>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13677482.19</v>
          </cell>
          <cell r="P9">
            <v>2205524.4</v>
          </cell>
          <cell r="Q9">
            <v>6259486.3</v>
          </cell>
          <cell r="R9">
            <v>7163698.8</v>
          </cell>
        </row>
        <row r="10">
          <cell r="A10">
            <v>0</v>
          </cell>
          <cell r="B10" t="str">
            <v>  Qualifying Contract (@65%)</v>
          </cell>
          <cell r="C10" t="str">
            <v>BU1</v>
          </cell>
          <cell r="D10">
            <v>3568</v>
          </cell>
          <cell r="E10">
            <v>260</v>
          </cell>
          <cell r="F10">
            <v>51757</v>
          </cell>
          <cell r="G10">
            <v>172998</v>
          </cell>
          <cell r="H10">
            <v>770702</v>
          </cell>
          <cell r="I10">
            <v>331819</v>
          </cell>
          <cell r="J10">
            <v>444501.85</v>
          </cell>
          <cell r="K10">
            <v>642759</v>
          </cell>
          <cell r="L10">
            <v>1134479.45</v>
          </cell>
          <cell r="M10">
            <v>1773835.05</v>
          </cell>
          <cell r="N10">
            <v>2746436.55</v>
          </cell>
          <cell r="O10">
            <v>4339757.7678</v>
          </cell>
          <cell r="P10">
            <v>-6665215.16120522</v>
          </cell>
          <cell r="Q10">
            <v>967538.2275</v>
          </cell>
          <cell r="R10">
            <v>-120871.497499998</v>
          </cell>
        </row>
        <row r="11">
          <cell r="A11" t="str">
            <v>||</v>
          </cell>
          <cell r="B11" t="str">
            <v>B_U_3</v>
          </cell>
          <cell r="C11" t="str">
            <v>'[california Agouron Supermodel@10%.xls]B_U_3'!$B$2</v>
          </cell>
        </row>
        <row r="12">
          <cell r="A12" t="str">
            <v>||</v>
          </cell>
          <cell r="B12" t="str">
            <v>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v>
          </cell>
          <cell r="C15" t="str">
            <v>'[california Agouron Supermodel@10%.xls]B_U_4'!$B$2</v>
          </cell>
        </row>
        <row r="16">
          <cell r="A16" t="str">
            <v>||</v>
          </cell>
          <cell r="B16" t="str">
            <v>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v>
          </cell>
          <cell r="C27" t="str">
            <v>'[california Agouron Supermodel@10%.xls]B_U_7'!$B$2</v>
          </cell>
        </row>
        <row r="28">
          <cell r="A28" t="str">
            <v>||</v>
          </cell>
          <cell r="B28" t="str">
            <v>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v>
          </cell>
          <cell r="Q28">
            <v>0</v>
          </cell>
          <cell r="R28">
            <v>0</v>
          </cell>
        </row>
        <row r="29">
          <cell r="A29" t="str">
            <v>||</v>
          </cell>
          <cell r="B29" t="str">
            <v>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5569741.788</v>
          </cell>
          <cell r="L96">
            <v>7927846.01</v>
          </cell>
          <cell r="M96">
            <v>11613530.587</v>
          </cell>
          <cell r="N96">
            <v>19707135.007</v>
          </cell>
          <cell r="O96">
            <v>35935120.9578</v>
          </cell>
          <cell r="P96">
            <v>25478958.2387948</v>
          </cell>
          <cell r="Q96">
            <v>58157347.5275</v>
          </cell>
          <cell r="R96">
            <v>56448709.3025</v>
          </cell>
        </row>
        <row r="98">
          <cell r="B98" t="str">
            <v>PHASE II Summary:</v>
          </cell>
        </row>
        <row r="99">
          <cell r="B99" t="str">
            <v>Total Qualifying Wages</v>
          </cell>
          <cell r="D99">
            <v>11087</v>
          </cell>
          <cell r="E99">
            <v>50015</v>
          </cell>
          <cell r="F99">
            <v>323590</v>
          </cell>
          <cell r="G99">
            <v>899647</v>
          </cell>
          <cell r="H99">
            <v>2067727</v>
          </cell>
          <cell r="I99">
            <v>2741619</v>
          </cell>
          <cell r="J99">
            <v>2299558.002</v>
          </cell>
          <cell r="K99">
            <v>3542463.788</v>
          </cell>
          <cell r="L99">
            <v>5126210.56</v>
          </cell>
          <cell r="M99">
            <v>7134127.537</v>
          </cell>
          <cell r="N99">
            <v>9257454.457</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13677482.19</v>
          </cell>
          <cell r="P100">
            <v>2205524.4</v>
          </cell>
          <cell r="Q100">
            <v>6259486.3</v>
          </cell>
          <cell r="R100">
            <v>7163698.8</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v>
          </cell>
          <cell r="M101">
            <v>1773835.05</v>
          </cell>
          <cell r="N101">
            <v>2746436.55</v>
          </cell>
          <cell r="O101">
            <v>4339757.7678</v>
          </cell>
          <cell r="P101">
            <v>-6665215.16120522</v>
          </cell>
          <cell r="Q101">
            <v>967538.2275</v>
          </cell>
          <cell r="R101">
            <v>-120871.497499998</v>
          </cell>
        </row>
        <row r="102">
          <cell r="B102" t="str">
            <v>  Total Qualifying Expenses</v>
          </cell>
          <cell r="D102">
            <v>20127</v>
          </cell>
          <cell r="E102">
            <v>63138</v>
          </cell>
          <cell r="F102">
            <v>500401</v>
          </cell>
          <cell r="G102">
            <v>1329416</v>
          </cell>
          <cell r="H102">
            <v>3373992</v>
          </cell>
          <cell r="I102">
            <v>3881959</v>
          </cell>
          <cell r="J102">
            <v>3454243.852</v>
          </cell>
          <cell r="K102">
            <v>5569741.788</v>
          </cell>
          <cell r="L102">
            <v>7927846.01</v>
          </cell>
          <cell r="M102">
            <v>11613530.587</v>
          </cell>
          <cell r="N102">
            <v>19707135.007</v>
          </cell>
          <cell r="O102">
            <v>35935120.9578</v>
          </cell>
          <cell r="P102">
            <v>25478958.2387948</v>
          </cell>
          <cell r="Q102">
            <v>58157347.5275</v>
          </cell>
          <cell r="R102">
            <v>56448709.3025</v>
          </cell>
        </row>
        <row r="103">
          <cell r="B103" t="str">
            <v>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B104" t="str">
            <v> *** C A U T I O N *** :  ALL TOTALS AND SUBTOTALS ARE SENSITIVE TO EXISTING LOCATIONS OF ROWS AND COLUMNS !!!</v>
          </cell>
          <cell r="I104" t="str">
            <v> </v>
          </cell>
          <cell r="J104" t="str">
            <v> </v>
          </cell>
          <cell r="K104" t="str">
            <v> </v>
          </cell>
          <cell r="L104" t="str">
            <v> </v>
          </cell>
          <cell r="M104" t="str">
            <v> </v>
          </cell>
          <cell r="N104" t="str">
            <v> </v>
          </cell>
        </row>
        <row r="105">
          <cell r="B105" t="str">
            <v>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2299558.002</v>
          </cell>
          <cell r="K109">
            <v>3542463.788</v>
          </cell>
          <cell r="L109">
            <v>5126210.56</v>
          </cell>
          <cell r="M109">
            <v>7134127.537</v>
          </cell>
          <cell r="N109">
            <v>9257454.457</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13677482.19</v>
          </cell>
          <cell r="P110">
            <v>2205524.4</v>
          </cell>
          <cell r="Q110">
            <v>6259486.3</v>
          </cell>
          <cell r="R110">
            <v>7163698.8</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v>
          </cell>
          <cell r="M111">
            <v>1773835.05</v>
          </cell>
          <cell r="N111">
            <v>2746436.55</v>
          </cell>
          <cell r="O111">
            <v>4339757.7678</v>
          </cell>
          <cell r="P111">
            <v>-6665215.16120522</v>
          </cell>
          <cell r="Q111">
            <v>967538.2275</v>
          </cell>
          <cell r="R111">
            <v>-120871.497499998</v>
          </cell>
        </row>
        <row r="112">
          <cell r="B112" t="str">
            <v>  Total Qualifying Expenses</v>
          </cell>
          <cell r="D112">
            <v>20127</v>
          </cell>
          <cell r="E112">
            <v>63138</v>
          </cell>
          <cell r="F112">
            <v>500401</v>
          </cell>
          <cell r="G112">
            <v>1329416</v>
          </cell>
          <cell r="H112">
            <v>3373992</v>
          </cell>
          <cell r="I112">
            <v>3881959</v>
          </cell>
          <cell r="J112">
            <v>3454243.852</v>
          </cell>
          <cell r="K112">
            <v>5569741.788</v>
          </cell>
          <cell r="L112">
            <v>7927846.01</v>
          </cell>
          <cell r="M112">
            <v>11613530.587</v>
          </cell>
          <cell r="N112">
            <v>19707135.007</v>
          </cell>
          <cell r="O112">
            <v>35935120.9578</v>
          </cell>
          <cell r="P112">
            <v>25478958.2387948</v>
          </cell>
          <cell r="Q112">
            <v>58157347.5275</v>
          </cell>
          <cell r="R112">
            <v>56448709.3025</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5569741.788</v>
          </cell>
          <cell r="L116">
            <v>7927846.01</v>
          </cell>
          <cell r="M116">
            <v>11613530.587</v>
          </cell>
          <cell r="N116">
            <v>19707135.007</v>
          </cell>
          <cell r="O116">
            <v>35935120.9578</v>
          </cell>
          <cell r="P116">
            <v>25478958.2387948</v>
          </cell>
          <cell r="Q116">
            <v>58157347.5275</v>
          </cell>
          <cell r="R116">
            <v>56448709.3025</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v>
          </cell>
          <cell r="F217">
            <v>323.59</v>
          </cell>
          <cell r="G217">
            <v>899.647</v>
          </cell>
          <cell r="H217">
            <v>2067.727</v>
          </cell>
          <cell r="I217">
            <v>2741.619</v>
          </cell>
          <cell r="J217">
            <v>2299.558002</v>
          </cell>
          <cell r="K217">
            <v>3542.463788</v>
          </cell>
          <cell r="L217">
            <v>5126.21056</v>
          </cell>
          <cell r="M217">
            <v>7134.127537</v>
          </cell>
          <cell r="N217">
            <v>9257.454457</v>
          </cell>
          <cell r="O217">
            <v>17917.881</v>
          </cell>
          <cell r="P217">
            <v>29938.649</v>
          </cell>
          <cell r="Q217">
            <v>50930.323</v>
          </cell>
          <cell r="R217">
            <v>49405.882</v>
          </cell>
        </row>
        <row r="218">
          <cell r="C218" t="str">
            <v>Supplies</v>
          </cell>
          <cell r="D218">
            <v>5.472</v>
          </cell>
          <cell r="E218">
            <v>12.863</v>
          </cell>
          <cell r="F218">
            <v>125.054</v>
          </cell>
          <cell r="G218">
            <v>256.771</v>
          </cell>
          <cell r="H218">
            <v>535.563</v>
          </cell>
          <cell r="I218">
            <v>808.521</v>
          </cell>
          <cell r="J218">
            <v>710.184</v>
          </cell>
          <cell r="K218">
            <v>1384.519</v>
          </cell>
          <cell r="L218">
            <v>1667.156</v>
          </cell>
          <cell r="M218">
            <v>2705.568</v>
          </cell>
          <cell r="N218">
            <v>7703.244</v>
          </cell>
          <cell r="O218">
            <v>13677.48219</v>
          </cell>
          <cell r="P218">
            <v>2205.5244</v>
          </cell>
          <cell r="Q218">
            <v>6259.4863</v>
          </cell>
          <cell r="R218">
            <v>7163.6988</v>
          </cell>
        </row>
        <row r="219">
          <cell r="C219" t="str">
            <v>Contracts</v>
          </cell>
          <cell r="D219">
            <v>3.568</v>
          </cell>
          <cell r="E219">
            <v>0.26</v>
          </cell>
          <cell r="F219">
            <v>51.757</v>
          </cell>
          <cell r="G219">
            <v>172.998</v>
          </cell>
          <cell r="H219">
            <v>770.702</v>
          </cell>
          <cell r="I219">
            <v>331.819</v>
          </cell>
          <cell r="J219">
            <v>444.50185</v>
          </cell>
          <cell r="K219">
            <v>642.759</v>
          </cell>
          <cell r="L219">
            <v>1134.47945</v>
          </cell>
          <cell r="M219">
            <v>1773.83505</v>
          </cell>
          <cell r="N219">
            <v>2746.43655</v>
          </cell>
          <cell r="O219">
            <v>4339.7577678</v>
          </cell>
          <cell r="P219">
            <v>-6665.21516120522</v>
          </cell>
          <cell r="Q219">
            <v>967.5382275</v>
          </cell>
          <cell r="R219">
            <v>-120.871497499998</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v>
          </cell>
          <cell r="F223">
            <v>323.59</v>
          </cell>
          <cell r="G223">
            <v>899.647</v>
          </cell>
          <cell r="H223">
            <v>2067.727</v>
          </cell>
          <cell r="I223">
            <v>2741.619</v>
          </cell>
          <cell r="J223">
            <v>2299.558002</v>
          </cell>
          <cell r="K223">
            <v>3542.463788</v>
          </cell>
          <cell r="L223">
            <v>5126.21056</v>
          </cell>
          <cell r="M223">
            <v>7134.127537</v>
          </cell>
          <cell r="N223">
            <v>9257.454457</v>
          </cell>
          <cell r="O223">
            <v>17917.881</v>
          </cell>
          <cell r="P223">
            <v>29938.649</v>
          </cell>
          <cell r="Q223">
            <v>50930.323</v>
          </cell>
          <cell r="R223">
            <v>49405.882</v>
          </cell>
        </row>
        <row r="224">
          <cell r="C224" t="str">
            <v>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v>
          </cell>
          <cell r="E249">
            <v>12.863</v>
          </cell>
          <cell r="F249">
            <v>125.054</v>
          </cell>
          <cell r="G249">
            <v>256.771</v>
          </cell>
          <cell r="H249">
            <v>535.563</v>
          </cell>
          <cell r="I249">
            <v>808.521</v>
          </cell>
          <cell r="J249">
            <v>710.184</v>
          </cell>
          <cell r="K249">
            <v>1384.519</v>
          </cell>
          <cell r="L249">
            <v>1667.156</v>
          </cell>
          <cell r="M249">
            <v>2705.568</v>
          </cell>
          <cell r="N249">
            <v>7703.244</v>
          </cell>
          <cell r="O249">
            <v>13677.48219</v>
          </cell>
          <cell r="P249">
            <v>2205.5244</v>
          </cell>
          <cell r="Q249">
            <v>6259.4863</v>
          </cell>
          <cell r="R249">
            <v>7163.6988</v>
          </cell>
        </row>
        <row r="250">
          <cell r="C250" t="str">
            <v>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v>
          </cell>
          <cell r="E275">
            <v>0.26</v>
          </cell>
          <cell r="F275">
            <v>51.757</v>
          </cell>
          <cell r="G275">
            <v>172.998</v>
          </cell>
          <cell r="H275">
            <v>770.702</v>
          </cell>
          <cell r="I275">
            <v>331.819</v>
          </cell>
          <cell r="J275">
            <v>444.50185</v>
          </cell>
          <cell r="K275">
            <v>642.759</v>
          </cell>
          <cell r="L275">
            <v>1134.47945</v>
          </cell>
          <cell r="M275">
            <v>1773.83505</v>
          </cell>
          <cell r="N275">
            <v>2746.43655</v>
          </cell>
          <cell r="O275">
            <v>4339.7577678</v>
          </cell>
          <cell r="P275">
            <v>-6665.21516120522</v>
          </cell>
          <cell r="Q275">
            <v>967.5382275</v>
          </cell>
          <cell r="R275">
            <v>-120.871497499998</v>
          </cell>
        </row>
        <row r="276">
          <cell r="C276" t="str">
            <v>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v>
          </cell>
          <cell r="E301">
            <v>63.138</v>
          </cell>
          <cell r="F301">
            <v>500.401</v>
          </cell>
          <cell r="G301">
            <v>1329.416</v>
          </cell>
          <cell r="H301">
            <v>3373.992</v>
          </cell>
          <cell r="I301">
            <v>3881.959</v>
          </cell>
          <cell r="J301">
            <v>3454.243852</v>
          </cell>
          <cell r="K301">
            <v>5569.741788</v>
          </cell>
          <cell r="L301">
            <v>7927.84601</v>
          </cell>
          <cell r="M301">
            <v>11613.530587</v>
          </cell>
          <cell r="N301">
            <v>19707.135007</v>
          </cell>
          <cell r="O301">
            <v>35935.1209578</v>
          </cell>
          <cell r="P301">
            <v>25478.9582387948</v>
          </cell>
          <cell r="Q301">
            <v>58157.3475275</v>
          </cell>
          <cell r="R301">
            <v>56448.7093025</v>
          </cell>
        </row>
        <row r="302">
          <cell r="C302" t="str">
            <v>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v>
          </cell>
          <cell r="E332">
            <v>202.07023206864</v>
          </cell>
        </row>
        <row r="333">
          <cell r="C333" t="str">
            <v>1992</v>
          </cell>
          <cell r="D333">
            <v>317.1138404</v>
          </cell>
          <cell r="E333">
            <v>287.6222532428</v>
          </cell>
        </row>
        <row r="334">
          <cell r="C334" t="str">
            <v>1993</v>
          </cell>
          <cell r="D334">
            <v>464.54122348</v>
          </cell>
          <cell r="E334">
            <v>421.33888969636</v>
          </cell>
        </row>
        <row r="335">
          <cell r="C335" t="str">
            <v>1994</v>
          </cell>
          <cell r="D335">
            <v>788.28540028</v>
          </cell>
          <cell r="E335">
            <v>714.97485805396</v>
          </cell>
        </row>
        <row r="336">
          <cell r="C336" t="str">
            <v>1995</v>
          </cell>
          <cell r="D336">
            <v>1437.404838312</v>
          </cell>
          <cell r="E336">
            <v>1303.72618834898</v>
          </cell>
        </row>
        <row r="337">
          <cell r="C337" t="str">
            <v>1996</v>
          </cell>
          <cell r="D337">
            <v>1019.15832955179</v>
          </cell>
          <cell r="E337">
            <v>924.376604903474</v>
          </cell>
        </row>
        <row r="338">
          <cell r="C338" t="str">
            <v>1997</v>
          </cell>
          <cell r="D338">
            <v>3198.6541140125</v>
          </cell>
          <cell r="E338">
            <v>2915.89309033379</v>
          </cell>
        </row>
        <row r="339">
          <cell r="C339" t="str">
            <v>1998</v>
          </cell>
          <cell r="D339">
            <v>3104.6790116375</v>
          </cell>
          <cell r="E339">
            <v>2830.22538700874</v>
          </cell>
        </row>
        <row r="340">
          <cell r="C340">
            <v>0</v>
          </cell>
          <cell r="D340">
            <v>0</v>
          </cell>
          <cell r="E340">
            <v>0</v>
          </cell>
        </row>
        <row r="341">
          <cell r="C341" t="str">
            <v>     Total</v>
          </cell>
          <cell r="D341">
            <v>10690.7961832738</v>
          </cell>
          <cell r="E341">
            <v>9725.54747060732</v>
          </cell>
        </row>
        <row r="342">
          <cell r="C342">
            <v>0</v>
          </cell>
          <cell r="D342">
            <v>0</v>
          </cell>
          <cell r="E342">
            <v>0</v>
          </cell>
        </row>
        <row r="365">
          <cell r="E365">
            <v>11922041.69</v>
          </cell>
          <cell r="F365">
            <v>12694779.04</v>
          </cell>
          <cell r="G365">
            <v>13456633.05</v>
          </cell>
          <cell r="H365">
            <v>14229370.39</v>
          </cell>
          <cell r="I365">
            <v>14996093.04</v>
          </cell>
          <cell r="J365">
            <v>15763961.75</v>
          </cell>
          <cell r="K365">
            <v>16653546.26</v>
          </cell>
          <cell r="L365">
            <v>18240241.77</v>
          </cell>
          <cell r="M365">
            <v>19826937.28</v>
          </cell>
          <cell r="N365">
            <v>21376616.96</v>
          </cell>
          <cell r="O365">
            <v>22870053.8</v>
          </cell>
        </row>
        <row r="366">
          <cell r="E366">
            <v>19227246.63</v>
          </cell>
          <cell r="F366">
            <v>18774650.58</v>
          </cell>
          <cell r="G366">
            <v>18140893.01</v>
          </cell>
          <cell r="H366">
            <v>17402761.41</v>
          </cell>
          <cell r="I366">
            <v>16582788.55</v>
          </cell>
          <cell r="J366">
            <v>15763961.75</v>
          </cell>
          <cell r="K366">
            <v>15066850.75</v>
          </cell>
          <cell r="L366">
            <v>15066850.75</v>
          </cell>
          <cell r="M366">
            <v>15066850.75</v>
          </cell>
          <cell r="N366">
            <v>15066850.75</v>
          </cell>
          <cell r="O366">
            <v>15066850.75</v>
          </cell>
        </row>
        <row r="367">
          <cell r="E367">
            <v>7727806.91</v>
          </cell>
          <cell r="F367">
            <v>9417179.72</v>
          </cell>
          <cell r="G367">
            <v>11003875.23</v>
          </cell>
          <cell r="H367">
            <v>12590570.74</v>
          </cell>
          <cell r="I367">
            <v>14177266.25</v>
          </cell>
          <cell r="J367">
            <v>15763961.75</v>
          </cell>
          <cell r="K367">
            <v>17350657.26</v>
          </cell>
          <cell r="L367">
            <v>18937352.77</v>
          </cell>
          <cell r="M367">
            <v>20478366.35</v>
          </cell>
          <cell r="N367">
            <v>21960539.43</v>
          </cell>
          <cell r="O367">
            <v>23371872.8</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12694.77904</v>
          </cell>
          <cell r="G373">
            <v>13456.63305</v>
          </cell>
          <cell r="H373">
            <v>14229.37039</v>
          </cell>
          <cell r="I373">
            <v>14996.09304</v>
          </cell>
          <cell r="J373">
            <v>15763.96175</v>
          </cell>
          <cell r="K373">
            <v>16653.54626</v>
          </cell>
          <cell r="L373">
            <v>18240.24177</v>
          </cell>
          <cell r="M373">
            <v>19826.93728</v>
          </cell>
          <cell r="N373">
            <v>21376.61696</v>
          </cell>
          <cell r="O373">
            <v>22870.0538</v>
          </cell>
        </row>
        <row r="374">
          <cell r="D374" t="str">
            <v>Base Year QREs</v>
          </cell>
          <cell r="E374">
            <v>19227.24663</v>
          </cell>
          <cell r="F374">
            <v>18774.65058</v>
          </cell>
          <cell r="G374">
            <v>18140.89301</v>
          </cell>
          <cell r="H374">
            <v>17402.76141</v>
          </cell>
          <cell r="I374">
            <v>16582.78855</v>
          </cell>
          <cell r="J374">
            <v>15763.96175</v>
          </cell>
          <cell r="K374">
            <v>15066.85075</v>
          </cell>
          <cell r="L374">
            <v>15066.85075</v>
          </cell>
          <cell r="M374">
            <v>15066.85075</v>
          </cell>
          <cell r="N374">
            <v>15066.85075</v>
          </cell>
          <cell r="O374">
            <v>15066.85075</v>
          </cell>
        </row>
        <row r="375">
          <cell r="D375" t="str">
            <v>Cur. Year QREs</v>
          </cell>
          <cell r="E375">
            <v>7727.80691</v>
          </cell>
          <cell r="F375">
            <v>9417.17972</v>
          </cell>
          <cell r="G375">
            <v>11003.87523</v>
          </cell>
          <cell r="H375">
            <v>12590.57074</v>
          </cell>
          <cell r="I375">
            <v>14177.26625</v>
          </cell>
          <cell r="J375">
            <v>15763.96175</v>
          </cell>
          <cell r="K375">
            <v>17350.65726</v>
          </cell>
          <cell r="L375">
            <v>18937.35277</v>
          </cell>
          <cell r="M375">
            <v>20478.36635</v>
          </cell>
          <cell r="N375">
            <v>21960.53943</v>
          </cell>
          <cell r="O375">
            <v>23371.8728</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2299558.002</v>
          </cell>
          <cell r="AJ9">
            <v>1</v>
          </cell>
          <cell r="AL9">
            <v>3426032.902</v>
          </cell>
          <cell r="AM9">
            <v>3542463.788</v>
          </cell>
          <cell r="AN9">
            <v>1</v>
          </cell>
          <cell r="AP9">
            <v>4621040.908</v>
          </cell>
          <cell r="AQ9">
            <v>5126210.56</v>
          </cell>
          <cell r="AR9">
            <v>1</v>
          </cell>
          <cell r="AT9">
            <v>7353704.72</v>
          </cell>
          <cell r="AU9">
            <v>7134127.537</v>
          </cell>
          <cell r="AV9">
            <v>1</v>
          </cell>
          <cell r="AX9">
            <v>9134388.287</v>
          </cell>
          <cell r="AY9">
            <v>9257454.457</v>
          </cell>
          <cell r="AZ9">
            <v>1</v>
          </cell>
          <cell r="BB9">
            <v>17761685.0967</v>
          </cell>
          <cell r="BC9">
            <v>17917881</v>
          </cell>
          <cell r="BF9">
            <v>29422280.4937</v>
          </cell>
          <cell r="BG9">
            <v>29938649</v>
          </cell>
          <cell r="BJ9">
            <v>50557924.7366</v>
          </cell>
          <cell r="BK9">
            <v>50930323</v>
          </cell>
          <cell r="BN9">
            <v>49233100.0056</v>
          </cell>
          <cell r="BO9">
            <v>49405882</v>
          </cell>
          <cell r="BP9">
            <v>7</v>
          </cell>
          <cell r="BQ9">
            <v>0</v>
          </cell>
          <cell r="BR9">
            <v>176616745.0276</v>
          </cell>
          <cell r="BS9">
            <v>178294168.344</v>
          </cell>
          <cell r="BT9">
            <v>1677423.31639996</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13677482.19</v>
          </cell>
          <cell r="BF10">
            <v>2232470.8</v>
          </cell>
          <cell r="BG10">
            <v>2205524.4</v>
          </cell>
          <cell r="BJ10">
            <v>8856932.7</v>
          </cell>
          <cell r="BK10">
            <v>6259486.3</v>
          </cell>
          <cell r="BN10">
            <v>13919145</v>
          </cell>
          <cell r="BO10">
            <v>7163698.8</v>
          </cell>
          <cell r="BP10">
            <v>0</v>
          </cell>
          <cell r="BQ10">
            <v>0</v>
          </cell>
          <cell r="BR10">
            <v>64673489.5</v>
          </cell>
          <cell r="BS10">
            <v>44285383.69</v>
          </cell>
          <cell r="BT10">
            <v>-20388105.81</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v>
          </cell>
          <cell r="AT11">
            <v>1383510.05</v>
          </cell>
          <cell r="AU11">
            <v>1773835.05</v>
          </cell>
          <cell r="AX11">
            <v>2427295</v>
          </cell>
          <cell r="AY11">
            <v>2746436.55</v>
          </cell>
          <cell r="BB11">
            <v>5976756.6378</v>
          </cell>
          <cell r="BC11">
            <v>4339757.7678</v>
          </cell>
          <cell r="BF11">
            <v>6597332.05879478</v>
          </cell>
          <cell r="BG11">
            <v>-6665215.16120522</v>
          </cell>
          <cell r="BJ11">
            <v>11089853.1575</v>
          </cell>
          <cell r="BK11">
            <v>967538.2275</v>
          </cell>
          <cell r="BN11">
            <v>10010021.6125</v>
          </cell>
          <cell r="BO11">
            <v>-120871.497499998</v>
          </cell>
          <cell r="BP11">
            <v>0</v>
          </cell>
          <cell r="BQ11">
            <v>0</v>
          </cell>
          <cell r="BR11">
            <v>39403966.8165948</v>
          </cell>
          <cell r="BS11">
            <v>5595040.23659478</v>
          </cell>
          <cell r="BT11">
            <v>-33808926.58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3443013.528</v>
          </cell>
          <cell r="AI13">
            <v>3454243.852</v>
          </cell>
          <cell r="AJ13">
            <v>1</v>
          </cell>
          <cell r="AK13">
            <v>0</v>
          </cell>
          <cell r="AL13">
            <v>5287315.952</v>
          </cell>
          <cell r="AM13">
            <v>5569741.788</v>
          </cell>
          <cell r="AN13">
            <v>1</v>
          </cell>
          <cell r="AO13">
            <v>0</v>
          </cell>
          <cell r="AP13">
            <v>7064118.508</v>
          </cell>
          <cell r="AQ13">
            <v>7927846.01</v>
          </cell>
          <cell r="AR13">
            <v>1</v>
          </cell>
          <cell r="AS13">
            <v>0</v>
          </cell>
          <cell r="AT13">
            <v>11463745.77</v>
          </cell>
          <cell r="AU13">
            <v>11613530.587</v>
          </cell>
          <cell r="AV13">
            <v>1</v>
          </cell>
          <cell r="AW13">
            <v>0</v>
          </cell>
          <cell r="AX13">
            <v>19285563.287</v>
          </cell>
          <cell r="AY13">
            <v>19707135.007</v>
          </cell>
          <cell r="AZ13">
            <v>1</v>
          </cell>
          <cell r="BA13">
            <v>0</v>
          </cell>
          <cell r="BB13">
            <v>48349424.7345</v>
          </cell>
          <cell r="BC13">
            <v>35935120.9578</v>
          </cell>
          <cell r="BD13">
            <v>0</v>
          </cell>
          <cell r="BE13">
            <v>0</v>
          </cell>
          <cell r="BF13">
            <v>38252083.3524948</v>
          </cell>
          <cell r="BG13">
            <v>25478958.2387948</v>
          </cell>
          <cell r="BH13">
            <v>0</v>
          </cell>
          <cell r="BI13">
            <v>0</v>
          </cell>
          <cell r="BJ13">
            <v>70504710.5941</v>
          </cell>
          <cell r="BK13">
            <v>58157347.5275</v>
          </cell>
          <cell r="BL13">
            <v>0</v>
          </cell>
          <cell r="BM13">
            <v>0</v>
          </cell>
          <cell r="BN13">
            <v>73162266.6181</v>
          </cell>
          <cell r="BO13">
            <v>56448709.3025</v>
          </cell>
          <cell r="BP13">
            <v>7</v>
          </cell>
          <cell r="BQ13">
            <v>0</v>
          </cell>
          <cell r="BR13">
            <v>280694201.344195</v>
          </cell>
          <cell r="BS13">
            <v>228174592.270595</v>
          </cell>
          <cell r="BT13">
            <v>-52519609.0736</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v>
          </cell>
          <cell r="BG51" t="str">
            <v>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7460111.528</v>
          </cell>
          <cell r="AI169" t="e">
            <v>#REF!</v>
          </cell>
          <cell r="AJ169">
            <v>1</v>
          </cell>
          <cell r="AK169">
            <v>0</v>
          </cell>
          <cell r="AL169">
            <v>11636586.952</v>
          </cell>
          <cell r="AM169" t="e">
            <v>#REF!</v>
          </cell>
          <cell r="AN169">
            <v>1</v>
          </cell>
          <cell r="AO169">
            <v>0</v>
          </cell>
          <cell r="AP169">
            <v>14229232.508</v>
          </cell>
          <cell r="AQ169" t="e">
            <v>#REF!</v>
          </cell>
          <cell r="AR169">
            <v>1</v>
          </cell>
          <cell r="AS169">
            <v>0</v>
          </cell>
          <cell r="AT169">
            <v>18831463.77</v>
          </cell>
          <cell r="AU169" t="e">
            <v>#REF!</v>
          </cell>
          <cell r="AV169">
            <v>1</v>
          </cell>
          <cell r="AW169">
            <v>0</v>
          </cell>
          <cell r="AX169">
            <v>27805888.287</v>
          </cell>
          <cell r="AY169" t="e">
            <v>#REF!</v>
          </cell>
          <cell r="AZ169">
            <v>1</v>
          </cell>
          <cell r="BA169">
            <v>0</v>
          </cell>
          <cell r="BB169">
            <v>62907349.7345</v>
          </cell>
          <cell r="BC169" t="e">
            <v>#REF!</v>
          </cell>
          <cell r="BD169">
            <v>0</v>
          </cell>
          <cell r="BE169">
            <v>0</v>
          </cell>
          <cell r="BF169">
            <v>63789550.3524948</v>
          </cell>
          <cell r="BG169" t="e">
            <v>#REF!</v>
          </cell>
          <cell r="BH169">
            <v>0</v>
          </cell>
          <cell r="BI169">
            <v>0</v>
          </cell>
          <cell r="BJ169">
            <v>122806905.5941</v>
          </cell>
          <cell r="BK169" t="e">
            <v>#REF!</v>
          </cell>
          <cell r="BL169">
            <v>0</v>
          </cell>
          <cell r="BM169">
            <v>0</v>
          </cell>
          <cell r="BN169">
            <v>144338118.6181</v>
          </cell>
          <cell r="BO169" t="e">
            <v>#REF!</v>
          </cell>
          <cell r="BP169">
            <v>7</v>
          </cell>
          <cell r="BQ169">
            <v>0</v>
          </cell>
          <cell r="BR169">
            <v>481569125.344195</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2299558.002</v>
          </cell>
          <cell r="K119">
            <v>3542463.788</v>
          </cell>
          <cell r="L119">
            <v>5126210.56</v>
          </cell>
          <cell r="M119">
            <v>7134127.537</v>
          </cell>
          <cell r="N119">
            <v>9257454.457</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8071031.004</v>
          </cell>
          <cell r="K95">
            <v>12820545.576</v>
          </cell>
          <cell r="M95">
            <v>18822792.12</v>
          </cell>
          <cell r="O95">
            <v>27866322.074</v>
          </cell>
          <cell r="Q95">
            <v>46597257.914</v>
          </cell>
          <cell r="S95">
            <v>83220377.616</v>
          </cell>
          <cell r="T95">
            <v>33525815.2867451</v>
          </cell>
          <cell r="U95">
            <v>118845179.65</v>
          </cell>
          <cell r="W95">
            <v>112581293.15</v>
          </cell>
        </row>
        <row r="103">
          <cell r="C103">
            <v>20127</v>
          </cell>
          <cell r="D103">
            <v>63138</v>
          </cell>
          <cell r="E103">
            <v>500401</v>
          </cell>
          <cell r="F103">
            <v>1329416</v>
          </cell>
          <cell r="G103">
            <v>3373992</v>
          </cell>
          <cell r="H103">
            <v>3881959</v>
          </cell>
          <cell r="I103">
            <v>3454243.852</v>
          </cell>
          <cell r="K103">
            <v>5569741.788</v>
          </cell>
          <cell r="M103">
            <v>7927846.01</v>
          </cell>
          <cell r="O103">
            <v>11613530.587</v>
          </cell>
          <cell r="Q103">
            <v>19707135.007</v>
          </cell>
          <cell r="S103">
            <v>35935120.9578</v>
          </cell>
          <cell r="T103">
            <v>25478958.2387948</v>
          </cell>
          <cell r="U103">
            <v>58157347.5275</v>
          </cell>
          <cell r="W103">
            <v>56448709.3025</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v>
          </cell>
        </row>
        <row r="99">
          <cell r="D99">
            <v>11087</v>
          </cell>
          <cell r="E99">
            <v>50015</v>
          </cell>
          <cell r="F99">
            <v>323590</v>
          </cell>
          <cell r="G99">
            <v>899647</v>
          </cell>
          <cell r="H99">
            <v>2067727</v>
          </cell>
          <cell r="I99">
            <v>2741619</v>
          </cell>
          <cell r="J99">
            <v>2299558.002</v>
          </cell>
          <cell r="K99">
            <v>3542463.788</v>
          </cell>
          <cell r="L99">
            <v>5126210.56</v>
          </cell>
          <cell r="M99">
            <v>7134127.537</v>
          </cell>
          <cell r="N99">
            <v>9257454.457</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13677482.19</v>
          </cell>
          <cell r="P100">
            <v>2205524.4</v>
          </cell>
          <cell r="Q100">
            <v>6259486.3</v>
          </cell>
          <cell r="R100">
            <v>7163698.8</v>
          </cell>
        </row>
        <row r="101">
          <cell r="D101">
            <v>3568</v>
          </cell>
          <cell r="E101">
            <v>260</v>
          </cell>
          <cell r="F101">
            <v>51757</v>
          </cell>
          <cell r="G101">
            <v>172998</v>
          </cell>
          <cell r="H101">
            <v>770702</v>
          </cell>
          <cell r="I101">
            <v>331819</v>
          </cell>
          <cell r="J101">
            <v>444501.85</v>
          </cell>
          <cell r="K101">
            <v>642759</v>
          </cell>
          <cell r="L101">
            <v>1134479.45</v>
          </cell>
          <cell r="M101">
            <v>1773835.05</v>
          </cell>
          <cell r="N101">
            <v>2746436.55</v>
          </cell>
          <cell r="O101">
            <v>4339757.7678</v>
          </cell>
          <cell r="P101">
            <v>-6665215.16120522</v>
          </cell>
          <cell r="Q101">
            <v>967538.2275</v>
          </cell>
          <cell r="R101">
            <v>-120871.497499998</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v>
          </cell>
          <cell r="F223">
            <v>323.59</v>
          </cell>
          <cell r="G223">
            <v>899.647</v>
          </cell>
          <cell r="H223">
            <v>2067.727</v>
          </cell>
          <cell r="I223">
            <v>2741.619</v>
          </cell>
          <cell r="J223">
            <v>2299.558002</v>
          </cell>
          <cell r="K223">
            <v>3542.463788</v>
          </cell>
          <cell r="L223">
            <v>5126.21056</v>
          </cell>
          <cell r="M223">
            <v>7134.127537</v>
          </cell>
          <cell r="N223">
            <v>9257.454457</v>
          </cell>
          <cell r="O223">
            <v>17917.881</v>
          </cell>
          <cell r="P223">
            <v>29938.649</v>
          </cell>
          <cell r="Q223">
            <v>50930.323</v>
          </cell>
          <cell r="R223">
            <v>49405.882</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v>
          </cell>
          <cell r="E249">
            <v>12.863</v>
          </cell>
          <cell r="F249">
            <v>125.054</v>
          </cell>
          <cell r="G249">
            <v>256.771</v>
          </cell>
          <cell r="H249">
            <v>535.563</v>
          </cell>
          <cell r="I249">
            <v>808.521</v>
          </cell>
          <cell r="J249">
            <v>710.184</v>
          </cell>
          <cell r="K249">
            <v>1384.519</v>
          </cell>
          <cell r="L249">
            <v>1667.156</v>
          </cell>
          <cell r="M249">
            <v>2705.568</v>
          </cell>
          <cell r="N249">
            <v>7703.244</v>
          </cell>
          <cell r="O249">
            <v>13677.48219</v>
          </cell>
          <cell r="P249">
            <v>2205.5244</v>
          </cell>
          <cell r="Q249">
            <v>6259.4863</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v>
          </cell>
          <cell r="E275">
            <v>0.26</v>
          </cell>
          <cell r="F275">
            <v>51.757</v>
          </cell>
          <cell r="G275">
            <v>172.998</v>
          </cell>
          <cell r="H275">
            <v>770.702</v>
          </cell>
          <cell r="I275">
            <v>331.819</v>
          </cell>
          <cell r="J275">
            <v>444.50185</v>
          </cell>
          <cell r="K275">
            <v>642.759</v>
          </cell>
          <cell r="L275">
            <v>1134.47945</v>
          </cell>
          <cell r="M275">
            <v>1773.83505</v>
          </cell>
          <cell r="N275">
            <v>2746.43655</v>
          </cell>
          <cell r="O275">
            <v>4339.7577678</v>
          </cell>
          <cell r="P275">
            <v>-6665.21516120522</v>
          </cell>
          <cell r="Q275">
            <v>967.5382275</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v>
          </cell>
          <cell r="E301">
            <v>63.138</v>
          </cell>
          <cell r="F301">
            <v>500.401</v>
          </cell>
          <cell r="G301">
            <v>1329.416</v>
          </cell>
          <cell r="H301">
            <v>3373.992</v>
          </cell>
          <cell r="I301">
            <v>3881.959</v>
          </cell>
          <cell r="J301">
            <v>3454.243852</v>
          </cell>
          <cell r="K301">
            <v>5569.741788</v>
          </cell>
          <cell r="L301">
            <v>7927.84601</v>
          </cell>
          <cell r="M301">
            <v>11613.530587</v>
          </cell>
          <cell r="N301">
            <v>19707.135007</v>
          </cell>
          <cell r="O301">
            <v>35935.1209578</v>
          </cell>
          <cell r="P301">
            <v>25478.9582387948</v>
          </cell>
          <cell r="Q301">
            <v>58157.3475275</v>
          </cell>
          <cell r="R301">
            <v>56448.7093025</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v>
          </cell>
          <cell r="E332">
            <v>202.07023206864</v>
          </cell>
        </row>
        <row r="333">
          <cell r="C333" t="str">
            <v>1992</v>
          </cell>
          <cell r="D333">
            <v>317.1138404</v>
          </cell>
          <cell r="E333">
            <v>287.6222532428</v>
          </cell>
        </row>
        <row r="334">
          <cell r="C334" t="str">
            <v>1993</v>
          </cell>
          <cell r="D334">
            <v>464.54122348</v>
          </cell>
          <cell r="E334">
            <v>421.33888969636</v>
          </cell>
        </row>
        <row r="335">
          <cell r="C335" t="str">
            <v>1994</v>
          </cell>
          <cell r="D335">
            <v>788.28540028</v>
          </cell>
          <cell r="E335">
            <v>714.97485805396</v>
          </cell>
        </row>
        <row r="336">
          <cell r="C336" t="str">
            <v>1995</v>
          </cell>
          <cell r="D336">
            <v>1437.404838312</v>
          </cell>
          <cell r="E336">
            <v>1303.72618834898</v>
          </cell>
        </row>
        <row r="337">
          <cell r="C337" t="str">
            <v>1996</v>
          </cell>
          <cell r="D337">
            <v>1019.15832955179</v>
          </cell>
          <cell r="E337">
            <v>924.376604903474</v>
          </cell>
        </row>
        <row r="338">
          <cell r="C338" t="str">
            <v>1997</v>
          </cell>
          <cell r="D338">
            <v>3198.6541140125</v>
          </cell>
          <cell r="E338">
            <v>2915.89309033379</v>
          </cell>
        </row>
        <row r="339">
          <cell r="C339" t="str">
            <v>1998</v>
          </cell>
          <cell r="D339">
            <v>3104.6790116375</v>
          </cell>
          <cell r="E339">
            <v>2830.22538700874</v>
          </cell>
        </row>
        <row r="340">
          <cell r="C340">
            <v>0</v>
          </cell>
          <cell r="D340">
            <v>0</v>
          </cell>
          <cell r="E340">
            <v>0</v>
          </cell>
        </row>
        <row r="341">
          <cell r="C341" t="str">
            <v>     Total</v>
          </cell>
          <cell r="D341">
            <v>10690.7961832738</v>
          </cell>
          <cell r="E341">
            <v>9725.54747060732</v>
          </cell>
        </row>
        <row r="342">
          <cell r="C342">
            <v>0</v>
          </cell>
          <cell r="D342">
            <v>0</v>
          </cell>
          <cell r="E342">
            <v>0</v>
          </cell>
        </row>
        <row r="365">
          <cell r="E365">
            <v>11922041.69</v>
          </cell>
          <cell r="F365">
            <v>12694779.04</v>
          </cell>
          <cell r="G365">
            <v>13456633.05</v>
          </cell>
          <cell r="H365">
            <v>14229370.39</v>
          </cell>
          <cell r="I365">
            <v>14996093.04</v>
          </cell>
          <cell r="J365">
            <v>15763961.75</v>
          </cell>
          <cell r="K365">
            <v>16653546.26</v>
          </cell>
          <cell r="L365">
            <v>18240241.77</v>
          </cell>
          <cell r="M365">
            <v>19826937.28</v>
          </cell>
          <cell r="N365">
            <v>21376616.96</v>
          </cell>
          <cell r="O365">
            <v>22870053.8</v>
          </cell>
        </row>
        <row r="366">
          <cell r="E366">
            <v>19227246.63</v>
          </cell>
          <cell r="F366">
            <v>18774650.58</v>
          </cell>
          <cell r="G366">
            <v>18140893.01</v>
          </cell>
          <cell r="H366">
            <v>17402761.41</v>
          </cell>
          <cell r="I366">
            <v>16582788.55</v>
          </cell>
          <cell r="J366">
            <v>15763961.75</v>
          </cell>
          <cell r="K366">
            <v>15066850.75</v>
          </cell>
          <cell r="L366">
            <v>15066850.75</v>
          </cell>
          <cell r="M366">
            <v>15066850.75</v>
          </cell>
          <cell r="N366">
            <v>15066850.75</v>
          </cell>
          <cell r="O366">
            <v>15066850.75</v>
          </cell>
        </row>
        <row r="367">
          <cell r="E367">
            <v>7727806.91</v>
          </cell>
          <cell r="F367">
            <v>9417179.72</v>
          </cell>
          <cell r="G367">
            <v>11003875.23</v>
          </cell>
          <cell r="H367">
            <v>12590570.74</v>
          </cell>
          <cell r="I367">
            <v>14177266.25</v>
          </cell>
          <cell r="J367">
            <v>15763961.75</v>
          </cell>
          <cell r="K367">
            <v>17350657.26</v>
          </cell>
          <cell r="L367">
            <v>18937352.77</v>
          </cell>
          <cell r="M367">
            <v>20478366.35</v>
          </cell>
          <cell r="N367">
            <v>21960539.43</v>
          </cell>
          <cell r="O367">
            <v>23371872.8</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Line </v>
          </cell>
          <cell r="D5" t="str">
            <v>Balance</v>
          </cell>
          <cell r="F5" t="str">
            <v>Deferred for Year</v>
          </cell>
          <cell r="H5" t="str">
            <v>Allocations to Current Year</v>
          </cell>
          <cell r="M5" t="str">
            <v>Balance</v>
          </cell>
        </row>
        <row r="6">
          <cell r="A6" t="str">
            <v>Number</v>
          </cell>
          <cell r="B6" t="str">
            <v>Allocations</v>
          </cell>
          <cell r="D6" t="str">
            <v>Balance</v>
          </cell>
          <cell r="F6" t="str">
            <v>Account </v>
          </cell>
          <cell r="G6" t="str">
            <v>Amount</v>
          </cell>
          <cell r="H6" t="str">
            <v>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0.07</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Line 8 </v>
          </cell>
          <cell r="D16">
            <v>50009443</v>
          </cell>
          <cell r="G16">
            <v>0</v>
          </cell>
          <cell r="J16">
            <v>4086276</v>
          </cell>
          <cell r="L16">
            <v>17612000</v>
          </cell>
          <cell r="M16">
            <v>28311167</v>
          </cell>
        </row>
        <row r="17">
          <cell r="A17" t="str">
            <v>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0.0628486486486487</v>
          </cell>
        </row>
      </sheetData>
      <sheetData sheetId="1"/>
      <sheetData sheetId="2"/>
      <sheetData sheetId="3"/>
      <sheetData sheetId="4">
        <row r="14">
          <cell r="H14">
            <v>0.0628486486486487</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0.1156</v>
          </cell>
        </row>
        <row r="55">
          <cell r="P55">
            <v>4594652900</v>
          </cell>
        </row>
        <row r="75">
          <cell r="P75">
            <v>0.172</v>
          </cell>
        </row>
        <row r="91">
          <cell r="P91">
            <v>0.0895</v>
          </cell>
        </row>
        <row r="111">
          <cell r="P111">
            <v>618198437</v>
          </cell>
        </row>
        <row r="129">
          <cell r="P129">
            <v>0.0073</v>
          </cell>
        </row>
        <row r="165">
          <cell r="P165">
            <v>2534608822</v>
          </cell>
        </row>
        <row r="212">
          <cell r="P212">
            <v>310773442</v>
          </cell>
        </row>
        <row r="230">
          <cell r="P230">
            <v>1.642979</v>
          </cell>
        </row>
        <row r="276">
          <cell r="P276">
            <v>1.70501349521307</v>
          </cell>
        </row>
        <row r="282">
          <cell r="P282">
            <v>0.393464652741478</v>
          </cell>
        </row>
        <row r="288">
          <cell r="P288">
            <v>0.0786929305482955</v>
          </cell>
        </row>
        <row r="294">
          <cell r="P294">
            <v>0.0560552381987859</v>
          </cell>
        </row>
        <row r="332">
          <cell r="P332">
            <v>0.00491830815926847</v>
          </cell>
        </row>
        <row r="333">
          <cell r="P333">
            <v>0.00233563492494941</v>
          </cell>
        </row>
      </sheetData>
      <sheetData sheetId="4" refreshError="1"/>
      <sheetData sheetId="5" refreshError="1"/>
      <sheetData sheetId="6" refreshError="1">
        <row r="220">
          <cell r="P220">
            <v>607090822.765309</v>
          </cell>
        </row>
      </sheetData>
      <sheetData sheetId="7" refreshError="1"/>
      <sheetData sheetId="8" refreshError="1"/>
      <sheetData sheetId="9" refreshError="1">
        <row r="23">
          <cell r="F23">
            <v>0.4954</v>
          </cell>
        </row>
        <row r="25">
          <cell r="F25">
            <v>0.0174</v>
          </cell>
        </row>
        <row r="27">
          <cell r="F27">
            <v>0.4872</v>
          </cell>
        </row>
        <row r="33">
          <cell r="F33">
            <v>0.0553</v>
          </cell>
          <cell r="I33">
            <v>0.0496</v>
          </cell>
          <cell r="L33">
            <v>0.0574</v>
          </cell>
          <cell r="R33">
            <v>0.0536</v>
          </cell>
          <cell r="X33">
            <v>0.0671</v>
          </cell>
        </row>
        <row r="35">
          <cell r="F35">
            <v>0.0639</v>
          </cell>
          <cell r="I35">
            <v>0.0599</v>
          </cell>
          <cell r="L35">
            <v>0.0871</v>
          </cell>
          <cell r="O35">
            <v>0.0749</v>
          </cell>
          <cell r="R35">
            <v>0.0569</v>
          </cell>
          <cell r="X35">
            <v>0</v>
          </cell>
        </row>
        <row r="37">
          <cell r="I37">
            <v>0.11</v>
          </cell>
          <cell r="L37">
            <v>0.11</v>
          </cell>
          <cell r="O37">
            <v>0.11</v>
          </cell>
          <cell r="R37">
            <v>0.11</v>
          </cell>
          <cell r="X37">
            <v>0.11</v>
          </cell>
        </row>
        <row r="76">
          <cell r="F76">
            <v>0.0462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8733.8</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8733.8</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8733.8</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8733.8</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8733.8</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8733.8</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8733.8</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8733.8</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8733.8</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8733.8</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v>
          </cell>
          <cell r="F40">
            <v>184496.65</v>
          </cell>
          <cell r="I40">
            <v>613025.5</v>
          </cell>
          <cell r="L40">
            <v>0</v>
          </cell>
          <cell r="O40">
            <v>245910.35</v>
          </cell>
          <cell r="R40">
            <v>0</v>
          </cell>
          <cell r="U40">
            <v>82971.1</v>
          </cell>
        </row>
        <row r="41">
          <cell r="A41">
            <v>38717</v>
          </cell>
          <cell r="C41">
            <v>1007834.8</v>
          </cell>
          <cell r="F41">
            <v>165075.95</v>
          </cell>
          <cell r="I41">
            <v>548496.5</v>
          </cell>
          <cell r="L41">
            <v>0</v>
          </cell>
          <cell r="O41">
            <v>220025.05</v>
          </cell>
          <cell r="R41">
            <v>0</v>
          </cell>
          <cell r="U41">
            <v>74237.3</v>
          </cell>
        </row>
        <row r="42">
          <cell r="A42">
            <v>39082</v>
          </cell>
          <cell r="C42">
            <v>889266</v>
          </cell>
          <cell r="F42">
            <v>145655.25</v>
          </cell>
          <cell r="I42">
            <v>483967.5</v>
          </cell>
          <cell r="L42">
            <v>0</v>
          </cell>
          <cell r="O42">
            <v>194139.75</v>
          </cell>
          <cell r="R42">
            <v>0</v>
          </cell>
          <cell r="U42">
            <v>65503.5</v>
          </cell>
        </row>
        <row r="43">
          <cell r="A43">
            <v>39447</v>
          </cell>
          <cell r="C43">
            <v>770697.2</v>
          </cell>
          <cell r="F43">
            <v>126234.55</v>
          </cell>
          <cell r="I43">
            <v>419438.5</v>
          </cell>
          <cell r="L43">
            <v>0</v>
          </cell>
          <cell r="O43">
            <v>168254.45</v>
          </cell>
          <cell r="R43">
            <v>0</v>
          </cell>
          <cell r="U43">
            <v>56769.7</v>
          </cell>
        </row>
        <row r="44">
          <cell r="A44">
            <v>39813</v>
          </cell>
          <cell r="C44">
            <v>652128.4</v>
          </cell>
          <cell r="F44">
            <v>106813.85</v>
          </cell>
          <cell r="I44">
            <v>354909.5</v>
          </cell>
          <cell r="L44">
            <v>0</v>
          </cell>
          <cell r="O44">
            <v>142369.15</v>
          </cell>
          <cell r="R44">
            <v>0</v>
          </cell>
          <cell r="U44">
            <v>48035.9</v>
          </cell>
        </row>
        <row r="45">
          <cell r="A45">
            <v>40178</v>
          </cell>
          <cell r="C45">
            <v>533559.6</v>
          </cell>
          <cell r="F45">
            <v>87393.15</v>
          </cell>
          <cell r="I45">
            <v>290380.5</v>
          </cell>
          <cell r="L45">
            <v>0</v>
          </cell>
          <cell r="O45">
            <v>116483.85</v>
          </cell>
          <cell r="R45">
            <v>0</v>
          </cell>
          <cell r="U45">
            <v>39302.1</v>
          </cell>
        </row>
        <row r="46">
          <cell r="A46">
            <v>40543</v>
          </cell>
          <cell r="C46">
            <v>414990.8</v>
          </cell>
          <cell r="F46">
            <v>67972.45</v>
          </cell>
          <cell r="I46">
            <v>225851.5</v>
          </cell>
          <cell r="L46">
            <v>0</v>
          </cell>
          <cell r="O46">
            <v>90598.55</v>
          </cell>
          <cell r="R46">
            <v>0</v>
          </cell>
          <cell r="U46">
            <v>30568.3</v>
          </cell>
        </row>
        <row r="47">
          <cell r="A47">
            <v>40908</v>
          </cell>
          <cell r="C47">
            <v>296422</v>
          </cell>
          <cell r="F47">
            <v>48551.75</v>
          </cell>
          <cell r="I47">
            <v>161322.5</v>
          </cell>
          <cell r="L47">
            <v>0</v>
          </cell>
          <cell r="O47">
            <v>64713.25</v>
          </cell>
          <cell r="R47">
            <v>0</v>
          </cell>
          <cell r="U47">
            <v>21834.5</v>
          </cell>
        </row>
        <row r="48">
          <cell r="A48">
            <v>41274</v>
          </cell>
          <cell r="C48">
            <v>177853.2</v>
          </cell>
          <cell r="F48">
            <v>29131.05</v>
          </cell>
          <cell r="I48">
            <v>96793.5</v>
          </cell>
          <cell r="L48">
            <v>0</v>
          </cell>
          <cell r="O48">
            <v>38827.95</v>
          </cell>
          <cell r="R48">
            <v>0</v>
          </cell>
          <cell r="U48">
            <v>13100.7</v>
          </cell>
        </row>
        <row r="49">
          <cell r="A49">
            <v>41639</v>
          </cell>
          <cell r="C49">
            <v>59284.4</v>
          </cell>
          <cell r="F49">
            <v>9710.34999999998</v>
          </cell>
          <cell r="I49">
            <v>32264.5</v>
          </cell>
          <cell r="L49">
            <v>0</v>
          </cell>
          <cell r="O49">
            <v>12942.65</v>
          </cell>
          <cell r="R49">
            <v>0</v>
          </cell>
          <cell r="U49">
            <v>4366.89999999999</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v>
          </cell>
        </row>
        <row r="43">
          <cell r="A43">
            <v>39082</v>
          </cell>
          <cell r="B43">
            <v>0</v>
          </cell>
          <cell r="C43">
            <v>4190993</v>
          </cell>
          <cell r="F43">
            <v>898033.5</v>
          </cell>
          <cell r="I43">
            <v>1124345.15</v>
          </cell>
          <cell r="L43">
            <v>1467637.2</v>
          </cell>
          <cell r="O43">
            <v>156000.5</v>
          </cell>
          <cell r="R43">
            <v>0</v>
          </cell>
          <cell r="U43">
            <v>544976.65</v>
          </cell>
        </row>
        <row r="44">
          <cell r="A44">
            <v>39447</v>
          </cell>
          <cell r="B44">
            <v>0</v>
          </cell>
          <cell r="C44">
            <v>3697935</v>
          </cell>
          <cell r="F44">
            <v>792382.5</v>
          </cell>
          <cell r="I44">
            <v>992069.25</v>
          </cell>
          <cell r="L44">
            <v>1294974</v>
          </cell>
          <cell r="O44">
            <v>137647.5</v>
          </cell>
          <cell r="R44">
            <v>0</v>
          </cell>
          <cell r="U44">
            <v>480861.75</v>
          </cell>
        </row>
        <row r="45">
          <cell r="A45">
            <v>39813</v>
          </cell>
          <cell r="B45">
            <v>0</v>
          </cell>
          <cell r="C45">
            <v>3204877</v>
          </cell>
          <cell r="F45">
            <v>686731.5</v>
          </cell>
          <cell r="I45">
            <v>859793.35</v>
          </cell>
          <cell r="L45">
            <v>1122310.8</v>
          </cell>
          <cell r="O45">
            <v>119294.5</v>
          </cell>
          <cell r="R45">
            <v>0</v>
          </cell>
          <cell r="U45">
            <v>416746.85</v>
          </cell>
        </row>
        <row r="46">
          <cell r="A46">
            <v>40178</v>
          </cell>
          <cell r="B46">
            <v>0</v>
          </cell>
          <cell r="C46">
            <v>2711819</v>
          </cell>
          <cell r="F46">
            <v>581080.5</v>
          </cell>
          <cell r="I46">
            <v>727517.45</v>
          </cell>
          <cell r="L46">
            <v>949647.6</v>
          </cell>
          <cell r="O46">
            <v>100941.5</v>
          </cell>
          <cell r="R46">
            <v>0</v>
          </cell>
          <cell r="U46">
            <v>352631.95</v>
          </cell>
        </row>
        <row r="47">
          <cell r="A47">
            <v>40543</v>
          </cell>
          <cell r="B47">
            <v>0</v>
          </cell>
          <cell r="C47">
            <v>2218761</v>
          </cell>
          <cell r="F47">
            <v>475429.5</v>
          </cell>
          <cell r="I47">
            <v>595241.55</v>
          </cell>
          <cell r="L47">
            <v>776984.4</v>
          </cell>
          <cell r="O47">
            <v>82588.5</v>
          </cell>
          <cell r="R47">
            <v>0</v>
          </cell>
          <cell r="U47">
            <v>288517.05</v>
          </cell>
        </row>
        <row r="48">
          <cell r="A48">
            <v>40908</v>
          </cell>
          <cell r="B48">
            <v>0</v>
          </cell>
          <cell r="C48">
            <v>1725703</v>
          </cell>
          <cell r="F48">
            <v>369778.5</v>
          </cell>
          <cell r="I48">
            <v>462965.65</v>
          </cell>
          <cell r="L48">
            <v>604321.2</v>
          </cell>
          <cell r="O48">
            <v>64235.5</v>
          </cell>
          <cell r="R48">
            <v>0</v>
          </cell>
          <cell r="U48">
            <v>224402.15</v>
          </cell>
        </row>
        <row r="49">
          <cell r="A49">
            <v>41274</v>
          </cell>
          <cell r="B49">
            <v>0</v>
          </cell>
          <cell r="C49">
            <v>1232645</v>
          </cell>
          <cell r="F49">
            <v>264127.5</v>
          </cell>
          <cell r="I49">
            <v>330689.75</v>
          </cell>
          <cell r="L49">
            <v>431658</v>
          </cell>
          <cell r="O49">
            <v>45882.5</v>
          </cell>
          <cell r="R49">
            <v>0</v>
          </cell>
          <cell r="U49">
            <v>160287.25</v>
          </cell>
        </row>
        <row r="50">
          <cell r="A50">
            <v>41639</v>
          </cell>
          <cell r="B50">
            <v>0</v>
          </cell>
          <cell r="C50">
            <v>739587</v>
          </cell>
          <cell r="F50">
            <v>158476.5</v>
          </cell>
          <cell r="I50">
            <v>198413.85</v>
          </cell>
          <cell r="L50">
            <v>258994.8</v>
          </cell>
          <cell r="O50">
            <v>27529.5</v>
          </cell>
          <cell r="R50">
            <v>0</v>
          </cell>
          <cell r="U50">
            <v>96172.3499999999</v>
          </cell>
        </row>
        <row r="51">
          <cell r="A51">
            <v>42004</v>
          </cell>
          <cell r="B51">
            <v>0</v>
          </cell>
          <cell r="C51">
            <v>246529</v>
          </cell>
          <cell r="F51">
            <v>52825.5</v>
          </cell>
          <cell r="I51">
            <v>66137.95</v>
          </cell>
          <cell r="L51">
            <v>86331.6000000002</v>
          </cell>
          <cell r="O51">
            <v>9176.5</v>
          </cell>
          <cell r="R51">
            <v>0</v>
          </cell>
          <cell r="U51">
            <v>32057.4499999999</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606608.7</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v>
          </cell>
        </row>
        <row r="28">
          <cell r="A28">
            <v>39447</v>
          </cell>
          <cell r="B28">
            <v>0</v>
          </cell>
          <cell r="C28">
            <v>606608.7</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v>
          </cell>
        </row>
        <row r="29">
          <cell r="A29">
            <v>39813</v>
          </cell>
          <cell r="B29">
            <v>0</v>
          </cell>
          <cell r="C29">
            <v>606608.7</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v>
          </cell>
        </row>
        <row r="30">
          <cell r="A30">
            <v>40178</v>
          </cell>
          <cell r="B30">
            <v>0</v>
          </cell>
          <cell r="C30">
            <v>606608.7</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v>
          </cell>
        </row>
        <row r="31">
          <cell r="A31">
            <v>40543</v>
          </cell>
          <cell r="B31">
            <v>0</v>
          </cell>
          <cell r="C31">
            <v>606608.7</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v>
          </cell>
        </row>
        <row r="32">
          <cell r="A32">
            <v>40908</v>
          </cell>
          <cell r="B32">
            <v>0</v>
          </cell>
          <cell r="C32">
            <v>606608.7</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v>
          </cell>
        </row>
        <row r="33">
          <cell r="A33">
            <v>41274</v>
          </cell>
          <cell r="B33">
            <v>0</v>
          </cell>
          <cell r="C33">
            <v>606608.7</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v>
          </cell>
        </row>
        <row r="34">
          <cell r="A34">
            <v>41639</v>
          </cell>
          <cell r="B34">
            <v>0</v>
          </cell>
          <cell r="C34">
            <v>606608.7</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v>
          </cell>
        </row>
        <row r="35">
          <cell r="A35">
            <v>42004</v>
          </cell>
          <cell r="B35">
            <v>0</v>
          </cell>
          <cell r="C35">
            <v>606608.7</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v>
          </cell>
        </row>
        <row r="36">
          <cell r="A36">
            <v>42369</v>
          </cell>
          <cell r="B36">
            <v>0</v>
          </cell>
          <cell r="C36">
            <v>606608.7</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v>
          </cell>
          <cell r="D44">
            <v>0</v>
          </cell>
          <cell r="E44">
            <v>0</v>
          </cell>
          <cell r="F44">
            <v>1521644.45</v>
          </cell>
          <cell r="G44">
            <v>0</v>
          </cell>
          <cell r="H44">
            <v>0</v>
          </cell>
          <cell r="I44">
            <v>0</v>
          </cell>
          <cell r="J44">
            <v>0</v>
          </cell>
          <cell r="K44">
            <v>0</v>
          </cell>
          <cell r="L44">
            <v>1668892.55</v>
          </cell>
          <cell r="M44">
            <v>0</v>
          </cell>
          <cell r="N44">
            <v>0</v>
          </cell>
          <cell r="O44">
            <v>572290.45</v>
          </cell>
          <cell r="P44">
            <v>0</v>
          </cell>
          <cell r="Q44">
            <v>0</v>
          </cell>
          <cell r="R44">
            <v>0</v>
          </cell>
          <cell r="S44">
            <v>0</v>
          </cell>
          <cell r="T44">
            <v>0</v>
          </cell>
          <cell r="U44">
            <v>1999955.2</v>
          </cell>
        </row>
        <row r="45">
          <cell r="A45">
            <v>39447</v>
          </cell>
          <cell r="B45">
            <v>0</v>
          </cell>
          <cell r="C45">
            <v>5156173.95</v>
          </cell>
          <cell r="D45">
            <v>0</v>
          </cell>
          <cell r="E45">
            <v>0</v>
          </cell>
          <cell r="F45">
            <v>1361471.35</v>
          </cell>
          <cell r="G45">
            <v>0</v>
          </cell>
          <cell r="H45">
            <v>0</v>
          </cell>
          <cell r="I45">
            <v>0</v>
          </cell>
          <cell r="J45">
            <v>0</v>
          </cell>
          <cell r="K45">
            <v>0</v>
          </cell>
          <cell r="L45">
            <v>1493219.65</v>
          </cell>
          <cell r="M45">
            <v>0</v>
          </cell>
          <cell r="N45">
            <v>0</v>
          </cell>
          <cell r="O45">
            <v>512049.35</v>
          </cell>
          <cell r="P45">
            <v>0</v>
          </cell>
          <cell r="Q45">
            <v>0</v>
          </cell>
          <cell r="R45">
            <v>0</v>
          </cell>
          <cell r="S45">
            <v>0</v>
          </cell>
          <cell r="T45">
            <v>0</v>
          </cell>
          <cell r="U45">
            <v>1789433.6</v>
          </cell>
        </row>
        <row r="46">
          <cell r="A46">
            <v>39813</v>
          </cell>
          <cell r="B46">
            <v>0</v>
          </cell>
          <cell r="C46">
            <v>4549565.25</v>
          </cell>
          <cell r="D46">
            <v>0</v>
          </cell>
          <cell r="E46">
            <v>0</v>
          </cell>
          <cell r="F46">
            <v>1201298.25</v>
          </cell>
          <cell r="G46">
            <v>0</v>
          </cell>
          <cell r="H46">
            <v>0</v>
          </cell>
          <cell r="I46">
            <v>0</v>
          </cell>
          <cell r="J46">
            <v>0</v>
          </cell>
          <cell r="K46">
            <v>0</v>
          </cell>
          <cell r="L46">
            <v>1317546.75</v>
          </cell>
          <cell r="M46">
            <v>0</v>
          </cell>
          <cell r="N46">
            <v>0</v>
          </cell>
          <cell r="O46">
            <v>451808.25</v>
          </cell>
          <cell r="P46">
            <v>0</v>
          </cell>
          <cell r="Q46">
            <v>0</v>
          </cell>
          <cell r="R46">
            <v>0</v>
          </cell>
          <cell r="S46">
            <v>0</v>
          </cell>
          <cell r="T46">
            <v>0</v>
          </cell>
          <cell r="U46">
            <v>1578912</v>
          </cell>
        </row>
        <row r="47">
          <cell r="A47">
            <v>40178</v>
          </cell>
          <cell r="B47">
            <v>0</v>
          </cell>
          <cell r="C47">
            <v>3942956.55</v>
          </cell>
          <cell r="D47">
            <v>0</v>
          </cell>
          <cell r="E47">
            <v>0</v>
          </cell>
          <cell r="F47">
            <v>1041125.15</v>
          </cell>
          <cell r="G47">
            <v>0</v>
          </cell>
          <cell r="H47">
            <v>0</v>
          </cell>
          <cell r="I47">
            <v>0</v>
          </cell>
          <cell r="J47">
            <v>0</v>
          </cell>
          <cell r="K47">
            <v>0</v>
          </cell>
          <cell r="L47">
            <v>1141873.85</v>
          </cell>
          <cell r="M47">
            <v>0</v>
          </cell>
          <cell r="N47">
            <v>0</v>
          </cell>
          <cell r="O47">
            <v>391567.15</v>
          </cell>
          <cell r="P47">
            <v>0</v>
          </cell>
          <cell r="Q47">
            <v>0</v>
          </cell>
          <cell r="R47">
            <v>0</v>
          </cell>
          <cell r="S47">
            <v>0</v>
          </cell>
          <cell r="T47">
            <v>0</v>
          </cell>
          <cell r="U47">
            <v>1368390.4</v>
          </cell>
        </row>
        <row r="48">
          <cell r="A48">
            <v>40543</v>
          </cell>
          <cell r="B48">
            <v>0</v>
          </cell>
          <cell r="C48">
            <v>3336347.85</v>
          </cell>
          <cell r="D48">
            <v>0</v>
          </cell>
          <cell r="E48">
            <v>0</v>
          </cell>
          <cell r="F48">
            <v>880952.05</v>
          </cell>
          <cell r="G48">
            <v>0</v>
          </cell>
          <cell r="H48">
            <v>0</v>
          </cell>
          <cell r="I48">
            <v>0</v>
          </cell>
          <cell r="J48">
            <v>0</v>
          </cell>
          <cell r="K48">
            <v>0</v>
          </cell>
          <cell r="L48">
            <v>966200.95</v>
          </cell>
          <cell r="M48">
            <v>0</v>
          </cell>
          <cell r="N48">
            <v>0</v>
          </cell>
          <cell r="O48">
            <v>331326.05</v>
          </cell>
          <cell r="P48">
            <v>0</v>
          </cell>
          <cell r="Q48">
            <v>0</v>
          </cell>
          <cell r="R48">
            <v>0</v>
          </cell>
          <cell r="S48">
            <v>0</v>
          </cell>
          <cell r="T48">
            <v>0</v>
          </cell>
          <cell r="U48">
            <v>1157868.8</v>
          </cell>
        </row>
        <row r="49">
          <cell r="A49">
            <v>40908</v>
          </cell>
          <cell r="B49">
            <v>0</v>
          </cell>
          <cell r="C49">
            <v>2729739.15</v>
          </cell>
          <cell r="D49">
            <v>0</v>
          </cell>
          <cell r="E49">
            <v>0</v>
          </cell>
          <cell r="F49">
            <v>720778.95</v>
          </cell>
          <cell r="G49">
            <v>0</v>
          </cell>
          <cell r="H49">
            <v>0</v>
          </cell>
          <cell r="I49">
            <v>0</v>
          </cell>
          <cell r="J49">
            <v>0</v>
          </cell>
          <cell r="K49">
            <v>0</v>
          </cell>
          <cell r="L49">
            <v>790528.05</v>
          </cell>
          <cell r="M49">
            <v>0</v>
          </cell>
          <cell r="N49">
            <v>0</v>
          </cell>
          <cell r="O49">
            <v>271084.95</v>
          </cell>
          <cell r="P49">
            <v>0</v>
          </cell>
          <cell r="Q49">
            <v>0</v>
          </cell>
          <cell r="R49">
            <v>0</v>
          </cell>
          <cell r="S49">
            <v>0</v>
          </cell>
          <cell r="T49">
            <v>0</v>
          </cell>
          <cell r="U49">
            <v>947347.2</v>
          </cell>
        </row>
        <row r="50">
          <cell r="A50">
            <v>41274</v>
          </cell>
          <cell r="B50">
            <v>0</v>
          </cell>
          <cell r="C50">
            <v>2123130.45</v>
          </cell>
          <cell r="D50">
            <v>0</v>
          </cell>
          <cell r="E50">
            <v>0</v>
          </cell>
          <cell r="F50">
            <v>560605.85</v>
          </cell>
          <cell r="G50">
            <v>0</v>
          </cell>
          <cell r="H50">
            <v>0</v>
          </cell>
          <cell r="I50">
            <v>0</v>
          </cell>
          <cell r="J50">
            <v>0</v>
          </cell>
          <cell r="K50">
            <v>0</v>
          </cell>
          <cell r="L50">
            <v>614855.15</v>
          </cell>
          <cell r="M50">
            <v>0</v>
          </cell>
          <cell r="N50">
            <v>0</v>
          </cell>
          <cell r="O50">
            <v>210843.85</v>
          </cell>
          <cell r="P50">
            <v>0</v>
          </cell>
          <cell r="Q50">
            <v>0</v>
          </cell>
          <cell r="R50">
            <v>0</v>
          </cell>
          <cell r="S50">
            <v>0</v>
          </cell>
          <cell r="T50">
            <v>0</v>
          </cell>
          <cell r="U50">
            <v>736825.6</v>
          </cell>
        </row>
        <row r="51">
          <cell r="A51">
            <v>41639</v>
          </cell>
          <cell r="B51">
            <v>0</v>
          </cell>
          <cell r="C51">
            <v>1516521.75</v>
          </cell>
          <cell r="D51">
            <v>0</v>
          </cell>
          <cell r="E51">
            <v>0</v>
          </cell>
          <cell r="F51">
            <v>400432.75</v>
          </cell>
          <cell r="G51">
            <v>0</v>
          </cell>
          <cell r="H51">
            <v>0</v>
          </cell>
          <cell r="I51">
            <v>0</v>
          </cell>
          <cell r="J51">
            <v>0</v>
          </cell>
          <cell r="K51">
            <v>0</v>
          </cell>
          <cell r="L51">
            <v>439182.25</v>
          </cell>
          <cell r="M51">
            <v>0</v>
          </cell>
          <cell r="N51">
            <v>0</v>
          </cell>
          <cell r="O51">
            <v>150602.75</v>
          </cell>
          <cell r="P51">
            <v>0</v>
          </cell>
          <cell r="Q51">
            <v>0</v>
          </cell>
          <cell r="R51">
            <v>0</v>
          </cell>
          <cell r="S51">
            <v>0</v>
          </cell>
          <cell r="T51">
            <v>0</v>
          </cell>
          <cell r="U51">
            <v>526304</v>
          </cell>
        </row>
        <row r="52">
          <cell r="A52">
            <v>42004</v>
          </cell>
          <cell r="B52">
            <v>0</v>
          </cell>
          <cell r="C52">
            <v>909913.05</v>
          </cell>
          <cell r="D52">
            <v>0</v>
          </cell>
          <cell r="E52">
            <v>0</v>
          </cell>
          <cell r="F52">
            <v>240259.65</v>
          </cell>
          <cell r="G52">
            <v>0</v>
          </cell>
          <cell r="H52">
            <v>0</v>
          </cell>
          <cell r="I52">
            <v>0</v>
          </cell>
          <cell r="J52">
            <v>0</v>
          </cell>
          <cell r="K52">
            <v>0</v>
          </cell>
          <cell r="L52">
            <v>263509.35</v>
          </cell>
          <cell r="M52">
            <v>0</v>
          </cell>
          <cell r="N52">
            <v>0</v>
          </cell>
          <cell r="O52">
            <v>90361.6500000001</v>
          </cell>
          <cell r="P52">
            <v>0</v>
          </cell>
          <cell r="Q52">
            <v>0</v>
          </cell>
          <cell r="R52">
            <v>0</v>
          </cell>
          <cell r="S52">
            <v>0</v>
          </cell>
          <cell r="T52">
            <v>0</v>
          </cell>
          <cell r="U52">
            <v>315782.4</v>
          </cell>
        </row>
        <row r="53">
          <cell r="A53">
            <v>42369</v>
          </cell>
          <cell r="B53">
            <v>0</v>
          </cell>
          <cell r="C53">
            <v>303304.35</v>
          </cell>
          <cell r="D53">
            <v>0</v>
          </cell>
          <cell r="E53">
            <v>0</v>
          </cell>
          <cell r="F53">
            <v>80086.5499999999</v>
          </cell>
          <cell r="G53">
            <v>0</v>
          </cell>
          <cell r="H53">
            <v>0</v>
          </cell>
          <cell r="I53">
            <v>0</v>
          </cell>
          <cell r="J53">
            <v>0</v>
          </cell>
          <cell r="K53">
            <v>0</v>
          </cell>
          <cell r="L53">
            <v>87836.4500000002</v>
          </cell>
          <cell r="M53">
            <v>0</v>
          </cell>
          <cell r="N53">
            <v>0</v>
          </cell>
          <cell r="O53">
            <v>30120.5500000001</v>
          </cell>
          <cell r="P53">
            <v>0</v>
          </cell>
          <cell r="Q53">
            <v>0</v>
          </cell>
          <cell r="R53">
            <v>0</v>
          </cell>
          <cell r="S53">
            <v>0</v>
          </cell>
          <cell r="T53">
            <v>0</v>
          </cell>
          <cell r="U53">
            <v>105260.8</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650149.2</v>
          </cell>
        </row>
        <row r="29">
          <cell r="A29">
            <v>39813</v>
          </cell>
          <cell r="B29">
            <v>0</v>
          </cell>
          <cell r="C29">
            <v>1078545.9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650149.2</v>
          </cell>
        </row>
        <row r="30">
          <cell r="A30">
            <v>40178</v>
          </cell>
          <cell r="B30">
            <v>0</v>
          </cell>
          <cell r="C30">
            <v>1078545.9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650149.2</v>
          </cell>
        </row>
        <row r="31">
          <cell r="A31">
            <v>40543</v>
          </cell>
          <cell r="B31">
            <v>0</v>
          </cell>
          <cell r="C31">
            <v>1078545.9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650149.2</v>
          </cell>
        </row>
        <row r="32">
          <cell r="A32">
            <v>40908</v>
          </cell>
          <cell r="B32">
            <v>0</v>
          </cell>
          <cell r="C32">
            <v>1078545.9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650149.2</v>
          </cell>
        </row>
        <row r="33">
          <cell r="A33">
            <v>41274</v>
          </cell>
          <cell r="B33">
            <v>0</v>
          </cell>
          <cell r="C33">
            <v>1078545.9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650149.2</v>
          </cell>
        </row>
        <row r="34">
          <cell r="A34">
            <v>41639</v>
          </cell>
          <cell r="B34">
            <v>0</v>
          </cell>
          <cell r="C34">
            <v>1078545.9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650149.2</v>
          </cell>
        </row>
        <row r="35">
          <cell r="A35">
            <v>42004</v>
          </cell>
          <cell r="B35">
            <v>0</v>
          </cell>
          <cell r="C35">
            <v>1078545.9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650149.2</v>
          </cell>
        </row>
        <row r="36">
          <cell r="A36">
            <v>42369</v>
          </cell>
          <cell r="B36">
            <v>0</v>
          </cell>
          <cell r="C36">
            <v>1078545.9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650149.2</v>
          </cell>
        </row>
        <row r="37">
          <cell r="A37">
            <v>42735</v>
          </cell>
          <cell r="B37">
            <v>0</v>
          </cell>
          <cell r="C37">
            <v>1078545.9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650149.2</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v>
          </cell>
          <cell r="F46">
            <v>3535480.1</v>
          </cell>
          <cell r="I46">
            <v>0</v>
          </cell>
          <cell r="L46">
            <v>392349.05</v>
          </cell>
          <cell r="O46">
            <v>141939.5</v>
          </cell>
          <cell r="R46">
            <v>0</v>
          </cell>
          <cell r="U46">
            <v>6176417.4</v>
          </cell>
        </row>
        <row r="47">
          <cell r="A47">
            <v>39813</v>
          </cell>
          <cell r="B47">
            <v>0</v>
          </cell>
          <cell r="C47">
            <v>9167640.15</v>
          </cell>
          <cell r="F47">
            <v>3163324.3</v>
          </cell>
          <cell r="I47">
            <v>0</v>
          </cell>
          <cell r="L47">
            <v>351049.15</v>
          </cell>
          <cell r="O47">
            <v>126998.5</v>
          </cell>
          <cell r="R47">
            <v>0</v>
          </cell>
          <cell r="U47">
            <v>5526268.2</v>
          </cell>
        </row>
        <row r="48">
          <cell r="A48">
            <v>40178</v>
          </cell>
          <cell r="B48">
            <v>0</v>
          </cell>
          <cell r="C48">
            <v>8089094.25</v>
          </cell>
          <cell r="F48">
            <v>2791168.5</v>
          </cell>
          <cell r="I48">
            <v>0</v>
          </cell>
          <cell r="L48">
            <v>309749.25</v>
          </cell>
          <cell r="O48">
            <v>112057.5</v>
          </cell>
          <cell r="R48">
            <v>0</v>
          </cell>
          <cell r="U48">
            <v>4876119</v>
          </cell>
        </row>
        <row r="49">
          <cell r="A49">
            <v>40543</v>
          </cell>
          <cell r="B49">
            <v>0</v>
          </cell>
          <cell r="C49">
            <v>7010548.35</v>
          </cell>
          <cell r="F49">
            <v>2419012.7</v>
          </cell>
          <cell r="I49">
            <v>0</v>
          </cell>
          <cell r="L49">
            <v>268449.35</v>
          </cell>
          <cell r="O49">
            <v>97116.5</v>
          </cell>
          <cell r="R49">
            <v>0</v>
          </cell>
          <cell r="U49">
            <v>4225969.8</v>
          </cell>
        </row>
        <row r="50">
          <cell r="A50">
            <v>40908</v>
          </cell>
          <cell r="B50">
            <v>0</v>
          </cell>
          <cell r="C50">
            <v>5932002.45</v>
          </cell>
          <cell r="F50">
            <v>2046856.9</v>
          </cell>
          <cell r="I50">
            <v>0</v>
          </cell>
          <cell r="L50">
            <v>227149.45</v>
          </cell>
          <cell r="O50">
            <v>82175.5</v>
          </cell>
          <cell r="R50">
            <v>0</v>
          </cell>
          <cell r="U50">
            <v>3575820.6</v>
          </cell>
        </row>
        <row r="51">
          <cell r="A51">
            <v>41274</v>
          </cell>
          <cell r="B51">
            <v>0</v>
          </cell>
          <cell r="C51">
            <v>4853456.55</v>
          </cell>
          <cell r="F51">
            <v>1674701.1</v>
          </cell>
          <cell r="I51">
            <v>0</v>
          </cell>
          <cell r="L51">
            <v>185849.55</v>
          </cell>
          <cell r="O51">
            <v>67234.5</v>
          </cell>
          <cell r="R51">
            <v>0</v>
          </cell>
          <cell r="U51">
            <v>2925671.4</v>
          </cell>
        </row>
        <row r="52">
          <cell r="A52">
            <v>41639</v>
          </cell>
          <cell r="B52">
            <v>0</v>
          </cell>
          <cell r="C52">
            <v>3774910.65</v>
          </cell>
          <cell r="F52">
            <v>1302545.3</v>
          </cell>
          <cell r="I52">
            <v>0</v>
          </cell>
          <cell r="L52">
            <v>144549.65</v>
          </cell>
          <cell r="O52">
            <v>52293.5</v>
          </cell>
          <cell r="R52">
            <v>0</v>
          </cell>
          <cell r="U52">
            <v>2275522.2</v>
          </cell>
        </row>
        <row r="53">
          <cell r="A53">
            <v>42004</v>
          </cell>
          <cell r="B53">
            <v>0</v>
          </cell>
          <cell r="C53">
            <v>2696364.75</v>
          </cell>
          <cell r="F53">
            <v>930389.5</v>
          </cell>
          <cell r="I53">
            <v>0</v>
          </cell>
          <cell r="L53">
            <v>103249.75</v>
          </cell>
          <cell r="O53">
            <v>37352.5</v>
          </cell>
          <cell r="R53">
            <v>0</v>
          </cell>
          <cell r="U53">
            <v>1625373</v>
          </cell>
        </row>
        <row r="54">
          <cell r="A54">
            <v>42369</v>
          </cell>
          <cell r="B54">
            <v>0</v>
          </cell>
          <cell r="C54">
            <v>1617818.85</v>
          </cell>
          <cell r="F54">
            <v>558233.7</v>
          </cell>
          <cell r="I54">
            <v>0</v>
          </cell>
          <cell r="L54">
            <v>61949.8499999999</v>
          </cell>
          <cell r="O54">
            <v>22411.5</v>
          </cell>
          <cell r="R54">
            <v>0</v>
          </cell>
          <cell r="U54">
            <v>975223.799999999</v>
          </cell>
        </row>
        <row r="55">
          <cell r="A55">
            <v>42735</v>
          </cell>
          <cell r="B55">
            <v>0</v>
          </cell>
          <cell r="C55">
            <v>539272.95</v>
          </cell>
          <cell r="F55">
            <v>186077.9</v>
          </cell>
          <cell r="I55">
            <v>0</v>
          </cell>
          <cell r="L55">
            <v>20649.9499999999</v>
          </cell>
          <cell r="O55">
            <v>7470.5</v>
          </cell>
          <cell r="R55">
            <v>0</v>
          </cell>
          <cell r="U55">
            <v>325074.599999999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v>
          </cell>
          <cell r="F48">
            <v>2893130</v>
          </cell>
          <cell r="I48">
            <v>0</v>
          </cell>
          <cell r="L48">
            <v>699264.6</v>
          </cell>
          <cell r="O48">
            <v>258063.7</v>
          </cell>
          <cell r="R48">
            <v>0</v>
          </cell>
          <cell r="U48">
            <v>4829950.1</v>
          </cell>
        </row>
        <row r="49">
          <cell r="A49">
            <v>40178</v>
          </cell>
          <cell r="B49">
            <v>0</v>
          </cell>
          <cell r="C49">
            <v>7766681.2</v>
          </cell>
          <cell r="F49">
            <v>2588590</v>
          </cell>
          <cell r="I49">
            <v>0</v>
          </cell>
          <cell r="L49">
            <v>625657.8</v>
          </cell>
          <cell r="O49">
            <v>230899.1</v>
          </cell>
          <cell r="R49">
            <v>0</v>
          </cell>
          <cell r="U49">
            <v>4321534.3</v>
          </cell>
        </row>
        <row r="50">
          <cell r="A50">
            <v>40543</v>
          </cell>
          <cell r="B50">
            <v>0</v>
          </cell>
          <cell r="C50">
            <v>6852954</v>
          </cell>
          <cell r="F50">
            <v>2284050</v>
          </cell>
          <cell r="I50">
            <v>0</v>
          </cell>
          <cell r="L50">
            <v>552051</v>
          </cell>
          <cell r="O50">
            <v>203734.5</v>
          </cell>
          <cell r="R50">
            <v>0</v>
          </cell>
          <cell r="U50">
            <v>3813118.5</v>
          </cell>
        </row>
        <row r="51">
          <cell r="A51">
            <v>40908</v>
          </cell>
          <cell r="B51">
            <v>0</v>
          </cell>
          <cell r="C51">
            <v>5939226.8</v>
          </cell>
          <cell r="F51">
            <v>1979510</v>
          </cell>
          <cell r="I51">
            <v>0</v>
          </cell>
          <cell r="L51">
            <v>478444.2</v>
          </cell>
          <cell r="O51">
            <v>176569.9</v>
          </cell>
          <cell r="R51">
            <v>0</v>
          </cell>
          <cell r="U51">
            <v>3304702.7</v>
          </cell>
        </row>
        <row r="52">
          <cell r="A52">
            <v>41274</v>
          </cell>
          <cell r="B52">
            <v>0</v>
          </cell>
          <cell r="C52">
            <v>5025499.6</v>
          </cell>
          <cell r="F52">
            <v>1674970</v>
          </cell>
          <cell r="I52">
            <v>0</v>
          </cell>
          <cell r="L52">
            <v>404837.4</v>
          </cell>
          <cell r="O52">
            <v>149405.3</v>
          </cell>
          <cell r="R52">
            <v>0</v>
          </cell>
          <cell r="U52">
            <v>2796286.9</v>
          </cell>
        </row>
        <row r="53">
          <cell r="A53">
            <v>41639</v>
          </cell>
          <cell r="B53">
            <v>0</v>
          </cell>
          <cell r="C53">
            <v>4111772.4</v>
          </cell>
          <cell r="F53">
            <v>1370430</v>
          </cell>
          <cell r="I53">
            <v>0</v>
          </cell>
          <cell r="L53">
            <v>331230.6</v>
          </cell>
          <cell r="O53">
            <v>122240.7</v>
          </cell>
          <cell r="R53">
            <v>0</v>
          </cell>
          <cell r="U53">
            <v>2287871.1</v>
          </cell>
        </row>
        <row r="54">
          <cell r="A54">
            <v>42004</v>
          </cell>
          <cell r="B54">
            <v>0</v>
          </cell>
          <cell r="C54">
            <v>3198045.2</v>
          </cell>
          <cell r="F54">
            <v>1065890</v>
          </cell>
          <cell r="I54">
            <v>0</v>
          </cell>
          <cell r="L54">
            <v>257623.8</v>
          </cell>
          <cell r="O54">
            <v>95076.1</v>
          </cell>
          <cell r="R54">
            <v>0</v>
          </cell>
          <cell r="U54">
            <v>1779455.3</v>
          </cell>
        </row>
        <row r="55">
          <cell r="A55">
            <v>42369</v>
          </cell>
          <cell r="B55">
            <v>0</v>
          </cell>
          <cell r="C55">
            <v>2284318</v>
          </cell>
          <cell r="F55">
            <v>761350</v>
          </cell>
          <cell r="I55">
            <v>0</v>
          </cell>
          <cell r="L55">
            <v>184017</v>
          </cell>
          <cell r="O55">
            <v>67911.5</v>
          </cell>
          <cell r="R55">
            <v>0</v>
          </cell>
          <cell r="U55">
            <v>1271039.5</v>
          </cell>
        </row>
        <row r="56">
          <cell r="A56">
            <v>42735</v>
          </cell>
          <cell r="B56">
            <v>0</v>
          </cell>
          <cell r="C56">
            <v>1370590.8</v>
          </cell>
          <cell r="F56">
            <v>456810</v>
          </cell>
          <cell r="I56">
            <v>0</v>
          </cell>
          <cell r="L56">
            <v>110410.2</v>
          </cell>
          <cell r="O56">
            <v>40746.9</v>
          </cell>
          <cell r="R56">
            <v>0</v>
          </cell>
          <cell r="U56">
            <v>762623.7</v>
          </cell>
        </row>
        <row r="57">
          <cell r="A57">
            <v>43100</v>
          </cell>
          <cell r="B57">
            <v>0</v>
          </cell>
          <cell r="C57">
            <v>456863.6</v>
          </cell>
          <cell r="F57">
            <v>152270</v>
          </cell>
          <cell r="I57">
            <v>0</v>
          </cell>
          <cell r="L57">
            <v>36803.3999999999</v>
          </cell>
          <cell r="O57">
            <v>13582.3</v>
          </cell>
          <cell r="R57">
            <v>0</v>
          </cell>
          <cell r="U57">
            <v>254207.9</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v>
          </cell>
          <cell r="F49">
            <v>2379658.3</v>
          </cell>
          <cell r="I49">
            <v>0</v>
          </cell>
          <cell r="L49">
            <v>0</v>
          </cell>
          <cell r="O49">
            <v>104016.2</v>
          </cell>
          <cell r="R49">
            <v>0</v>
          </cell>
          <cell r="U49">
            <v>0</v>
          </cell>
        </row>
        <row r="50">
          <cell r="A50">
            <v>40908</v>
          </cell>
          <cell r="B50">
            <v>0</v>
          </cell>
          <cell r="C50">
            <v>2191477.5</v>
          </cell>
          <cell r="F50">
            <v>2099698.5</v>
          </cell>
          <cell r="I50">
            <v>0</v>
          </cell>
          <cell r="L50">
            <v>0</v>
          </cell>
          <cell r="O50">
            <v>91779</v>
          </cell>
          <cell r="R50">
            <v>0</v>
          </cell>
          <cell r="U50">
            <v>0</v>
          </cell>
        </row>
        <row r="51">
          <cell r="A51">
            <v>41274</v>
          </cell>
          <cell r="B51">
            <v>0</v>
          </cell>
          <cell r="C51">
            <v>1899280.5</v>
          </cell>
          <cell r="F51">
            <v>1819738.7</v>
          </cell>
          <cell r="I51">
            <v>0</v>
          </cell>
          <cell r="L51">
            <v>0</v>
          </cell>
          <cell r="O51">
            <v>79541.8</v>
          </cell>
          <cell r="R51">
            <v>0</v>
          </cell>
          <cell r="U51">
            <v>0</v>
          </cell>
        </row>
        <row r="52">
          <cell r="A52">
            <v>41639</v>
          </cell>
          <cell r="B52">
            <v>0</v>
          </cell>
          <cell r="C52">
            <v>1607083.5</v>
          </cell>
          <cell r="F52">
            <v>1539778.9</v>
          </cell>
          <cell r="I52">
            <v>0</v>
          </cell>
          <cell r="L52">
            <v>0</v>
          </cell>
          <cell r="O52">
            <v>67304.6</v>
          </cell>
          <cell r="R52">
            <v>0</v>
          </cell>
          <cell r="U52">
            <v>0</v>
          </cell>
        </row>
        <row r="53">
          <cell r="A53">
            <v>42004</v>
          </cell>
          <cell r="B53">
            <v>0</v>
          </cell>
          <cell r="C53">
            <v>1314886.5</v>
          </cell>
          <cell r="F53">
            <v>1259819.1</v>
          </cell>
          <cell r="I53">
            <v>0</v>
          </cell>
          <cell r="L53">
            <v>0</v>
          </cell>
          <cell r="O53">
            <v>55067.4</v>
          </cell>
          <cell r="R53">
            <v>0</v>
          </cell>
          <cell r="U53">
            <v>0</v>
          </cell>
        </row>
        <row r="54">
          <cell r="A54">
            <v>42369</v>
          </cell>
          <cell r="B54">
            <v>0</v>
          </cell>
          <cell r="C54">
            <v>1022689.5</v>
          </cell>
          <cell r="F54">
            <v>979859.3</v>
          </cell>
          <cell r="I54">
            <v>0</v>
          </cell>
          <cell r="L54">
            <v>0</v>
          </cell>
          <cell r="O54">
            <v>42830.2</v>
          </cell>
          <cell r="R54">
            <v>0</v>
          </cell>
          <cell r="U54">
            <v>0</v>
          </cell>
        </row>
        <row r="55">
          <cell r="A55">
            <v>42735</v>
          </cell>
          <cell r="B55">
            <v>0</v>
          </cell>
          <cell r="C55">
            <v>730492.5</v>
          </cell>
          <cell r="F55">
            <v>699899.5</v>
          </cell>
          <cell r="I55">
            <v>0</v>
          </cell>
          <cell r="L55">
            <v>0</v>
          </cell>
          <cell r="O55">
            <v>30593</v>
          </cell>
          <cell r="R55">
            <v>0</v>
          </cell>
          <cell r="U55">
            <v>0</v>
          </cell>
        </row>
        <row r="56">
          <cell r="A56">
            <v>43100</v>
          </cell>
          <cell r="B56">
            <v>0</v>
          </cell>
          <cell r="C56">
            <v>438295.5</v>
          </cell>
          <cell r="F56">
            <v>419939.7</v>
          </cell>
          <cell r="I56">
            <v>0</v>
          </cell>
          <cell r="L56">
            <v>0</v>
          </cell>
          <cell r="O56">
            <v>18355.8</v>
          </cell>
          <cell r="R56">
            <v>0</v>
          </cell>
          <cell r="U56">
            <v>0</v>
          </cell>
        </row>
        <row r="57">
          <cell r="A57">
            <v>43465</v>
          </cell>
          <cell r="B57">
            <v>0</v>
          </cell>
          <cell r="C57">
            <v>146098.5</v>
          </cell>
          <cell r="F57">
            <v>139979.9</v>
          </cell>
          <cell r="I57">
            <v>0</v>
          </cell>
          <cell r="L57">
            <v>0</v>
          </cell>
          <cell r="O57">
            <v>6118.60000000001</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445116.1256509</v>
          </cell>
          <cell r="D29">
            <v>0</v>
          </cell>
          <cell r="E29">
            <v>0</v>
          </cell>
          <cell r="F29">
            <v>207095.2069621</v>
          </cell>
          <cell r="G29">
            <v>0</v>
          </cell>
          <cell r="H29">
            <v>0</v>
          </cell>
          <cell r="I29">
            <v>0</v>
          </cell>
          <cell r="J29">
            <v>0</v>
          </cell>
          <cell r="K29">
            <v>0</v>
          </cell>
          <cell r="L29">
            <v>13805.868</v>
          </cell>
          <cell r="M29">
            <v>0</v>
          </cell>
          <cell r="N29">
            <v>0</v>
          </cell>
          <cell r="O29">
            <v>224215.0506888</v>
          </cell>
          <cell r="P29">
            <v>0</v>
          </cell>
          <cell r="Q29">
            <v>0</v>
          </cell>
          <cell r="R29">
            <v>0</v>
          </cell>
          <cell r="S29">
            <v>0</v>
          </cell>
          <cell r="T29">
            <v>0</v>
          </cell>
          <cell r="U29">
            <v>0</v>
          </cell>
        </row>
        <row r="30">
          <cell r="A30">
            <v>40908</v>
          </cell>
          <cell r="B30">
            <v>0</v>
          </cell>
          <cell r="C30">
            <v>445116.1256509</v>
          </cell>
          <cell r="D30">
            <v>0</v>
          </cell>
          <cell r="E30">
            <v>0</v>
          </cell>
          <cell r="F30">
            <v>207095.2069621</v>
          </cell>
          <cell r="G30">
            <v>0</v>
          </cell>
          <cell r="H30">
            <v>0</v>
          </cell>
          <cell r="I30">
            <v>0</v>
          </cell>
          <cell r="J30">
            <v>0</v>
          </cell>
          <cell r="K30">
            <v>0</v>
          </cell>
          <cell r="L30">
            <v>13805.868</v>
          </cell>
          <cell r="M30">
            <v>0</v>
          </cell>
          <cell r="N30">
            <v>0</v>
          </cell>
          <cell r="O30">
            <v>224215.0506888</v>
          </cell>
          <cell r="P30">
            <v>0</v>
          </cell>
          <cell r="Q30">
            <v>0</v>
          </cell>
          <cell r="R30">
            <v>0</v>
          </cell>
          <cell r="S30">
            <v>0</v>
          </cell>
          <cell r="T30">
            <v>0</v>
          </cell>
          <cell r="U30">
            <v>0</v>
          </cell>
        </row>
        <row r="31">
          <cell r="A31">
            <v>41274</v>
          </cell>
          <cell r="B31">
            <v>0</v>
          </cell>
          <cell r="C31">
            <v>445116.1256509</v>
          </cell>
          <cell r="D31">
            <v>0</v>
          </cell>
          <cell r="E31">
            <v>0</v>
          </cell>
          <cell r="F31">
            <v>207095.2069621</v>
          </cell>
          <cell r="G31">
            <v>0</v>
          </cell>
          <cell r="H31">
            <v>0</v>
          </cell>
          <cell r="I31">
            <v>0</v>
          </cell>
          <cell r="J31">
            <v>0</v>
          </cell>
          <cell r="K31">
            <v>0</v>
          </cell>
          <cell r="L31">
            <v>13805.868</v>
          </cell>
          <cell r="M31">
            <v>0</v>
          </cell>
          <cell r="N31">
            <v>0</v>
          </cell>
          <cell r="O31">
            <v>224215.0506888</v>
          </cell>
          <cell r="P31">
            <v>0</v>
          </cell>
          <cell r="Q31">
            <v>0</v>
          </cell>
          <cell r="R31">
            <v>0</v>
          </cell>
          <cell r="S31">
            <v>0</v>
          </cell>
          <cell r="T31">
            <v>0</v>
          </cell>
          <cell r="U31">
            <v>0</v>
          </cell>
        </row>
        <row r="32">
          <cell r="A32">
            <v>41639</v>
          </cell>
          <cell r="B32">
            <v>0</v>
          </cell>
          <cell r="C32">
            <v>445116.1256509</v>
          </cell>
          <cell r="D32">
            <v>0</v>
          </cell>
          <cell r="E32">
            <v>0</v>
          </cell>
          <cell r="F32">
            <v>207095.2069621</v>
          </cell>
          <cell r="G32">
            <v>0</v>
          </cell>
          <cell r="H32">
            <v>0</v>
          </cell>
          <cell r="I32">
            <v>0</v>
          </cell>
          <cell r="J32">
            <v>0</v>
          </cell>
          <cell r="K32">
            <v>0</v>
          </cell>
          <cell r="L32">
            <v>13805.868</v>
          </cell>
          <cell r="M32">
            <v>0</v>
          </cell>
          <cell r="N32">
            <v>0</v>
          </cell>
          <cell r="O32">
            <v>224215.0506888</v>
          </cell>
          <cell r="P32">
            <v>0</v>
          </cell>
          <cell r="Q32">
            <v>0</v>
          </cell>
          <cell r="R32">
            <v>0</v>
          </cell>
          <cell r="S32">
            <v>0</v>
          </cell>
          <cell r="T32">
            <v>0</v>
          </cell>
          <cell r="U32">
            <v>0</v>
          </cell>
        </row>
        <row r="33">
          <cell r="A33">
            <v>42004</v>
          </cell>
          <cell r="B33">
            <v>0</v>
          </cell>
          <cell r="C33">
            <v>445116.1256509</v>
          </cell>
          <cell r="D33">
            <v>0</v>
          </cell>
          <cell r="E33">
            <v>0</v>
          </cell>
          <cell r="F33">
            <v>207095.2069621</v>
          </cell>
          <cell r="G33">
            <v>0</v>
          </cell>
          <cell r="H33">
            <v>0</v>
          </cell>
          <cell r="I33">
            <v>0</v>
          </cell>
          <cell r="J33">
            <v>0</v>
          </cell>
          <cell r="K33">
            <v>0</v>
          </cell>
          <cell r="L33">
            <v>13805.868</v>
          </cell>
          <cell r="M33">
            <v>0</v>
          </cell>
          <cell r="N33">
            <v>0</v>
          </cell>
          <cell r="O33">
            <v>224215.0506888</v>
          </cell>
          <cell r="P33">
            <v>0</v>
          </cell>
          <cell r="Q33">
            <v>0</v>
          </cell>
          <cell r="R33">
            <v>0</v>
          </cell>
          <cell r="S33">
            <v>0</v>
          </cell>
          <cell r="T33">
            <v>0</v>
          </cell>
          <cell r="U33">
            <v>0</v>
          </cell>
        </row>
        <row r="34">
          <cell r="A34">
            <v>42369</v>
          </cell>
          <cell r="B34">
            <v>0</v>
          </cell>
          <cell r="C34">
            <v>445116.1256509</v>
          </cell>
          <cell r="D34">
            <v>0</v>
          </cell>
          <cell r="E34">
            <v>0</v>
          </cell>
          <cell r="F34">
            <v>207095.2069621</v>
          </cell>
          <cell r="G34">
            <v>0</v>
          </cell>
          <cell r="H34">
            <v>0</v>
          </cell>
          <cell r="I34">
            <v>0</v>
          </cell>
          <cell r="J34">
            <v>0</v>
          </cell>
          <cell r="K34">
            <v>0</v>
          </cell>
          <cell r="L34">
            <v>13805.868</v>
          </cell>
          <cell r="M34">
            <v>0</v>
          </cell>
          <cell r="N34">
            <v>0</v>
          </cell>
          <cell r="O34">
            <v>224215.0506888</v>
          </cell>
          <cell r="P34">
            <v>0</v>
          </cell>
          <cell r="Q34">
            <v>0</v>
          </cell>
          <cell r="R34">
            <v>0</v>
          </cell>
          <cell r="S34">
            <v>0</v>
          </cell>
          <cell r="T34">
            <v>0</v>
          </cell>
          <cell r="U34">
            <v>0</v>
          </cell>
        </row>
        <row r="35">
          <cell r="A35">
            <v>42735</v>
          </cell>
          <cell r="B35">
            <v>0</v>
          </cell>
          <cell r="C35">
            <v>445116.1256509</v>
          </cell>
          <cell r="D35">
            <v>0</v>
          </cell>
          <cell r="E35">
            <v>0</v>
          </cell>
          <cell r="F35">
            <v>207095.2069621</v>
          </cell>
          <cell r="G35">
            <v>0</v>
          </cell>
          <cell r="H35">
            <v>0</v>
          </cell>
          <cell r="I35">
            <v>0</v>
          </cell>
          <cell r="J35">
            <v>0</v>
          </cell>
          <cell r="K35">
            <v>0</v>
          </cell>
          <cell r="L35">
            <v>13805.868</v>
          </cell>
          <cell r="M35">
            <v>0</v>
          </cell>
          <cell r="N35">
            <v>0</v>
          </cell>
          <cell r="O35">
            <v>224215.0506888</v>
          </cell>
          <cell r="P35">
            <v>0</v>
          </cell>
          <cell r="Q35">
            <v>0</v>
          </cell>
          <cell r="R35">
            <v>0</v>
          </cell>
          <cell r="S35">
            <v>0</v>
          </cell>
          <cell r="T35">
            <v>0</v>
          </cell>
          <cell r="U35">
            <v>0</v>
          </cell>
        </row>
        <row r="36">
          <cell r="A36">
            <v>43100</v>
          </cell>
          <cell r="B36">
            <v>0</v>
          </cell>
          <cell r="C36">
            <v>445116.1256509</v>
          </cell>
          <cell r="D36">
            <v>0</v>
          </cell>
          <cell r="E36">
            <v>0</v>
          </cell>
          <cell r="F36">
            <v>207095.2069621</v>
          </cell>
          <cell r="G36">
            <v>0</v>
          </cell>
          <cell r="H36">
            <v>0</v>
          </cell>
          <cell r="I36">
            <v>0</v>
          </cell>
          <cell r="J36">
            <v>0</v>
          </cell>
          <cell r="K36">
            <v>0</v>
          </cell>
          <cell r="L36">
            <v>13805.868</v>
          </cell>
          <cell r="M36">
            <v>0</v>
          </cell>
          <cell r="N36">
            <v>0</v>
          </cell>
          <cell r="O36">
            <v>224215.0506888</v>
          </cell>
          <cell r="P36">
            <v>0</v>
          </cell>
          <cell r="Q36">
            <v>0</v>
          </cell>
          <cell r="R36">
            <v>0</v>
          </cell>
          <cell r="S36">
            <v>0</v>
          </cell>
          <cell r="T36">
            <v>0</v>
          </cell>
          <cell r="U36">
            <v>0</v>
          </cell>
        </row>
        <row r="37">
          <cell r="A37">
            <v>43465</v>
          </cell>
          <cell r="B37">
            <v>0</v>
          </cell>
          <cell r="C37">
            <v>445116.1256509</v>
          </cell>
          <cell r="D37">
            <v>0</v>
          </cell>
          <cell r="E37">
            <v>0</v>
          </cell>
          <cell r="F37">
            <v>207095.2069621</v>
          </cell>
          <cell r="G37">
            <v>0</v>
          </cell>
          <cell r="H37">
            <v>0</v>
          </cell>
          <cell r="I37">
            <v>0</v>
          </cell>
          <cell r="J37">
            <v>0</v>
          </cell>
          <cell r="K37">
            <v>0</v>
          </cell>
          <cell r="L37">
            <v>13805.868</v>
          </cell>
          <cell r="M37">
            <v>0</v>
          </cell>
          <cell r="N37">
            <v>0</v>
          </cell>
          <cell r="O37">
            <v>224215.0506888</v>
          </cell>
          <cell r="P37">
            <v>0</v>
          </cell>
          <cell r="Q37">
            <v>0</v>
          </cell>
          <cell r="R37">
            <v>0</v>
          </cell>
          <cell r="S37">
            <v>0</v>
          </cell>
          <cell r="T37">
            <v>0</v>
          </cell>
          <cell r="U37">
            <v>0</v>
          </cell>
        </row>
        <row r="38">
          <cell r="A38">
            <v>43830</v>
          </cell>
          <cell r="B38">
            <v>0</v>
          </cell>
          <cell r="C38">
            <v>445116.1256509</v>
          </cell>
          <cell r="D38">
            <v>0</v>
          </cell>
          <cell r="E38">
            <v>0</v>
          </cell>
          <cell r="F38">
            <v>207095.2069621</v>
          </cell>
          <cell r="G38">
            <v>0</v>
          </cell>
          <cell r="H38">
            <v>0</v>
          </cell>
          <cell r="I38">
            <v>0</v>
          </cell>
          <cell r="J38">
            <v>0</v>
          </cell>
          <cell r="K38">
            <v>0</v>
          </cell>
          <cell r="L38">
            <v>13805.868</v>
          </cell>
          <cell r="M38">
            <v>0</v>
          </cell>
          <cell r="N38">
            <v>0</v>
          </cell>
          <cell r="O38">
            <v>224215.0506888</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4228603.19368355</v>
          </cell>
          <cell r="F48">
            <v>1967404.46613995</v>
          </cell>
          <cell r="I48">
            <v>0</v>
          </cell>
          <cell r="L48">
            <v>131155.746</v>
          </cell>
          <cell r="O48">
            <v>2130042.9815436</v>
          </cell>
          <cell r="R48">
            <v>0</v>
          </cell>
          <cell r="U48">
            <v>0</v>
          </cell>
        </row>
        <row r="49">
          <cell r="A49">
            <v>40908</v>
          </cell>
          <cell r="B49">
            <v>0</v>
          </cell>
          <cell r="C49">
            <v>3783487.06803265</v>
          </cell>
          <cell r="F49">
            <v>1760309.25917785</v>
          </cell>
          <cell r="I49">
            <v>0</v>
          </cell>
          <cell r="L49">
            <v>117349.878</v>
          </cell>
          <cell r="O49">
            <v>1905827.9308548</v>
          </cell>
          <cell r="R49">
            <v>0</v>
          </cell>
          <cell r="U49">
            <v>0</v>
          </cell>
        </row>
        <row r="50">
          <cell r="A50">
            <v>41274</v>
          </cell>
          <cell r="B50">
            <v>0</v>
          </cell>
          <cell r="C50">
            <v>3338370.94238175</v>
          </cell>
          <cell r="F50">
            <v>1553214.05221575</v>
          </cell>
          <cell r="I50">
            <v>0</v>
          </cell>
          <cell r="L50">
            <v>103544.01</v>
          </cell>
          <cell r="O50">
            <v>1681612.880166</v>
          </cell>
          <cell r="R50">
            <v>0</v>
          </cell>
          <cell r="U50">
            <v>0</v>
          </cell>
        </row>
        <row r="51">
          <cell r="A51">
            <v>41639</v>
          </cell>
          <cell r="B51">
            <v>0</v>
          </cell>
          <cell r="C51">
            <v>2893254.81673085</v>
          </cell>
          <cell r="F51">
            <v>1346118.84525365</v>
          </cell>
          <cell r="I51">
            <v>0</v>
          </cell>
          <cell r="L51">
            <v>89738.142</v>
          </cell>
          <cell r="O51">
            <v>1457397.8294772</v>
          </cell>
          <cell r="R51">
            <v>0</v>
          </cell>
          <cell r="U51">
            <v>0</v>
          </cell>
        </row>
        <row r="52">
          <cell r="A52">
            <v>42004</v>
          </cell>
          <cell r="B52">
            <v>0</v>
          </cell>
          <cell r="C52">
            <v>2448138.69107995</v>
          </cell>
          <cell r="F52">
            <v>1139023.63829155</v>
          </cell>
          <cell r="I52">
            <v>0</v>
          </cell>
          <cell r="L52">
            <v>75932.274</v>
          </cell>
          <cell r="O52">
            <v>1233182.7787884</v>
          </cell>
          <cell r="R52">
            <v>0</v>
          </cell>
          <cell r="U52">
            <v>0</v>
          </cell>
        </row>
        <row r="53">
          <cell r="A53">
            <v>42369</v>
          </cell>
          <cell r="B53">
            <v>0</v>
          </cell>
          <cell r="C53">
            <v>2003022.56542905</v>
          </cell>
          <cell r="F53">
            <v>931928.43132945</v>
          </cell>
          <cell r="I53">
            <v>0</v>
          </cell>
          <cell r="L53">
            <v>62126.406</v>
          </cell>
          <cell r="O53">
            <v>1008967.7280996</v>
          </cell>
          <cell r="R53">
            <v>0</v>
          </cell>
          <cell r="U53">
            <v>0</v>
          </cell>
        </row>
        <row r="54">
          <cell r="A54">
            <v>42735</v>
          </cell>
          <cell r="B54">
            <v>0</v>
          </cell>
          <cell r="C54">
            <v>1557906.43977815</v>
          </cell>
          <cell r="F54">
            <v>724833.22436735</v>
          </cell>
          <cell r="I54">
            <v>0</v>
          </cell>
          <cell r="L54">
            <v>48320.538</v>
          </cell>
          <cell r="O54">
            <v>784752.6774108</v>
          </cell>
          <cell r="R54">
            <v>0</v>
          </cell>
          <cell r="U54">
            <v>0</v>
          </cell>
        </row>
        <row r="55">
          <cell r="A55">
            <v>43100</v>
          </cell>
          <cell r="B55">
            <v>0</v>
          </cell>
          <cell r="C55">
            <v>1112790.31412725</v>
          </cell>
          <cell r="F55">
            <v>517738.01740525</v>
          </cell>
          <cell r="I55">
            <v>0</v>
          </cell>
          <cell r="L55">
            <v>34514.67</v>
          </cell>
          <cell r="O55">
            <v>560537.626722</v>
          </cell>
          <cell r="R55">
            <v>0</v>
          </cell>
          <cell r="U55">
            <v>0</v>
          </cell>
        </row>
        <row r="56">
          <cell r="A56">
            <v>43465</v>
          </cell>
          <cell r="B56">
            <v>0</v>
          </cell>
          <cell r="C56">
            <v>667674.18847635</v>
          </cell>
          <cell r="F56">
            <v>310642.81044315</v>
          </cell>
          <cell r="I56">
            <v>0</v>
          </cell>
          <cell r="L56">
            <v>20708.802</v>
          </cell>
          <cell r="O56">
            <v>336322.5760332</v>
          </cell>
          <cell r="R56">
            <v>0</v>
          </cell>
          <cell r="U56">
            <v>0</v>
          </cell>
        </row>
        <row r="57">
          <cell r="A57">
            <v>43830</v>
          </cell>
          <cell r="B57">
            <v>0</v>
          </cell>
          <cell r="C57">
            <v>222558.06282545</v>
          </cell>
          <cell r="F57">
            <v>103547.60348105</v>
          </cell>
          <cell r="I57">
            <v>0</v>
          </cell>
          <cell r="L57">
            <v>6902.93399999997</v>
          </cell>
          <cell r="O57">
            <v>112107.5253444</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v>
          </cell>
          <cell r="F52">
            <v>0</v>
          </cell>
          <cell r="I52">
            <v>0</v>
          </cell>
          <cell r="L52">
            <v>0</v>
          </cell>
          <cell r="O52">
            <v>462690.8</v>
          </cell>
          <cell r="R52">
            <v>0</v>
          </cell>
          <cell r="U52">
            <v>0</v>
          </cell>
        </row>
        <row r="53">
          <cell r="A53">
            <v>42735</v>
          </cell>
          <cell r="B53">
            <v>0</v>
          </cell>
          <cell r="C53">
            <v>378565.2</v>
          </cell>
          <cell r="F53">
            <v>0</v>
          </cell>
          <cell r="I53">
            <v>0</v>
          </cell>
          <cell r="L53">
            <v>0</v>
          </cell>
          <cell r="O53">
            <v>378565.2</v>
          </cell>
          <cell r="R53">
            <v>0</v>
          </cell>
          <cell r="U53">
            <v>0</v>
          </cell>
        </row>
        <row r="54">
          <cell r="A54">
            <v>43100</v>
          </cell>
          <cell r="B54">
            <v>0</v>
          </cell>
          <cell r="C54">
            <v>294439.6</v>
          </cell>
          <cell r="F54">
            <v>0</v>
          </cell>
          <cell r="I54">
            <v>0</v>
          </cell>
          <cell r="L54">
            <v>0</v>
          </cell>
          <cell r="O54">
            <v>294439.6</v>
          </cell>
          <cell r="R54">
            <v>0</v>
          </cell>
          <cell r="U54">
            <v>0</v>
          </cell>
        </row>
        <row r="55">
          <cell r="A55">
            <v>43465</v>
          </cell>
          <cell r="B55">
            <v>0</v>
          </cell>
          <cell r="C55">
            <v>210314</v>
          </cell>
          <cell r="F55">
            <v>0</v>
          </cell>
          <cell r="I55">
            <v>0</v>
          </cell>
          <cell r="L55">
            <v>0</v>
          </cell>
          <cell r="O55">
            <v>210314</v>
          </cell>
          <cell r="R55">
            <v>0</v>
          </cell>
          <cell r="U55">
            <v>0</v>
          </cell>
        </row>
        <row r="56">
          <cell r="A56">
            <v>43830</v>
          </cell>
          <cell r="B56">
            <v>0</v>
          </cell>
          <cell r="C56">
            <v>126188.4</v>
          </cell>
          <cell r="F56">
            <v>0</v>
          </cell>
          <cell r="I56">
            <v>0</v>
          </cell>
          <cell r="L56">
            <v>0</v>
          </cell>
          <cell r="O56">
            <v>126188.4</v>
          </cell>
          <cell r="R56">
            <v>0</v>
          </cell>
          <cell r="U56">
            <v>0</v>
          </cell>
        </row>
        <row r="57">
          <cell r="A57">
            <v>44196</v>
          </cell>
          <cell r="B57">
            <v>0</v>
          </cell>
          <cell r="C57">
            <v>42062.8000000001</v>
          </cell>
          <cell r="F57">
            <v>0</v>
          </cell>
          <cell r="I57">
            <v>0</v>
          </cell>
          <cell r="L57">
            <v>0</v>
          </cell>
          <cell r="O57">
            <v>42062.8000000001</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2983935.92622</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v>
          </cell>
        </row>
        <row r="8">
          <cell r="G8">
            <v>0</v>
          </cell>
        </row>
        <row r="9">
          <cell r="G9">
            <v>22368197</v>
          </cell>
        </row>
        <row r="10">
          <cell r="G10">
            <v>0</v>
          </cell>
        </row>
        <row r="11">
          <cell r="G11">
            <v>5216974</v>
          </cell>
        </row>
        <row r="17">
          <cell r="G17">
            <v>0</v>
          </cell>
        </row>
        <row r="30">
          <cell r="G30">
            <v>189265.665672476</v>
          </cell>
        </row>
      </sheetData>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v>
          </cell>
          <cell r="G6">
            <v>9849606.03</v>
          </cell>
          <cell r="H6">
            <v>12946939.56</v>
          </cell>
          <cell r="I6">
            <v>13686671.89</v>
          </cell>
          <cell r="J6">
            <v>14935722.7</v>
          </cell>
          <cell r="K6">
            <v>17133180.51</v>
          </cell>
          <cell r="L6">
            <v>21400625.37</v>
          </cell>
          <cell r="M6">
            <v>24307422.79</v>
          </cell>
          <cell r="N6">
            <v>26796130.93</v>
          </cell>
          <cell r="O6">
            <v>32232440.61</v>
          </cell>
        </row>
        <row r="7">
          <cell r="A7" t="str">
            <v>RDLPRM34</v>
          </cell>
          <cell r="B7">
            <v>4204751</v>
          </cell>
          <cell r="C7">
            <v>144431.35</v>
          </cell>
          <cell r="D7">
            <v>4576625.2</v>
          </cell>
          <cell r="E7">
            <v>5359012.36</v>
          </cell>
          <cell r="F7">
            <v>6340060.79</v>
          </cell>
          <cell r="G7">
            <v>7971142</v>
          </cell>
          <cell r="H7">
            <v>8520432.5</v>
          </cell>
          <cell r="I7">
            <v>9989244.77</v>
          </cell>
          <cell r="J7">
            <v>11129885</v>
          </cell>
          <cell r="K7">
            <v>12064996.32</v>
          </cell>
          <cell r="L7">
            <v>13322483.35</v>
          </cell>
          <cell r="M7">
            <v>13955275.08</v>
          </cell>
          <cell r="N7">
            <v>14515417.44</v>
          </cell>
          <cell r="O7">
            <v>15194333.9</v>
          </cell>
        </row>
        <row r="8">
          <cell r="A8" t="str">
            <v>RTSPRD08</v>
          </cell>
          <cell r="B8">
            <v>0</v>
          </cell>
          <cell r="C8">
            <v>0</v>
          </cell>
          <cell r="D8">
            <v>528703.95</v>
          </cell>
          <cell r="E8">
            <v>1226051.18</v>
          </cell>
          <cell r="F8">
            <v>2675130.93</v>
          </cell>
          <cell r="G8">
            <v>1809243.96</v>
          </cell>
          <cell r="H8">
            <v>2564288.67</v>
          </cell>
          <cell r="I8">
            <v>3238857.62</v>
          </cell>
          <cell r="J8">
            <v>3395488.38</v>
          </cell>
          <cell r="K8">
            <v>3972250.79</v>
          </cell>
          <cell r="L8">
            <v>5634854.33</v>
          </cell>
          <cell r="M8">
            <v>5877746.67</v>
          </cell>
          <cell r="N8">
            <v>7008341.56</v>
          </cell>
          <cell r="O8">
            <v>10957367.54</v>
          </cell>
        </row>
        <row r="9">
          <cell r="A9" t="str">
            <v>RDLPCM05</v>
          </cell>
          <cell r="B9">
            <v>0</v>
          </cell>
          <cell r="C9">
            <v>0</v>
          </cell>
          <cell r="D9">
            <v>832570.29</v>
          </cell>
          <cell r="E9">
            <v>2021381.2</v>
          </cell>
          <cell r="F9">
            <v>3461959.91</v>
          </cell>
          <cell r="G9">
            <v>4964117.1</v>
          </cell>
          <cell r="H9">
            <v>6302519.79</v>
          </cell>
          <cell r="I9">
            <v>6734386.45</v>
          </cell>
          <cell r="J9">
            <v>6567679.67</v>
          </cell>
          <cell r="K9">
            <v>7731479.64</v>
          </cell>
          <cell r="L9">
            <v>7694842.44</v>
          </cell>
          <cell r="M9">
            <v>8855311.83</v>
          </cell>
          <cell r="N9">
            <v>9619432.43</v>
          </cell>
          <cell r="O9">
            <v>8325115.07</v>
          </cell>
        </row>
        <row r="10">
          <cell r="A10" t="str">
            <v>RDLPLM60</v>
          </cell>
          <cell r="B10">
            <v>2394934</v>
          </cell>
          <cell r="C10">
            <v>81663.79</v>
          </cell>
          <cell r="D10">
            <v>2225187.65</v>
          </cell>
          <cell r="E10">
            <v>2285226.06</v>
          </cell>
          <cell r="F10">
            <v>2810995.43</v>
          </cell>
          <cell r="G10">
            <v>3811878.59</v>
          </cell>
          <cell r="H10">
            <v>5226604.56</v>
          </cell>
          <cell r="I10">
            <v>5516170.25</v>
          </cell>
          <cell r="J10">
            <v>5727242.84</v>
          </cell>
          <cell r="K10">
            <v>5899893.71</v>
          </cell>
          <cell r="L10">
            <v>6371896.7</v>
          </cell>
          <cell r="M10">
            <v>6441233.73</v>
          </cell>
          <cell r="N10">
            <v>6818379.98</v>
          </cell>
          <cell r="O10">
            <v>7013324.26</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v>
          </cell>
          <cell r="L11">
            <v>6130848.98</v>
          </cell>
          <cell r="M11">
            <v>5811008.91</v>
          </cell>
          <cell r="N11">
            <v>6216448.71</v>
          </cell>
          <cell r="O11">
            <v>6775182.93</v>
          </cell>
        </row>
        <row r="12">
          <cell r="A12" t="str">
            <v>RDSPRG84</v>
          </cell>
          <cell r="B12">
            <v>2102586</v>
          </cell>
          <cell r="C12">
            <v>201800.97</v>
          </cell>
          <cell r="D12">
            <v>2121201.75</v>
          </cell>
          <cell r="E12">
            <v>2144695.88</v>
          </cell>
          <cell r="F12">
            <v>2200734.78</v>
          </cell>
          <cell r="G12">
            <v>2214385.17</v>
          </cell>
          <cell r="H12">
            <v>2247070.73</v>
          </cell>
          <cell r="I12">
            <v>2287000.12</v>
          </cell>
          <cell r="J12">
            <v>2368196.71</v>
          </cell>
          <cell r="K12">
            <v>2413320.49</v>
          </cell>
          <cell r="L12">
            <v>2445868.67</v>
          </cell>
          <cell r="M12">
            <v>2541493.1</v>
          </cell>
          <cell r="N12">
            <v>2604214.42</v>
          </cell>
          <cell r="O12">
            <v>2869889.51</v>
          </cell>
        </row>
        <row r="14">
          <cell r="A14" t="str">
            <v>RDSPRD99</v>
          </cell>
          <cell r="B14">
            <v>0</v>
          </cell>
          <cell r="C14">
            <v>0</v>
          </cell>
          <cell r="D14">
            <v>0</v>
          </cell>
          <cell r="E14">
            <v>27451.05</v>
          </cell>
          <cell r="F14">
            <v>1080050.31</v>
          </cell>
          <cell r="G14">
            <v>1164784.59</v>
          </cell>
          <cell r="H14">
            <v>1203124.89</v>
          </cell>
          <cell r="I14">
            <v>1234777.19</v>
          </cell>
          <cell r="J14">
            <v>3252945.95</v>
          </cell>
          <cell r="K14">
            <v>3375460.52</v>
          </cell>
          <cell r="L14">
            <v>3459954.07</v>
          </cell>
          <cell r="M14">
            <v>3678816.36</v>
          </cell>
          <cell r="N14">
            <v>3778441.1</v>
          </cell>
          <cell r="O14">
            <v>3961636.48</v>
          </cell>
        </row>
        <row r="15">
          <cell r="A15" t="str">
            <v>RDSPRD75</v>
          </cell>
          <cell r="B15">
            <v>765117</v>
          </cell>
          <cell r="C15">
            <v>41453.27</v>
          </cell>
          <cell r="D15">
            <v>993549.42</v>
          </cell>
          <cell r="E15">
            <v>1320194.19</v>
          </cell>
          <cell r="F15">
            <v>1707993.94</v>
          </cell>
          <cell r="G15">
            <v>2379428.47</v>
          </cell>
          <cell r="H15">
            <v>2994806.6</v>
          </cell>
          <cell r="I15">
            <v>3130824.6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1591957.12</v>
          </cell>
          <cell r="E16">
            <v>1641883.42</v>
          </cell>
          <cell r="F16">
            <v>1659074.1</v>
          </cell>
          <cell r="G16">
            <v>1735588.43</v>
          </cell>
          <cell r="H16">
            <v>1799632.19</v>
          </cell>
          <cell r="I16">
            <v>1822964.83</v>
          </cell>
          <cell r="J16">
            <v>1837440.85</v>
          </cell>
          <cell r="K16">
            <v>1887028.66</v>
          </cell>
          <cell r="L16">
            <v>2028909.9</v>
          </cell>
          <cell r="M16">
            <v>2171394.17</v>
          </cell>
          <cell r="N16">
            <v>2273463.16</v>
          </cell>
          <cell r="O16">
            <v>2517646.8</v>
          </cell>
        </row>
        <row r="17">
          <cell r="A17" t="str">
            <v>RDLPLM20</v>
          </cell>
          <cell r="B17">
            <v>0</v>
          </cell>
          <cell r="C17">
            <v>0</v>
          </cell>
          <cell r="D17">
            <v>6882.81</v>
          </cell>
          <cell r="E17">
            <v>30995.51</v>
          </cell>
          <cell r="F17">
            <v>163178.74</v>
          </cell>
          <cell r="G17">
            <v>458010.97</v>
          </cell>
          <cell r="H17">
            <v>759580.76</v>
          </cell>
          <cell r="I17">
            <v>1256596.23</v>
          </cell>
          <cell r="J17">
            <v>1808907.67</v>
          </cell>
          <cell r="K17">
            <v>2506667.87</v>
          </cell>
          <cell r="L17">
            <v>2692322.29</v>
          </cell>
          <cell r="M17">
            <v>2752899.17</v>
          </cell>
          <cell r="N17">
            <v>2791116.81</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2380083.76</v>
          </cell>
          <cell r="N18">
            <v>2383485.22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2580168.53</v>
          </cell>
        </row>
        <row r="20">
          <cell r="A20" t="str">
            <v>RICPRG42</v>
          </cell>
          <cell r="B20">
            <v>520712</v>
          </cell>
          <cell r="C20">
            <v>18326.93</v>
          </cell>
          <cell r="D20">
            <v>532160.34</v>
          </cell>
          <cell r="E20">
            <v>558628.85</v>
          </cell>
          <cell r="F20">
            <v>596700.51</v>
          </cell>
          <cell r="G20">
            <v>646928.98</v>
          </cell>
          <cell r="H20">
            <v>864216.9</v>
          </cell>
          <cell r="I20">
            <v>923397.61</v>
          </cell>
          <cell r="J20">
            <v>955092.41</v>
          </cell>
          <cell r="K20">
            <v>1016181.09</v>
          </cell>
          <cell r="L20">
            <v>1045432.3</v>
          </cell>
          <cell r="M20">
            <v>1093583.77</v>
          </cell>
          <cell r="N20">
            <v>1363246.96</v>
          </cell>
          <cell r="O20">
            <v>1667479.37</v>
          </cell>
        </row>
        <row r="21">
          <cell r="A21" t="str">
            <v>RDLPCS03</v>
          </cell>
          <cell r="B21">
            <v>0</v>
          </cell>
          <cell r="C21">
            <v>0</v>
          </cell>
          <cell r="D21">
            <v>47680.28</v>
          </cell>
          <cell r="E21">
            <v>134387.46</v>
          </cell>
          <cell r="F21">
            <v>300754.46</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290755.66</v>
          </cell>
          <cell r="F22">
            <v>299233.5</v>
          </cell>
          <cell r="G22">
            <v>2088480.22</v>
          </cell>
          <cell r="H22">
            <v>2102797.36</v>
          </cell>
          <cell r="I22">
            <v>2106863.29</v>
          </cell>
          <cell r="J22">
            <v>2126780.15</v>
          </cell>
          <cell r="K22">
            <v>2131373.77</v>
          </cell>
          <cell r="L22">
            <v>2137329.8</v>
          </cell>
          <cell r="M22">
            <v>1949297.2</v>
          </cell>
          <cell r="N22">
            <v>1484252.24</v>
          </cell>
          <cell r="O22">
            <v>1484252.24</v>
          </cell>
        </row>
        <row r="23">
          <cell r="A23" t="str">
            <v>RDSPRD25</v>
          </cell>
          <cell r="B23">
            <v>582091</v>
          </cell>
          <cell r="C23">
            <v>21844.18</v>
          </cell>
          <cell r="D23">
            <v>592601.37</v>
          </cell>
          <cell r="E23">
            <v>609553.55</v>
          </cell>
          <cell r="F23">
            <v>648198.03</v>
          </cell>
          <cell r="G23">
            <v>723153.8</v>
          </cell>
          <cell r="H23">
            <v>733563.36</v>
          </cell>
          <cell r="I23">
            <v>809541.31</v>
          </cell>
          <cell r="J23">
            <v>848543.08</v>
          </cell>
          <cell r="K23">
            <v>897039.9</v>
          </cell>
          <cell r="L23">
            <v>898424.43</v>
          </cell>
          <cell r="M23">
            <v>926972.7</v>
          </cell>
          <cell r="N23">
            <v>937177.66</v>
          </cell>
          <cell r="O23">
            <v>1188638.61</v>
          </cell>
        </row>
        <row r="24">
          <cell r="A24" t="str">
            <v>RDLPCM04</v>
          </cell>
          <cell r="B24">
            <v>0</v>
          </cell>
          <cell r="C24">
            <v>0</v>
          </cell>
          <cell r="D24">
            <v>32366.77</v>
          </cell>
          <cell r="E24">
            <v>49613.44</v>
          </cell>
          <cell r="F24">
            <v>58699.96</v>
          </cell>
          <cell r="G24">
            <v>113925.08</v>
          </cell>
          <cell r="H24">
            <v>593793.35</v>
          </cell>
          <cell r="I24">
            <v>615967.94</v>
          </cell>
          <cell r="J24">
            <v>582109.17</v>
          </cell>
          <cell r="K24">
            <v>776829.33</v>
          </cell>
          <cell r="L24">
            <v>898463.98</v>
          </cell>
          <cell r="M24">
            <v>1035570.13</v>
          </cell>
          <cell r="N24">
            <v>1234560.75</v>
          </cell>
          <cell r="O24">
            <v>1303731.01</v>
          </cell>
        </row>
        <row r="25">
          <cell r="A25" t="str">
            <v>ROCPOG69</v>
          </cell>
          <cell r="B25">
            <v>0</v>
          </cell>
          <cell r="C25">
            <v>0</v>
          </cell>
          <cell r="D25">
            <v>15536.45</v>
          </cell>
          <cell r="E25">
            <v>99007.01</v>
          </cell>
          <cell r="F25">
            <v>130823.4</v>
          </cell>
          <cell r="G25">
            <v>161180.19</v>
          </cell>
          <cell r="H25">
            <v>337802.52</v>
          </cell>
          <cell r="I25">
            <v>408764.44</v>
          </cell>
          <cell r="J25">
            <v>431890.08</v>
          </cell>
          <cell r="K25">
            <v>455818.3</v>
          </cell>
          <cell r="L25">
            <v>489480.84</v>
          </cell>
          <cell r="M25">
            <v>916132.84</v>
          </cell>
          <cell r="N25">
            <v>1058322.44</v>
          </cell>
          <cell r="O25">
            <v>1228624.05</v>
          </cell>
        </row>
        <row r="26">
          <cell r="A26" t="str">
            <v>RDLPPM07</v>
          </cell>
          <cell r="B26">
            <v>0</v>
          </cell>
          <cell r="C26">
            <v>0</v>
          </cell>
          <cell r="D26">
            <v>66766.15</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v>
          </cell>
          <cell r="E27">
            <v>304777.62</v>
          </cell>
          <cell r="F27">
            <v>449031.12</v>
          </cell>
          <cell r="G27">
            <v>539964.75</v>
          </cell>
          <cell r="H27">
            <v>597180.94</v>
          </cell>
          <cell r="I27">
            <v>613207.58</v>
          </cell>
          <cell r="J27">
            <v>654961.17</v>
          </cell>
          <cell r="K27">
            <v>707896.07</v>
          </cell>
          <cell r="L27">
            <v>793710.23</v>
          </cell>
          <cell r="M27">
            <v>861943.96</v>
          </cell>
          <cell r="N27">
            <v>862935.41</v>
          </cell>
          <cell r="O27">
            <v>862935.41</v>
          </cell>
        </row>
        <row r="28">
          <cell r="A28" t="str">
            <v>RICPPG51</v>
          </cell>
          <cell r="B28">
            <v>499190</v>
          </cell>
          <cell r="C28">
            <v>23019.33</v>
          </cell>
          <cell r="D28">
            <v>519189.42</v>
          </cell>
          <cell r="E28">
            <v>541576.31</v>
          </cell>
          <cell r="F28">
            <v>567571.1</v>
          </cell>
          <cell r="G28">
            <v>608885.28</v>
          </cell>
          <cell r="H28">
            <v>637789.19</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v>
          </cell>
          <cell r="K30">
            <v>36673.36</v>
          </cell>
          <cell r="L30">
            <v>36673.36</v>
          </cell>
          <cell r="M30">
            <v>37810.9</v>
          </cell>
          <cell r="N30">
            <v>76214.19</v>
          </cell>
          <cell r="O30">
            <v>697077.02</v>
          </cell>
        </row>
        <row r="31">
          <cell r="A31" t="str">
            <v>RICPOG30</v>
          </cell>
          <cell r="B31">
            <v>0</v>
          </cell>
          <cell r="C31">
            <v>0</v>
          </cell>
          <cell r="D31">
            <v>65836.64</v>
          </cell>
          <cell r="E31">
            <v>254537.69</v>
          </cell>
          <cell r="F31">
            <v>344445.14</v>
          </cell>
          <cell r="G31">
            <v>415273.35</v>
          </cell>
          <cell r="H31">
            <v>476315.35</v>
          </cell>
          <cell r="I31">
            <v>498619.99</v>
          </cell>
          <cell r="J31">
            <v>524880.83</v>
          </cell>
          <cell r="K31">
            <v>535529.37</v>
          </cell>
          <cell r="L31">
            <v>546794.64</v>
          </cell>
          <cell r="M31">
            <v>562792.63</v>
          </cell>
          <cell r="N31">
            <v>570426.45</v>
          </cell>
          <cell r="O31">
            <v>570426.45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v>
          </cell>
          <cell r="O32">
            <v>440042.87</v>
          </cell>
        </row>
        <row r="33">
          <cell r="A33" t="str">
            <v>RDSPLD62</v>
          </cell>
          <cell r="B33">
            <v>0</v>
          </cell>
          <cell r="C33">
            <v>0</v>
          </cell>
          <cell r="D33">
            <v>4858.87</v>
          </cell>
          <cell r="E33">
            <v>22186.08</v>
          </cell>
          <cell r="F33">
            <v>38409.58</v>
          </cell>
          <cell r="G33">
            <v>61332.84</v>
          </cell>
          <cell r="H33">
            <v>92273.5</v>
          </cell>
          <cell r="I33">
            <v>138717.57</v>
          </cell>
          <cell r="J33">
            <v>138926.35</v>
          </cell>
          <cell r="K33">
            <v>165849.07</v>
          </cell>
          <cell r="L33">
            <v>201280.75</v>
          </cell>
          <cell r="M33">
            <v>238941.9</v>
          </cell>
          <cell r="N33">
            <v>307418.44</v>
          </cell>
          <cell r="O33">
            <v>456798.76</v>
          </cell>
        </row>
        <row r="34">
          <cell r="A34" t="str">
            <v>RDLPLM34</v>
          </cell>
          <cell r="B34">
            <v>0</v>
          </cell>
          <cell r="C34">
            <v>0</v>
          </cell>
          <cell r="D34">
            <v>1979.03</v>
          </cell>
          <cell r="E34">
            <v>4028.18</v>
          </cell>
          <cell r="F34">
            <v>6164.48</v>
          </cell>
          <cell r="G34">
            <v>111200.74</v>
          </cell>
          <cell r="H34">
            <v>111348.52</v>
          </cell>
          <cell r="I34">
            <v>111555.26</v>
          </cell>
          <cell r="J34">
            <v>117476.15</v>
          </cell>
          <cell r="K34">
            <v>241593.12</v>
          </cell>
          <cell r="L34">
            <v>250653.38</v>
          </cell>
          <cell r="M34">
            <v>260786.13</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136809.92</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v>
          </cell>
          <cell r="O36">
            <v>273698.09</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v>
          </cell>
          <cell r="J39">
            <v>45389.65</v>
          </cell>
          <cell r="K39">
            <v>66289.65</v>
          </cell>
          <cell r="L39">
            <v>90944.2</v>
          </cell>
          <cell r="M39">
            <v>91270.08</v>
          </cell>
          <cell r="N39">
            <v>91270.08</v>
          </cell>
          <cell r="O39">
            <v>237286.34</v>
          </cell>
        </row>
        <row r="40">
          <cell r="A40" t="str">
            <v>RDLPCS94</v>
          </cell>
          <cell r="B40">
            <v>0</v>
          </cell>
          <cell r="C40">
            <v>0</v>
          </cell>
          <cell r="D40">
            <v>0</v>
          </cell>
          <cell r="E40">
            <v>0</v>
          </cell>
          <cell r="F40">
            <v>0</v>
          </cell>
          <cell r="G40">
            <v>22810.34</v>
          </cell>
          <cell r="H40">
            <v>38398.63</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v>
          </cell>
          <cell r="E50">
            <v>35780172.3</v>
          </cell>
          <cell r="F50">
            <v>53204335.84</v>
          </cell>
          <cell r="G50">
            <v>67836828.52</v>
          </cell>
          <cell r="H50">
            <v>81125317.42</v>
          </cell>
          <cell r="I50">
            <v>90615791.18</v>
          </cell>
          <cell r="J50">
            <v>101372918.61</v>
          </cell>
          <cell r="K50">
            <v>111757497.59</v>
          </cell>
          <cell r="L50">
            <v>125141802.36</v>
          </cell>
          <cell r="M50">
            <v>135711507.59</v>
          </cell>
          <cell r="N50">
            <v>142921055.79</v>
          </cell>
          <cell r="O50">
            <v>159965173.63</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v>
          </cell>
          <cell r="E68">
            <v>35780172.3</v>
          </cell>
          <cell r="F68">
            <v>53204335.84</v>
          </cell>
          <cell r="G68">
            <v>67836828.52</v>
          </cell>
          <cell r="H68">
            <v>81125317.42</v>
          </cell>
          <cell r="I68">
            <v>90615791.18</v>
          </cell>
          <cell r="J68">
            <v>101372918.61</v>
          </cell>
          <cell r="K68">
            <v>111757497.59</v>
          </cell>
          <cell r="L68">
            <v>125141802.36</v>
          </cell>
          <cell r="M68">
            <v>135711507.59</v>
          </cell>
          <cell r="N68">
            <v>142921055.79</v>
          </cell>
          <cell r="O68">
            <v>159965173.63</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v>
          </cell>
          <cell r="E70">
            <v>35780172.3</v>
          </cell>
          <cell r="F70">
            <v>53204335.84</v>
          </cell>
          <cell r="G70">
            <v>67836828.52</v>
          </cell>
          <cell r="H70">
            <v>81125317.42</v>
          </cell>
          <cell r="I70">
            <v>90615791.18</v>
          </cell>
          <cell r="J70">
            <v>101372918.61</v>
          </cell>
          <cell r="K70">
            <v>111757497.59</v>
          </cell>
          <cell r="L70">
            <v>125141802.36</v>
          </cell>
          <cell r="M70">
            <v>135711507.59</v>
          </cell>
          <cell r="N70">
            <v>142921055.79</v>
          </cell>
          <cell r="O70">
            <v>159965173.63</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33674437.83</v>
          </cell>
          <cell r="E72">
            <v>33977425.41</v>
          </cell>
          <cell r="F72">
            <v>34141550.01</v>
          </cell>
          <cell r="G72">
            <v>34479321.13</v>
          </cell>
          <cell r="H72">
            <v>34915484.69</v>
          </cell>
          <cell r="I72">
            <v>38529114.98</v>
          </cell>
          <cell r="J72">
            <v>38228438.32</v>
          </cell>
          <cell r="K72">
            <v>38300554.08</v>
          </cell>
          <cell r="L72">
            <v>38364587.72</v>
          </cell>
          <cell r="M72">
            <v>38459506.85</v>
          </cell>
          <cell r="N72">
            <v>38513563.78</v>
          </cell>
          <cell r="O72">
            <v>38712655</v>
          </cell>
        </row>
        <row r="73">
          <cell r="A73" t="str">
            <v>JOB BALANCE LESS AFUDC</v>
          </cell>
          <cell r="D73">
            <v>57216850.88</v>
          </cell>
          <cell r="E73">
            <v>69757597.71</v>
          </cell>
          <cell r="F73">
            <v>87345885.85</v>
          </cell>
          <cell r="G73">
            <v>102316149.65</v>
          </cell>
          <cell r="H73">
            <v>116040802.11</v>
          </cell>
          <cell r="I73">
            <v>129144906.16</v>
          </cell>
          <cell r="J73">
            <v>139601356.93</v>
          </cell>
          <cell r="K73">
            <v>150058051.67</v>
          </cell>
          <cell r="L73">
            <v>163506390.08</v>
          </cell>
          <cell r="M73">
            <v>174171014.44</v>
          </cell>
          <cell r="N73">
            <v>181435328.57</v>
          </cell>
          <cell r="O73">
            <v>198677828.63</v>
          </cell>
        </row>
        <row r="75">
          <cell r="B75">
            <v>13541507.07</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143285457.57</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229384969.364962</v>
          </cell>
        </row>
      </sheetData>
      <sheetData sheetId="2">
        <row r="12">
          <cell r="H12">
            <v>150904055.400617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v>
          </cell>
        </row>
      </sheetData>
      <sheetData sheetId="33"/>
      <sheetData sheetId="34"/>
      <sheetData sheetId="3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1.69061707523246</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v>
          </cell>
          <cell r="F16">
            <v>169931640.977671</v>
          </cell>
        </row>
        <row r="17">
          <cell r="A17">
            <v>37834</v>
          </cell>
          <cell r="B17">
            <v>169931640.977671</v>
          </cell>
          <cell r="C17">
            <v>3955157.46472713</v>
          </cell>
          <cell r="D17">
            <v>770356.77243211</v>
          </cell>
          <cell r="E17">
            <v>3184800.69229502</v>
          </cell>
          <cell r="F17">
            <v>166746840.285376</v>
          </cell>
        </row>
        <row r="18">
          <cell r="A18">
            <v>37865</v>
          </cell>
          <cell r="B18">
            <v>166746840.285376</v>
          </cell>
          <cell r="C18">
            <v>3955157.46472713</v>
          </cell>
          <cell r="D18">
            <v>763137.890862908</v>
          </cell>
          <cell r="E18">
            <v>3192019.57386422</v>
          </cell>
          <cell r="F18">
            <v>163554820.711512</v>
          </cell>
        </row>
        <row r="19">
          <cell r="A19">
            <v>37895</v>
          </cell>
          <cell r="B19">
            <v>163554820.711512</v>
          </cell>
          <cell r="C19">
            <v>3955157.46472713</v>
          </cell>
          <cell r="D19">
            <v>748683.76492628</v>
          </cell>
          <cell r="E19">
            <v>3206473.69980085</v>
          </cell>
          <cell r="F19">
            <v>160348347.011711</v>
          </cell>
        </row>
        <row r="20">
          <cell r="A20">
            <v>37926</v>
          </cell>
          <cell r="B20">
            <v>160348347.011711</v>
          </cell>
          <cell r="C20">
            <v>3955157.46472713</v>
          </cell>
          <cell r="D20">
            <v>734180.513505973</v>
          </cell>
          <cell r="E20">
            <v>3220976.95122115</v>
          </cell>
          <cell r="F20">
            <v>157127370.06049</v>
          </cell>
        </row>
        <row r="21">
          <cell r="A21">
            <v>37956</v>
          </cell>
          <cell r="B21">
            <v>157127370.06049</v>
          </cell>
          <cell r="C21">
            <v>3955157.46472713</v>
          </cell>
          <cell r="D21">
            <v>719611.625363656</v>
          </cell>
          <cell r="E21">
            <v>3235545.83936347</v>
          </cell>
          <cell r="F21">
            <v>153891824.221127</v>
          </cell>
        </row>
        <row r="22">
          <cell r="A22">
            <v>37987</v>
          </cell>
          <cell r="B22">
            <v>153891824.221127</v>
          </cell>
          <cell r="C22">
            <v>3955157.46472713</v>
          </cell>
          <cell r="D22">
            <v>704976.840371664</v>
          </cell>
          <cell r="E22">
            <v>3250180.62435546</v>
          </cell>
          <cell r="F22">
            <v>150641643.596771</v>
          </cell>
        </row>
        <row r="23">
          <cell r="A23">
            <v>38018</v>
          </cell>
          <cell r="B23">
            <v>150641643.596771</v>
          </cell>
          <cell r="C23">
            <v>3955157.46472713</v>
          </cell>
          <cell r="D23">
            <v>690275.860387235</v>
          </cell>
          <cell r="E23">
            <v>3264881.60433989</v>
          </cell>
          <cell r="F23">
            <v>147376761.992431</v>
          </cell>
        </row>
        <row r="24">
          <cell r="A24">
            <v>38047</v>
          </cell>
          <cell r="B24">
            <v>147376761.992431</v>
          </cell>
          <cell r="C24">
            <v>3955157.46472713</v>
          </cell>
          <cell r="D24">
            <v>675508.386002192</v>
          </cell>
          <cell r="E24">
            <v>3279649.07872493</v>
          </cell>
          <cell r="F24">
            <v>144097112.913706</v>
          </cell>
        </row>
        <row r="25">
          <cell r="A25">
            <v>38078</v>
          </cell>
          <cell r="B25">
            <v>144097112.913706</v>
          </cell>
          <cell r="C25">
            <v>3955157.46472713</v>
          </cell>
          <cell r="D25">
            <v>660674.116453912</v>
          </cell>
          <cell r="E25">
            <v>3294483.34827321</v>
          </cell>
          <cell r="F25">
            <v>140802629.565433</v>
          </cell>
        </row>
        <row r="26">
          <cell r="A26">
            <v>38108</v>
          </cell>
          <cell r="B26">
            <v>140802629.565433</v>
          </cell>
          <cell r="C26">
            <v>3955157.46472713</v>
          </cell>
          <cell r="D26">
            <v>645772.749619382</v>
          </cell>
          <cell r="E26">
            <v>3309384.71510774</v>
          </cell>
          <cell r="F26">
            <v>137493244.850325</v>
          </cell>
        </row>
        <row r="27">
          <cell r="A27">
            <v>38139</v>
          </cell>
          <cell r="B27">
            <v>137493244.850325</v>
          </cell>
          <cell r="C27">
            <v>3955157.46472713</v>
          </cell>
          <cell r="D27">
            <v>630803.982009052</v>
          </cell>
          <cell r="E27">
            <v>3324353.48271807</v>
          </cell>
          <cell r="F27">
            <v>134168891.367607</v>
          </cell>
        </row>
        <row r="28">
          <cell r="A28">
            <v>38169</v>
          </cell>
          <cell r="B28">
            <v>134168891.367607</v>
          </cell>
          <cell r="C28">
            <v>3955157.46472713</v>
          </cell>
          <cell r="D28">
            <v>615767.508760647</v>
          </cell>
          <cell r="E28">
            <v>3339389.95596648</v>
          </cell>
          <cell r="F28">
            <v>130829501.411641</v>
          </cell>
        </row>
        <row r="29">
          <cell r="A29">
            <v>38200</v>
          </cell>
          <cell r="B29">
            <v>130829501.411641</v>
          </cell>
          <cell r="C29">
            <v>3955157.46472713</v>
          </cell>
          <cell r="D29">
            <v>600663.023632962</v>
          </cell>
          <cell r="E29">
            <v>3354494.44109416</v>
          </cell>
          <cell r="F29">
            <v>127475006.970547</v>
          </cell>
        </row>
        <row r="30">
          <cell r="A30">
            <v>38231</v>
          </cell>
          <cell r="B30">
            <v>127475006.970547</v>
          </cell>
          <cell r="C30">
            <v>3955157.46472713</v>
          </cell>
          <cell r="D30">
            <v>585490.218999625</v>
          </cell>
          <cell r="E30">
            <v>3369667.2457275</v>
          </cell>
          <cell r="F30">
            <v>124105339.724819</v>
          </cell>
        </row>
        <row r="31">
          <cell r="A31">
            <v>38261</v>
          </cell>
          <cell r="B31">
            <v>124105339.724819</v>
          </cell>
          <cell r="C31">
            <v>3955157.46472713</v>
          </cell>
          <cell r="D31">
            <v>570248.785842829</v>
          </cell>
          <cell r="E31">
            <v>3384908.6788843</v>
          </cell>
          <cell r="F31">
            <v>120720431.045935</v>
          </cell>
        </row>
        <row r="32">
          <cell r="A32">
            <v>38292</v>
          </cell>
          <cell r="B32">
            <v>120720431.045935</v>
          </cell>
          <cell r="C32">
            <v>3955157.46472713</v>
          </cell>
          <cell r="D32">
            <v>554938.413747042</v>
          </cell>
          <cell r="E32">
            <v>3400219.05098008</v>
          </cell>
          <cell r="F32">
            <v>117320211.994955</v>
          </cell>
        </row>
        <row r="33">
          <cell r="A33">
            <v>38322</v>
          </cell>
          <cell r="B33">
            <v>117320211.994955</v>
          </cell>
          <cell r="C33">
            <v>3955157.46472713</v>
          </cell>
          <cell r="D33">
            <v>539558.790892683</v>
          </cell>
          <cell r="E33">
            <v>3415598.67383444</v>
          </cell>
          <cell r="F33">
            <v>113904613.32112</v>
          </cell>
        </row>
        <row r="34">
          <cell r="A34">
            <v>38353</v>
          </cell>
          <cell r="B34">
            <v>113904613.32112</v>
          </cell>
          <cell r="C34">
            <v>3955157.46472713</v>
          </cell>
          <cell r="D34">
            <v>524109.60404977</v>
          </cell>
          <cell r="E34">
            <v>3431047.86067736</v>
          </cell>
          <cell r="F34">
            <v>110473565.460443</v>
          </cell>
        </row>
        <row r="35">
          <cell r="A35">
            <v>38384</v>
          </cell>
          <cell r="B35">
            <v>110473565.460443</v>
          </cell>
          <cell r="C35">
            <v>3955157.46472713</v>
          </cell>
          <cell r="D35">
            <v>508590.538571543</v>
          </cell>
          <cell r="E35">
            <v>3446566.92615558</v>
          </cell>
          <cell r="F35">
            <v>107026998.534287</v>
          </cell>
        </row>
        <row r="36">
          <cell r="A36">
            <v>38412</v>
          </cell>
          <cell r="B36">
            <v>107026998.534287</v>
          </cell>
          <cell r="C36">
            <v>3955157.46472713</v>
          </cell>
          <cell r="D36">
            <v>493001.278388055</v>
          </cell>
          <cell r="E36">
            <v>3462156.18633907</v>
          </cell>
          <cell r="F36">
            <v>103564842.347948</v>
          </cell>
        </row>
        <row r="37">
          <cell r="A37">
            <v>38443</v>
          </cell>
          <cell r="B37">
            <v>103564842.347948</v>
          </cell>
          <cell r="C37">
            <v>3955157.46472713</v>
          </cell>
          <cell r="D37">
            <v>477341.505999734</v>
          </cell>
          <cell r="E37">
            <v>3477815.95872739</v>
          </cell>
          <cell r="F37">
            <v>100087026.389221</v>
          </cell>
        </row>
        <row r="38">
          <cell r="A38">
            <v>38473</v>
          </cell>
          <cell r="B38">
            <v>100087026.389221</v>
          </cell>
          <cell r="C38">
            <v>3955157.46472713</v>
          </cell>
          <cell r="D38">
            <v>461610.902470917</v>
          </cell>
          <cell r="E38">
            <v>3493546.56225621</v>
          </cell>
          <cell r="F38">
            <v>96593479.8269646</v>
          </cell>
        </row>
        <row r="39">
          <cell r="A39">
            <v>38504</v>
          </cell>
          <cell r="B39">
            <v>96593479.8269646</v>
          </cell>
          <cell r="C39">
            <v>3955157.46472713</v>
          </cell>
          <cell r="D39">
            <v>445809.147423354</v>
          </cell>
          <cell r="E39">
            <v>3509348.31730377</v>
          </cell>
          <cell r="F39">
            <v>93084131.5096609</v>
          </cell>
        </row>
        <row r="40">
          <cell r="A40">
            <v>38534</v>
          </cell>
          <cell r="B40">
            <v>93084131.5096609</v>
          </cell>
          <cell r="C40">
            <v>3955157.46472713</v>
          </cell>
          <cell r="D40">
            <v>429935.919029684</v>
          </cell>
          <cell r="E40">
            <v>3525221.54569744</v>
          </cell>
          <cell r="F40">
            <v>89558909.9639634</v>
          </cell>
        </row>
        <row r="41">
          <cell r="A41">
            <v>38565</v>
          </cell>
          <cell r="B41">
            <v>89558909.9639634</v>
          </cell>
          <cell r="C41">
            <v>3955157.46472713</v>
          </cell>
          <cell r="D41">
            <v>413990.894006882</v>
          </cell>
          <cell r="E41">
            <v>3541166.57072024</v>
          </cell>
          <cell r="F41">
            <v>86017743.3932432</v>
          </cell>
        </row>
        <row r="42">
          <cell r="A42">
            <v>38596</v>
          </cell>
          <cell r="B42">
            <v>86017743.3932432</v>
          </cell>
          <cell r="C42">
            <v>3955157.46472713</v>
          </cell>
          <cell r="D42">
            <v>397973.747609668</v>
          </cell>
          <cell r="E42">
            <v>3557183.71711746</v>
          </cell>
          <cell r="F42">
            <v>82460559.6761257</v>
          </cell>
        </row>
        <row r="43">
          <cell r="A43">
            <v>38626</v>
          </cell>
          <cell r="B43">
            <v>82460559.6761257</v>
          </cell>
          <cell r="C43">
            <v>3955157.46472713</v>
          </cell>
          <cell r="D43">
            <v>381884.153623903</v>
          </cell>
          <cell r="E43">
            <v>3573273.31110322</v>
          </cell>
          <cell r="F43">
            <v>78887286.3650225</v>
          </cell>
        </row>
        <row r="44">
          <cell r="A44">
            <v>38657</v>
          </cell>
          <cell r="B44">
            <v>78887286.3650225</v>
          </cell>
          <cell r="C44">
            <v>3955157.46472713</v>
          </cell>
          <cell r="D44">
            <v>365721.784359936</v>
          </cell>
          <cell r="E44">
            <v>3589435.68036719</v>
          </cell>
          <cell r="F44">
            <v>75297850.6846553</v>
          </cell>
        </row>
        <row r="45">
          <cell r="A45">
            <v>38687</v>
          </cell>
          <cell r="B45">
            <v>75297850.6846553</v>
          </cell>
          <cell r="C45">
            <v>3955157.46472713</v>
          </cell>
          <cell r="D45">
            <v>349486.310645936</v>
          </cell>
          <cell r="E45">
            <v>3605671.15408119</v>
          </cell>
          <cell r="F45">
            <v>71692179.5305741</v>
          </cell>
        </row>
        <row r="46">
          <cell r="A46">
            <v>38718</v>
          </cell>
          <cell r="B46">
            <v>71692179.5305741</v>
          </cell>
          <cell r="C46">
            <v>3955157.46472713</v>
          </cell>
          <cell r="D46">
            <v>333177.401821187</v>
          </cell>
          <cell r="E46">
            <v>3621980.06290594</v>
          </cell>
          <cell r="F46">
            <v>68070199.4676682</v>
          </cell>
        </row>
        <row r="47">
          <cell r="A47">
            <v>38749</v>
          </cell>
          <cell r="B47">
            <v>68070199.4676682</v>
          </cell>
          <cell r="C47">
            <v>3955157.46472713</v>
          </cell>
          <cell r="D47">
            <v>316794.725729349</v>
          </cell>
          <cell r="E47">
            <v>3638362.73899778</v>
          </cell>
          <cell r="F47">
            <v>64431836.7286704</v>
          </cell>
        </row>
        <row r="48">
          <cell r="A48">
            <v>38777</v>
          </cell>
          <cell r="B48">
            <v>64431836.7286704</v>
          </cell>
          <cell r="C48">
            <v>3955157.46472713</v>
          </cell>
          <cell r="D48">
            <v>300337.948711701</v>
          </cell>
          <cell r="E48">
            <v>3654819.51601543</v>
          </cell>
          <cell r="F48">
            <v>60777017.212655</v>
          </cell>
        </row>
        <row r="49">
          <cell r="A49">
            <v>38808</v>
          </cell>
          <cell r="B49">
            <v>60777017.212655</v>
          </cell>
          <cell r="C49">
            <v>3955157.46472713</v>
          </cell>
          <cell r="D49">
            <v>283806.735600338</v>
          </cell>
          <cell r="E49">
            <v>3671350.72912679</v>
          </cell>
          <cell r="F49">
            <v>57105666.4835282</v>
          </cell>
        </row>
        <row r="50">
          <cell r="A50">
            <v>38838</v>
          </cell>
          <cell r="B50">
            <v>57105666.4835282</v>
          </cell>
          <cell r="C50">
            <v>3955157.46472713</v>
          </cell>
          <cell r="D50">
            <v>267200.749711349</v>
          </cell>
          <cell r="E50">
            <v>3687956.71501578</v>
          </cell>
          <cell r="F50">
            <v>53417709.7685124</v>
          </cell>
        </row>
        <row r="51">
          <cell r="A51">
            <v>38869</v>
          </cell>
          <cell r="B51">
            <v>53417709.7685124</v>
          </cell>
          <cell r="C51">
            <v>3955157.46472713</v>
          </cell>
          <cell r="D51">
            <v>250519.652837959</v>
          </cell>
          <cell r="E51">
            <v>3704637.81188917</v>
          </cell>
          <cell r="F51">
            <v>49713071.9566233</v>
          </cell>
        </row>
        <row r="52">
          <cell r="A52">
            <v>38899</v>
          </cell>
          <cell r="B52">
            <v>49713071.9566233</v>
          </cell>
          <cell r="C52">
            <v>3955157.46472713</v>
          </cell>
          <cell r="D52">
            <v>233763.105243641</v>
          </cell>
          <cell r="E52">
            <v>3721394.35948349</v>
          </cell>
          <cell r="F52">
            <v>45991677.5971398</v>
          </cell>
        </row>
        <row r="53">
          <cell r="A53">
            <v>38930</v>
          </cell>
          <cell r="B53">
            <v>45991677.5971398</v>
          </cell>
          <cell r="C53">
            <v>3955157.46472713</v>
          </cell>
          <cell r="D53">
            <v>216930.765655196</v>
          </cell>
          <cell r="E53">
            <v>3738226.69907193</v>
          </cell>
          <cell r="F53">
            <v>42253450.8980678</v>
          </cell>
        </row>
        <row r="54">
          <cell r="A54">
            <v>38961</v>
          </cell>
          <cell r="B54">
            <v>42253450.8980678</v>
          </cell>
          <cell r="C54">
            <v>3955157.46472713</v>
          </cell>
          <cell r="D54">
            <v>200022.291255804</v>
          </cell>
          <cell r="E54">
            <v>3755135.17347132</v>
          </cell>
          <cell r="F54">
            <v>38498315.7245965</v>
          </cell>
        </row>
        <row r="55">
          <cell r="A55">
            <v>38991</v>
          </cell>
          <cell r="B55">
            <v>38498315.7245965</v>
          </cell>
          <cell r="C55">
            <v>3955157.46472713</v>
          </cell>
          <cell r="D55">
            <v>183037.337678039</v>
          </cell>
          <cell r="E55">
            <v>3772120.12704909</v>
          </cell>
          <cell r="F55">
            <v>34726195.5975474</v>
          </cell>
        </row>
        <row r="56">
          <cell r="A56">
            <v>39022</v>
          </cell>
          <cell r="B56">
            <v>34726195.5975474</v>
          </cell>
          <cell r="C56">
            <v>3955157.46472713</v>
          </cell>
          <cell r="D56">
            <v>165975.55899686</v>
          </cell>
          <cell r="E56">
            <v>3789181.90573027</v>
          </cell>
          <cell r="F56">
            <v>30937013.6918172</v>
          </cell>
        </row>
        <row r="57">
          <cell r="A57">
            <v>39052</v>
          </cell>
          <cell r="B57">
            <v>30937013.6918172</v>
          </cell>
          <cell r="C57">
            <v>3955157.46472713</v>
          </cell>
          <cell r="D57">
            <v>148836.60772256</v>
          </cell>
          <cell r="E57">
            <v>3806320.85700457</v>
          </cell>
          <cell r="F57">
            <v>27130692.8348126</v>
          </cell>
        </row>
        <row r="58">
          <cell r="A58">
            <v>39083</v>
          </cell>
          <cell r="B58">
            <v>27130692.8348126</v>
          </cell>
          <cell r="C58">
            <v>3955157.46472713</v>
          </cell>
          <cell r="D58">
            <v>131620.134793694</v>
          </cell>
          <cell r="E58">
            <v>3823537.32993343</v>
          </cell>
          <cell r="F58">
            <v>23307155.5048792</v>
          </cell>
        </row>
        <row r="59">
          <cell r="A59">
            <v>39114</v>
          </cell>
          <cell r="B59">
            <v>23307155.5048792</v>
          </cell>
          <cell r="C59">
            <v>3955157.46472713</v>
          </cell>
          <cell r="D59">
            <v>114325.789569968</v>
          </cell>
          <cell r="E59">
            <v>3840831.67515716</v>
          </cell>
          <cell r="F59">
            <v>19466323.829722</v>
          </cell>
        </row>
        <row r="60">
          <cell r="A60">
            <v>39142</v>
          </cell>
          <cell r="B60">
            <v>19466323.829722</v>
          </cell>
          <cell r="C60">
            <v>3955157.46472713</v>
          </cell>
          <cell r="D60">
            <v>96953.219825096</v>
          </cell>
          <cell r="E60">
            <v>3858204.24490203</v>
          </cell>
          <cell r="F60">
            <v>15608119.58482</v>
          </cell>
        </row>
        <row r="61">
          <cell r="A61">
            <v>39173</v>
          </cell>
          <cell r="B61">
            <v>15608119.58482</v>
          </cell>
          <cell r="C61">
            <v>3955157.46472713</v>
          </cell>
          <cell r="D61">
            <v>79502.0717396285</v>
          </cell>
          <cell r="E61">
            <v>3875655.3929875</v>
          </cell>
          <cell r="F61">
            <v>11732464.1918325</v>
          </cell>
        </row>
        <row r="62">
          <cell r="A62">
            <v>39203</v>
          </cell>
          <cell r="B62">
            <v>11732464.1918325</v>
          </cell>
          <cell r="C62">
            <v>3955157.46472713</v>
          </cell>
          <cell r="D62">
            <v>61971.9898937455</v>
          </cell>
          <cell r="E62">
            <v>3893185.47483338</v>
          </cell>
          <cell r="F62">
            <v>7839278.71699909</v>
          </cell>
        </row>
        <row r="63">
          <cell r="A63">
            <v>39234</v>
          </cell>
          <cell r="B63">
            <v>7839278.71699909</v>
          </cell>
          <cell r="C63">
            <v>3955157.46472713</v>
          </cell>
          <cell r="D63">
            <v>44362.6172600182</v>
          </cell>
          <cell r="E63">
            <v>3910794.84746711</v>
          </cell>
          <cell r="F63">
            <v>3928483.86953199</v>
          </cell>
        </row>
        <row r="64">
          <cell r="A64">
            <v>39264</v>
          </cell>
          <cell r="B64">
            <v>3928483.86953199</v>
          </cell>
          <cell r="C64">
            <v>3955157.46472713</v>
          </cell>
          <cell r="D64">
            <v>26673.5951961371</v>
          </cell>
          <cell r="E64">
            <v>3928483.86953099</v>
          </cell>
          <cell r="F64">
            <v>9.97446477413177E-07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14756374.1881588</v>
          </cell>
          <cell r="F34">
            <v>14756374.1881588</v>
          </cell>
        </row>
        <row r="35">
          <cell r="A35">
            <v>37834</v>
          </cell>
          <cell r="B35">
            <v>14756374.1881588</v>
          </cell>
          <cell r="C35">
            <v>343454.48079487</v>
          </cell>
          <cell r="D35">
            <v>66895.5629863198</v>
          </cell>
          <cell r="E35">
            <v>276558.91780855</v>
          </cell>
          <cell r="F35">
            <v>14479815.2703502</v>
          </cell>
        </row>
        <row r="36">
          <cell r="A36">
            <v>37865</v>
          </cell>
          <cell r="B36">
            <v>14479815.2703502</v>
          </cell>
          <cell r="C36">
            <v>343454.48079487</v>
          </cell>
          <cell r="D36">
            <v>66268.6961059537</v>
          </cell>
          <cell r="E36">
            <v>277185.784688916</v>
          </cell>
          <cell r="F36">
            <v>14202629.4856613</v>
          </cell>
        </row>
        <row r="37">
          <cell r="A37">
            <v>37895</v>
          </cell>
          <cell r="B37">
            <v>14202629.4856613</v>
          </cell>
          <cell r="C37">
            <v>343454.48079487</v>
          </cell>
          <cell r="D37">
            <v>65013.5414469595</v>
          </cell>
          <cell r="E37">
            <v>278440.93934791</v>
          </cell>
          <cell r="F37">
            <v>13924188.5463134</v>
          </cell>
        </row>
        <row r="38">
          <cell r="A38">
            <v>37926</v>
          </cell>
          <cell r="B38">
            <v>13924188.5463134</v>
          </cell>
          <cell r="C38">
            <v>343454.48079487</v>
          </cell>
          <cell r="D38">
            <v>63754.120872476</v>
          </cell>
          <cell r="E38">
            <v>279700.359922394</v>
          </cell>
          <cell r="F38">
            <v>13644488.186391</v>
          </cell>
        </row>
        <row r="39">
          <cell r="A39">
            <v>37956</v>
          </cell>
          <cell r="B39">
            <v>13644488.186391</v>
          </cell>
          <cell r="C39">
            <v>343454.48079487</v>
          </cell>
          <cell r="D39">
            <v>62489.00059413</v>
          </cell>
          <cell r="E39">
            <v>280965.48020074</v>
          </cell>
          <cell r="F39">
            <v>13363522.7061903</v>
          </cell>
        </row>
        <row r="40">
          <cell r="A40">
            <v>37987</v>
          </cell>
          <cell r="B40">
            <v>13363522.7061903</v>
          </cell>
          <cell r="C40">
            <v>343454.48079487</v>
          </cell>
          <cell r="D40">
            <v>61218.1580231842</v>
          </cell>
          <cell r="E40">
            <v>282236.322771686</v>
          </cell>
          <cell r="F40">
            <v>13081286.3834186</v>
          </cell>
        </row>
        <row r="41">
          <cell r="A41">
            <v>38018</v>
          </cell>
          <cell r="B41">
            <v>13081286.3834186</v>
          </cell>
          <cell r="C41">
            <v>343454.48079487</v>
          </cell>
          <cell r="D41">
            <v>59941.5672697801</v>
          </cell>
          <cell r="E41">
            <v>283512.91352509</v>
          </cell>
          <cell r="F41">
            <v>12797773.4698935</v>
          </cell>
        </row>
        <row r="42">
          <cell r="A42">
            <v>38047</v>
          </cell>
          <cell r="B42">
            <v>12797773.4698935</v>
          </cell>
          <cell r="C42">
            <v>343454.48079487</v>
          </cell>
          <cell r="D42">
            <v>58659.202334174</v>
          </cell>
          <cell r="E42">
            <v>284795.278460696</v>
          </cell>
          <cell r="F42">
            <v>12512978.1914328</v>
          </cell>
        </row>
        <row r="43">
          <cell r="A43">
            <v>38078</v>
          </cell>
          <cell r="B43">
            <v>12512978.1914328</v>
          </cell>
          <cell r="C43">
            <v>343454.48079487</v>
          </cell>
          <cell r="D43">
            <v>57371.0370990063</v>
          </cell>
          <cell r="E43">
            <v>286083.443695864</v>
          </cell>
          <cell r="F43">
            <v>12226894.7477369</v>
          </cell>
        </row>
        <row r="44">
          <cell r="A44">
            <v>38108</v>
          </cell>
          <cell r="B44">
            <v>12226894.7477369</v>
          </cell>
          <cell r="C44">
            <v>343454.48079487</v>
          </cell>
          <cell r="D44">
            <v>56077.0453287847</v>
          </cell>
          <cell r="E44">
            <v>287377.435466085</v>
          </cell>
          <cell r="F44">
            <v>11939517.3122708</v>
          </cell>
        </row>
        <row r="45">
          <cell r="A45">
            <v>38139</v>
          </cell>
          <cell r="B45">
            <v>11939517.3122708</v>
          </cell>
          <cell r="C45">
            <v>343454.48079487</v>
          </cell>
          <cell r="D45">
            <v>54777.200669351</v>
          </cell>
          <cell r="E45">
            <v>288677.280125519</v>
          </cell>
          <cell r="F45">
            <v>11650840.0321453</v>
          </cell>
        </row>
        <row r="46">
          <cell r="A46">
            <v>38169</v>
          </cell>
          <cell r="B46">
            <v>11650840.0321453</v>
          </cell>
          <cell r="C46">
            <v>343454.48079487</v>
          </cell>
          <cell r="D46">
            <v>53471.4766473433</v>
          </cell>
          <cell r="E46">
            <v>289983.004147527</v>
          </cell>
          <cell r="F46">
            <v>11360857.0279978</v>
          </cell>
        </row>
        <row r="47">
          <cell r="A47">
            <v>38200</v>
          </cell>
          <cell r="B47">
            <v>11360857.0279978</v>
          </cell>
          <cell r="C47">
            <v>343454.48079487</v>
          </cell>
          <cell r="D47">
            <v>52159.8466696578</v>
          </cell>
          <cell r="E47">
            <v>291294.634125212</v>
          </cell>
          <cell r="F47">
            <v>11069562.3938726</v>
          </cell>
        </row>
        <row r="48">
          <cell r="A48">
            <v>38231</v>
          </cell>
          <cell r="B48">
            <v>11069562.3938726</v>
          </cell>
          <cell r="C48">
            <v>343454.48079487</v>
          </cell>
          <cell r="D48">
            <v>50842.2840229062</v>
          </cell>
          <cell r="E48">
            <v>292612.196771964</v>
          </cell>
          <cell r="F48">
            <v>10776950.1971006</v>
          </cell>
        </row>
        <row r="49">
          <cell r="A49">
            <v>38261</v>
          </cell>
          <cell r="B49">
            <v>10776950.1971006</v>
          </cell>
          <cell r="C49">
            <v>343454.48079487</v>
          </cell>
          <cell r="D49">
            <v>49518.7618728726</v>
          </cell>
          <cell r="E49">
            <v>293935.718921997</v>
          </cell>
          <cell r="F49">
            <v>10483014.4781786</v>
          </cell>
        </row>
        <row r="50">
          <cell r="A50">
            <v>38292</v>
          </cell>
          <cell r="B50">
            <v>10483014.4781786</v>
          </cell>
          <cell r="C50">
            <v>343454.48079487</v>
          </cell>
          <cell r="D50">
            <v>48189.2532639663</v>
          </cell>
          <cell r="E50">
            <v>295265.227530904</v>
          </cell>
          <cell r="F50">
            <v>10187749.2506477</v>
          </cell>
        </row>
        <row r="51">
          <cell r="A51">
            <v>38322</v>
          </cell>
          <cell r="B51">
            <v>10187749.2506477</v>
          </cell>
          <cell r="C51">
            <v>343454.48079487</v>
          </cell>
          <cell r="D51">
            <v>46853.7311186731</v>
          </cell>
          <cell r="E51">
            <v>296600.749676197</v>
          </cell>
          <cell r="F51">
            <v>9891148.50097153</v>
          </cell>
        </row>
        <row r="52">
          <cell r="A52">
            <v>38353</v>
          </cell>
          <cell r="B52">
            <v>9891148.50097153</v>
          </cell>
          <cell r="C52">
            <v>343454.48079487</v>
          </cell>
          <cell r="D52">
            <v>45512.1682370036</v>
          </cell>
          <cell r="E52">
            <v>297942.312557866</v>
          </cell>
          <cell r="F52">
            <v>9593206.18841366</v>
          </cell>
        </row>
        <row r="53">
          <cell r="A53">
            <v>38384</v>
          </cell>
          <cell r="B53">
            <v>9593206.18841366</v>
          </cell>
          <cell r="C53">
            <v>343454.48079487</v>
          </cell>
          <cell r="D53">
            <v>44164.5372959398</v>
          </cell>
          <cell r="E53">
            <v>299289.94349893</v>
          </cell>
          <cell r="F53">
            <v>9293916.24491473</v>
          </cell>
        </row>
        <row r="54">
          <cell r="A54">
            <v>38412</v>
          </cell>
          <cell r="B54">
            <v>9293916.24491473</v>
          </cell>
          <cell r="C54">
            <v>343454.48079487</v>
          </cell>
          <cell r="D54">
            <v>42810.8108488777</v>
          </cell>
          <cell r="E54">
            <v>300643.669945992</v>
          </cell>
          <cell r="F54">
            <v>8993272.57496874</v>
          </cell>
        </row>
        <row r="55">
          <cell r="A55">
            <v>38443</v>
          </cell>
          <cell r="B55">
            <v>8993272.57496874</v>
          </cell>
          <cell r="C55">
            <v>343454.48079487</v>
          </cell>
          <cell r="D55">
            <v>41450.9613250692</v>
          </cell>
          <cell r="E55">
            <v>302003.519469801</v>
          </cell>
          <cell r="F55">
            <v>8691269.05549894</v>
          </cell>
        </row>
        <row r="56">
          <cell r="A56">
            <v>38473</v>
          </cell>
          <cell r="B56">
            <v>8691269.05549894</v>
          </cell>
          <cell r="C56">
            <v>343454.48079487</v>
          </cell>
          <cell r="D56">
            <v>40084.9610290601</v>
          </cell>
          <cell r="E56">
            <v>303369.51976581</v>
          </cell>
          <cell r="F56">
            <v>8387899.53573313</v>
          </cell>
        </row>
        <row r="57">
          <cell r="A57">
            <v>38504</v>
          </cell>
          <cell r="B57">
            <v>8387899.53573313</v>
          </cell>
          <cell r="C57">
            <v>343454.48079487</v>
          </cell>
          <cell r="D57">
            <v>38712.782140126</v>
          </cell>
          <cell r="E57">
            <v>304741.698654744</v>
          </cell>
          <cell r="F57">
            <v>8083157.83707839</v>
          </cell>
        </row>
        <row r="58">
          <cell r="A58">
            <v>38534</v>
          </cell>
          <cell r="B58">
            <v>8083157.83707839</v>
          </cell>
          <cell r="C58">
            <v>343454.48079487</v>
          </cell>
          <cell r="D58">
            <v>37334.3967117061</v>
          </cell>
          <cell r="E58">
            <v>306120.084083164</v>
          </cell>
          <cell r="F58">
            <v>7777037.75299522</v>
          </cell>
        </row>
        <row r="59">
          <cell r="A59">
            <v>38565</v>
          </cell>
          <cell r="B59">
            <v>7777037.75299522</v>
          </cell>
          <cell r="C59">
            <v>343454.48079487</v>
          </cell>
          <cell r="D59">
            <v>35949.7766708335</v>
          </cell>
          <cell r="E59">
            <v>307504.704124036</v>
          </cell>
          <cell r="F59">
            <v>7469533.04887118</v>
          </cell>
        </row>
        <row r="60">
          <cell r="A60">
            <v>38596</v>
          </cell>
          <cell r="B60">
            <v>7469533.04887118</v>
          </cell>
          <cell r="C60">
            <v>343454.48079487</v>
          </cell>
          <cell r="D60">
            <v>34558.8938175638</v>
          </cell>
          <cell r="E60">
            <v>308895.586977306</v>
          </cell>
          <cell r="F60">
            <v>7160637.46189388</v>
          </cell>
        </row>
        <row r="61">
          <cell r="A61">
            <v>38626</v>
          </cell>
          <cell r="B61">
            <v>7160637.46189388</v>
          </cell>
          <cell r="C61">
            <v>343454.48079487</v>
          </cell>
          <cell r="D61">
            <v>33161.7198244008</v>
          </cell>
          <cell r="E61">
            <v>310292.760970469</v>
          </cell>
          <cell r="F61">
            <v>6850344.70092341</v>
          </cell>
        </row>
        <row r="62">
          <cell r="A62">
            <v>38657</v>
          </cell>
          <cell r="B62">
            <v>6850344.70092341</v>
          </cell>
          <cell r="C62">
            <v>343454.48079487</v>
          </cell>
          <cell r="D62">
            <v>31758.2262357192</v>
          </cell>
          <cell r="E62">
            <v>311696.254559151</v>
          </cell>
          <cell r="F62">
            <v>6538648.44636426</v>
          </cell>
        </row>
        <row r="63">
          <cell r="A63">
            <v>38687</v>
          </cell>
          <cell r="B63">
            <v>6538648.44636426</v>
          </cell>
          <cell r="C63">
            <v>343454.48079487</v>
          </cell>
          <cell r="D63">
            <v>30348.3844671854</v>
          </cell>
          <cell r="E63">
            <v>313106.096327685</v>
          </cell>
          <cell r="F63">
            <v>6225542.35003657</v>
          </cell>
        </row>
        <row r="64">
          <cell r="A64">
            <v>38718</v>
          </cell>
          <cell r="B64">
            <v>6225542.35003657</v>
          </cell>
          <cell r="C64">
            <v>343454.48079487</v>
          </cell>
          <cell r="D64">
            <v>28932.1658051752</v>
          </cell>
          <cell r="E64">
            <v>314522.314989695</v>
          </cell>
          <cell r="F64">
            <v>5911020.03504688</v>
          </cell>
        </row>
        <row r="65">
          <cell r="A65">
            <v>38749</v>
          </cell>
          <cell r="B65">
            <v>5911020.03504688</v>
          </cell>
          <cell r="C65">
            <v>343454.48079487</v>
          </cell>
          <cell r="D65">
            <v>27509.5414061892</v>
          </cell>
          <cell r="E65">
            <v>315944.939388681</v>
          </cell>
          <cell r="F65">
            <v>5595075.0956582</v>
          </cell>
        </row>
        <row r="66">
          <cell r="A66">
            <v>38777</v>
          </cell>
          <cell r="B66">
            <v>5595075.0956582</v>
          </cell>
          <cell r="C66">
            <v>343454.48079487</v>
          </cell>
          <cell r="D66">
            <v>26080.4822962648</v>
          </cell>
          <cell r="E66">
            <v>317373.998498605</v>
          </cell>
          <cell r="F66">
            <v>5277701.09715959</v>
          </cell>
        </row>
        <row r="67">
          <cell r="A67">
            <v>38808</v>
          </cell>
          <cell r="B67">
            <v>5277701.09715959</v>
          </cell>
          <cell r="C67">
            <v>343454.48079487</v>
          </cell>
          <cell r="D67">
            <v>24644.959370387</v>
          </cell>
          <cell r="E67">
            <v>318809.521424483</v>
          </cell>
          <cell r="F67">
            <v>4958891.57573511</v>
          </cell>
        </row>
        <row r="68">
          <cell r="A68">
            <v>38838</v>
          </cell>
          <cell r="B68">
            <v>4958891.57573511</v>
          </cell>
          <cell r="C68">
            <v>343454.48079487</v>
          </cell>
          <cell r="D68">
            <v>23202.9433918947</v>
          </cell>
          <cell r="E68">
            <v>320251.537402975</v>
          </cell>
          <cell r="F68">
            <v>4638640.03833213</v>
          </cell>
        </row>
        <row r="69">
          <cell r="A69">
            <v>38869</v>
          </cell>
          <cell r="B69">
            <v>4638640.03833213</v>
          </cell>
          <cell r="C69">
            <v>343454.48079487</v>
          </cell>
          <cell r="D69">
            <v>21754.4049918858</v>
          </cell>
          <cell r="E69">
            <v>321700.075802984</v>
          </cell>
          <cell r="F69">
            <v>4316939.96252915</v>
          </cell>
        </row>
        <row r="70">
          <cell r="A70">
            <v>38899</v>
          </cell>
          <cell r="B70">
            <v>4316939.96252915</v>
          </cell>
          <cell r="C70">
            <v>343454.48079487</v>
          </cell>
          <cell r="D70">
            <v>20299.3146686189</v>
          </cell>
          <cell r="E70">
            <v>323155.166126251</v>
          </cell>
          <cell r="F70">
            <v>3993784.7964029</v>
          </cell>
        </row>
        <row r="71">
          <cell r="A71">
            <v>38930</v>
          </cell>
          <cell r="B71">
            <v>3993784.7964029</v>
          </cell>
          <cell r="C71">
            <v>343454.48079487</v>
          </cell>
          <cell r="D71">
            <v>18837.6427869126</v>
          </cell>
          <cell r="E71">
            <v>324616.838007957</v>
          </cell>
          <cell r="F71">
            <v>3669167.95839494</v>
          </cell>
        </row>
        <row r="72">
          <cell r="A72">
            <v>38961</v>
          </cell>
          <cell r="B72">
            <v>3669167.95839494</v>
          </cell>
          <cell r="C72">
            <v>343454.48079487</v>
          </cell>
          <cell r="D72">
            <v>17369.3595775418</v>
          </cell>
          <cell r="E72">
            <v>326085.121217328</v>
          </cell>
          <cell r="F72">
            <v>3343082.83717761</v>
          </cell>
        </row>
        <row r="73">
          <cell r="A73">
            <v>38991</v>
          </cell>
          <cell r="B73">
            <v>3343082.83717761</v>
          </cell>
          <cell r="C73">
            <v>343454.48079487</v>
          </cell>
          <cell r="D73">
            <v>15894.4351366311</v>
          </cell>
          <cell r="E73">
            <v>327560.045658239</v>
          </cell>
          <cell r="F73">
            <v>3015522.79151938</v>
          </cell>
        </row>
        <row r="74">
          <cell r="A74">
            <v>39022</v>
          </cell>
          <cell r="B74">
            <v>3015522.79151938</v>
          </cell>
          <cell r="C74">
            <v>343454.48079487</v>
          </cell>
          <cell r="D74">
            <v>14412.8394250465</v>
          </cell>
          <cell r="E74">
            <v>329041.641369823</v>
          </cell>
          <cell r="F74">
            <v>2686481.15014955</v>
          </cell>
        </row>
        <row r="75">
          <cell r="A75">
            <v>39052</v>
          </cell>
          <cell r="B75">
            <v>2686481.15014955</v>
          </cell>
          <cell r="C75">
            <v>343454.48079487</v>
          </cell>
          <cell r="D75">
            <v>12924.5422677829</v>
          </cell>
          <cell r="E75">
            <v>330529.938527087</v>
          </cell>
          <cell r="F75">
            <v>2355951.21162246</v>
          </cell>
        </row>
        <row r="76">
          <cell r="A76">
            <v>39083</v>
          </cell>
          <cell r="B76">
            <v>2355951.21162246</v>
          </cell>
          <cell r="C76">
            <v>343454.48079487</v>
          </cell>
          <cell r="D76">
            <v>11429.5133533499</v>
          </cell>
          <cell r="E76">
            <v>332024.96744152</v>
          </cell>
          <cell r="F76">
            <v>2023926.24418094</v>
          </cell>
        </row>
        <row r="77">
          <cell r="A77">
            <v>39114</v>
          </cell>
          <cell r="B77">
            <v>2023926.24418094</v>
          </cell>
          <cell r="C77">
            <v>343454.48079487</v>
          </cell>
          <cell r="D77">
            <v>9927.72223315439</v>
          </cell>
          <cell r="E77">
            <v>333526.758561716</v>
          </cell>
          <cell r="F77">
            <v>1690399.48561923</v>
          </cell>
        </row>
        <row r="78">
          <cell r="A78">
            <v>39142</v>
          </cell>
          <cell r="B78">
            <v>1690399.48561923</v>
          </cell>
          <cell r="C78">
            <v>343454.48079487</v>
          </cell>
          <cell r="D78">
            <v>8419.13832088039</v>
          </cell>
          <cell r="E78">
            <v>335035.34247399</v>
          </cell>
          <cell r="F78">
            <v>1355364.14314524</v>
          </cell>
        </row>
        <row r="79">
          <cell r="A79">
            <v>39173</v>
          </cell>
          <cell r="B79">
            <v>1355364.14314524</v>
          </cell>
          <cell r="C79">
            <v>343454.48079487</v>
          </cell>
          <cell r="D79">
            <v>6903.73089186613</v>
          </cell>
          <cell r="E79">
            <v>336550.749903004</v>
          </cell>
          <cell r="F79">
            <v>1018813.39324224</v>
          </cell>
        </row>
        <row r="80">
          <cell r="A80">
            <v>39203</v>
          </cell>
          <cell r="B80">
            <v>1018813.39324224</v>
          </cell>
          <cell r="C80">
            <v>343454.48079487</v>
          </cell>
          <cell r="D80">
            <v>5381.46908247828</v>
          </cell>
          <cell r="E80">
            <v>338073.011712392</v>
          </cell>
          <cell r="F80">
            <v>680740.381529844</v>
          </cell>
        </row>
        <row r="81">
          <cell r="A81">
            <v>39234</v>
          </cell>
          <cell r="B81">
            <v>680740.381529844</v>
          </cell>
          <cell r="C81">
            <v>343454.48079487</v>
          </cell>
          <cell r="D81">
            <v>3852.32188948338</v>
          </cell>
          <cell r="E81">
            <v>339602.158905387</v>
          </cell>
          <cell r="F81">
            <v>341138.222624458</v>
          </cell>
        </row>
        <row r="82">
          <cell r="A82">
            <v>39264</v>
          </cell>
          <cell r="B82">
            <v>341138.222624458</v>
          </cell>
          <cell r="C82">
            <v>343454.48079487</v>
          </cell>
          <cell r="D82">
            <v>2316.25816941642</v>
          </cell>
          <cell r="E82">
            <v>341138.222625454</v>
          </cell>
          <cell r="F82">
            <v>-9.95758455246687E-07</v>
          </cell>
        </row>
      </sheetData>
      <sheetData sheetId="3">
        <row r="28">
          <cell r="B28" t="str">
            <v>STARTING</v>
          </cell>
        </row>
      </sheetData>
      <sheetData sheetId="4">
        <row r="1">
          <cell r="A1" t="str">
            <v>Period</v>
          </cell>
        </row>
        <row r="28">
          <cell r="A28">
            <v>35278</v>
          </cell>
          <cell r="B28" t="str">
            <v>STARTING</v>
          </cell>
          <cell r="C28">
            <v>166462.75</v>
          </cell>
          <cell r="D28">
            <v>40158.7073311629</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40695.941593682</v>
          </cell>
          <cell r="E30">
            <v>125766.808406318</v>
          </cell>
          <cell r="F30">
            <v>3914516.197952</v>
          </cell>
        </row>
        <row r="31">
          <cell r="A31">
            <v>37834</v>
          </cell>
          <cell r="B31">
            <v>3914516.197952</v>
          </cell>
          <cell r="C31">
            <v>91110.3304366934</v>
          </cell>
          <cell r="D31">
            <v>17745.8067640491</v>
          </cell>
          <cell r="E31">
            <v>73364.5236726443</v>
          </cell>
          <cell r="F31">
            <v>3841151.67427936</v>
          </cell>
        </row>
        <row r="32">
          <cell r="A32">
            <v>37865</v>
          </cell>
          <cell r="B32">
            <v>3841151.67427936</v>
          </cell>
          <cell r="C32">
            <v>91110.3304366934</v>
          </cell>
          <cell r="D32">
            <v>17579.5138437244</v>
          </cell>
          <cell r="E32">
            <v>73530.816592969</v>
          </cell>
          <cell r="F32">
            <v>3767620.85768639</v>
          </cell>
        </row>
        <row r="33">
          <cell r="A33">
            <v>37895</v>
          </cell>
          <cell r="B33">
            <v>3767620.85768639</v>
          </cell>
          <cell r="C33">
            <v>91110.3304366934</v>
          </cell>
          <cell r="D33">
            <v>17246.5510724557</v>
          </cell>
          <cell r="E33">
            <v>73863.7793642377</v>
          </cell>
          <cell r="F33">
            <v>3693757.07832215</v>
          </cell>
        </row>
        <row r="34">
          <cell r="A34">
            <v>37926</v>
          </cell>
          <cell r="B34">
            <v>3693757.07832215</v>
          </cell>
          <cell r="C34">
            <v>91110.3304366934</v>
          </cell>
          <cell r="D34">
            <v>16912.4566549527</v>
          </cell>
          <cell r="E34">
            <v>74197.8737817407</v>
          </cell>
          <cell r="F34">
            <v>3619559.20454041</v>
          </cell>
        </row>
        <row r="35">
          <cell r="A35">
            <v>37956</v>
          </cell>
          <cell r="B35">
            <v>3619559.20454041</v>
          </cell>
          <cell r="C35">
            <v>91110.3304366934</v>
          </cell>
          <cell r="D35">
            <v>16576.8502411551</v>
          </cell>
          <cell r="E35">
            <v>74533.4801955383</v>
          </cell>
          <cell r="F35">
            <v>3545025.72434487</v>
          </cell>
        </row>
        <row r="36">
          <cell r="A36">
            <v>37987</v>
          </cell>
          <cell r="B36">
            <v>3545025.72434487</v>
          </cell>
          <cell r="C36">
            <v>91110.3304366934</v>
          </cell>
          <cell r="D36">
            <v>16239.7258388066</v>
          </cell>
          <cell r="E36">
            <v>74870.6045978868</v>
          </cell>
          <cell r="F36">
            <v>3470155.11974698</v>
          </cell>
        </row>
        <row r="37">
          <cell r="A37">
            <v>38018</v>
          </cell>
          <cell r="B37">
            <v>3470155.11974698</v>
          </cell>
          <cell r="C37">
            <v>91110.3304366934</v>
          </cell>
          <cell r="D37">
            <v>15901.0765799415</v>
          </cell>
          <cell r="E37">
            <v>75209.2538567519</v>
          </cell>
          <cell r="F37">
            <v>3394945.86589023</v>
          </cell>
        </row>
        <row r="38">
          <cell r="A38">
            <v>38047</v>
          </cell>
          <cell r="B38">
            <v>3394945.86589023</v>
          </cell>
          <cell r="C38">
            <v>91110.3304366934</v>
          </cell>
          <cell r="D38">
            <v>15560.8955674444</v>
          </cell>
          <cell r="E38">
            <v>75549.434869249</v>
          </cell>
          <cell r="F38">
            <v>3319396.43102098</v>
          </cell>
        </row>
        <row r="39">
          <cell r="A39">
            <v>38078</v>
          </cell>
          <cell r="B39">
            <v>3319396.43102098</v>
          </cell>
          <cell r="C39">
            <v>91110.3304366934</v>
          </cell>
          <cell r="D39">
            <v>15219.1758729987</v>
          </cell>
          <cell r="E39">
            <v>75891.1545636947</v>
          </cell>
          <cell r="F39">
            <v>3243505.27645729</v>
          </cell>
        </row>
        <row r="40">
          <cell r="A40">
            <v>38108</v>
          </cell>
          <cell r="B40">
            <v>3243505.27645729</v>
          </cell>
          <cell r="C40">
            <v>91110.3304366934</v>
          </cell>
          <cell r="D40">
            <v>14875.9105369507</v>
          </cell>
          <cell r="E40">
            <v>76234.4198997427</v>
          </cell>
          <cell r="F40">
            <v>3167270.85655755</v>
          </cell>
        </row>
        <row r="41">
          <cell r="A41">
            <v>38139</v>
          </cell>
          <cell r="B41">
            <v>3167270.85655755</v>
          </cell>
          <cell r="C41">
            <v>91110.3304366934</v>
          </cell>
          <cell r="D41">
            <v>14531.092568167</v>
          </cell>
          <cell r="E41">
            <v>76579.2378685265</v>
          </cell>
          <cell r="F41">
            <v>3090691.61868902</v>
          </cell>
        </row>
        <row r="42">
          <cell r="A42">
            <v>38169</v>
          </cell>
          <cell r="B42">
            <v>3090691.61868902</v>
          </cell>
          <cell r="C42">
            <v>91110.3304366934</v>
          </cell>
          <cell r="D42">
            <v>14184.7149438922</v>
          </cell>
          <cell r="E42">
            <v>76925.6154928012</v>
          </cell>
          <cell r="F42">
            <v>3013766.00319622</v>
          </cell>
        </row>
        <row r="43">
          <cell r="A43">
            <v>38200</v>
          </cell>
          <cell r="B43">
            <v>3013766.00319622</v>
          </cell>
          <cell r="C43">
            <v>91110.3304366934</v>
          </cell>
          <cell r="D43">
            <v>13836.7706096065</v>
          </cell>
          <cell r="E43">
            <v>77273.5598270869</v>
          </cell>
          <cell r="F43">
            <v>2936492.44336913</v>
          </cell>
        </row>
        <row r="44">
          <cell r="A44">
            <v>38231</v>
          </cell>
          <cell r="B44">
            <v>2936492.44336913</v>
          </cell>
          <cell r="C44">
            <v>91110.3304366934</v>
          </cell>
          <cell r="D44">
            <v>13487.2524788815</v>
          </cell>
          <cell r="E44">
            <v>77623.0779578119</v>
          </cell>
          <cell r="F44">
            <v>2858869.36541132</v>
          </cell>
        </row>
        <row r="45">
          <cell r="A45">
            <v>38261</v>
          </cell>
          <cell r="B45">
            <v>2858869.36541132</v>
          </cell>
          <cell r="C45">
            <v>91110.3304366934</v>
          </cell>
          <cell r="D45">
            <v>13136.1534332357</v>
          </cell>
          <cell r="E45">
            <v>77974.1770034577</v>
          </cell>
          <cell r="F45">
            <v>2780895.18840786</v>
          </cell>
        </row>
        <row r="46">
          <cell r="A46">
            <v>38292</v>
          </cell>
          <cell r="B46">
            <v>2780895.18840786</v>
          </cell>
          <cell r="C46">
            <v>91110.3304366934</v>
          </cell>
          <cell r="D46">
            <v>12783.4663219901</v>
          </cell>
          <cell r="E46">
            <v>78326.8641147033</v>
          </cell>
          <cell r="F46">
            <v>2702568.32429316</v>
          </cell>
        </row>
        <row r="47">
          <cell r="A47">
            <v>38322</v>
          </cell>
          <cell r="B47">
            <v>2702568.32429316</v>
          </cell>
          <cell r="C47">
            <v>91110.3304366934</v>
          </cell>
          <cell r="D47">
            <v>12429.1839621223</v>
          </cell>
          <cell r="E47">
            <v>78681.1464745711</v>
          </cell>
          <cell r="F47">
            <v>2623887.17781859</v>
          </cell>
        </row>
        <row r="48">
          <cell r="A48">
            <v>38353</v>
          </cell>
          <cell r="B48">
            <v>2623887.17781859</v>
          </cell>
          <cell r="C48">
            <v>91110.3304366934</v>
          </cell>
          <cell r="D48">
            <v>12073.29913812</v>
          </cell>
          <cell r="E48">
            <v>79037.0312985734</v>
          </cell>
          <cell r="F48">
            <v>2544850.14652001</v>
          </cell>
        </row>
        <row r="49">
          <cell r="A49">
            <v>38384</v>
          </cell>
          <cell r="B49">
            <v>2544850.14652001</v>
          </cell>
          <cell r="C49">
            <v>91110.3304366934</v>
          </cell>
          <cell r="D49">
            <v>11715.8046018342</v>
          </cell>
          <cell r="E49">
            <v>79394.5258348592</v>
          </cell>
          <cell r="F49">
            <v>2465455.62068515</v>
          </cell>
        </row>
        <row r="50">
          <cell r="A50">
            <v>38412</v>
          </cell>
          <cell r="B50">
            <v>2465455.62068515</v>
          </cell>
          <cell r="C50">
            <v>91110.3304366934</v>
          </cell>
          <cell r="D50">
            <v>11356.6930723317</v>
          </cell>
          <cell r="E50">
            <v>79753.6373643617</v>
          </cell>
          <cell r="F50">
            <v>2385701.98332079</v>
          </cell>
        </row>
        <row r="51">
          <cell r="A51">
            <v>38443</v>
          </cell>
          <cell r="B51">
            <v>2385701.98332079</v>
          </cell>
          <cell r="C51">
            <v>91110.3304366934</v>
          </cell>
          <cell r="D51">
            <v>10995.9572357468</v>
          </cell>
          <cell r="E51">
            <v>80114.3732009466</v>
          </cell>
          <cell r="F51">
            <v>2305587.61011985</v>
          </cell>
        </row>
        <row r="52">
          <cell r="A52">
            <v>38473</v>
          </cell>
          <cell r="B52">
            <v>2305587.61011985</v>
          </cell>
          <cell r="C52">
            <v>91110.3304366934</v>
          </cell>
          <cell r="D52">
            <v>10633.5897451321</v>
          </cell>
          <cell r="E52">
            <v>80476.7406915613</v>
          </cell>
          <cell r="F52">
            <v>2225110.86942828</v>
          </cell>
        </row>
        <row r="53">
          <cell r="A53">
            <v>38504</v>
          </cell>
          <cell r="B53">
            <v>2225110.86942828</v>
          </cell>
          <cell r="C53">
            <v>91110.3304366934</v>
          </cell>
          <cell r="D53">
            <v>10269.5832203091</v>
          </cell>
          <cell r="E53">
            <v>80840.7472163843</v>
          </cell>
          <cell r="F53">
            <v>2144270.1222119</v>
          </cell>
        </row>
        <row r="54">
          <cell r="A54">
            <v>38534</v>
          </cell>
          <cell r="B54">
            <v>2144270.1222119</v>
          </cell>
          <cell r="C54">
            <v>91110.3304366934</v>
          </cell>
          <cell r="D54">
            <v>9903.93024771775</v>
          </cell>
          <cell r="E54">
            <v>81206.4001889756</v>
          </cell>
          <cell r="F54">
            <v>2063063.72202292</v>
          </cell>
        </row>
        <row r="55">
          <cell r="A55">
            <v>38565</v>
          </cell>
          <cell r="B55">
            <v>2063063.72202292</v>
          </cell>
          <cell r="C55">
            <v>91110.3304366934</v>
          </cell>
          <cell r="D55">
            <v>9536.6233802656</v>
          </cell>
          <cell r="E55">
            <v>81573.7070564278</v>
          </cell>
          <cell r="F55">
            <v>1981490.0149665</v>
          </cell>
        </row>
        <row r="56">
          <cell r="A56">
            <v>38596</v>
          </cell>
          <cell r="B56">
            <v>1981490.0149665</v>
          </cell>
          <cell r="C56">
            <v>91110.3304366934</v>
          </cell>
          <cell r="D56">
            <v>9167.65513717602</v>
          </cell>
          <cell r="E56">
            <v>81942.6752995174</v>
          </cell>
          <cell r="F56">
            <v>1899547.33966698</v>
          </cell>
        </row>
        <row r="57">
          <cell r="A57">
            <v>38626</v>
          </cell>
          <cell r="B57">
            <v>1899547.33966698</v>
          </cell>
          <cell r="C57">
            <v>91110.3304366934</v>
          </cell>
          <cell r="D57">
            <v>8797.01800383588</v>
          </cell>
          <cell r="E57">
            <v>82313.3124328575</v>
          </cell>
          <cell r="F57">
            <v>1817234.02723412</v>
          </cell>
        </row>
        <row r="58">
          <cell r="A58">
            <v>38657</v>
          </cell>
          <cell r="B58">
            <v>1817234.02723412</v>
          </cell>
          <cell r="C58">
            <v>91110.3304366934</v>
          </cell>
          <cell r="D58">
            <v>8424.70443164249</v>
          </cell>
          <cell r="E58">
            <v>82685.6260050509</v>
          </cell>
          <cell r="F58">
            <v>1734548.40122907</v>
          </cell>
        </row>
        <row r="59">
          <cell r="A59">
            <v>38687</v>
          </cell>
          <cell r="B59">
            <v>1734548.40122907</v>
          </cell>
          <cell r="C59">
            <v>91110.3304366934</v>
          </cell>
          <cell r="D59">
            <v>8050.7068378499</v>
          </cell>
          <cell r="E59">
            <v>83059.6235988435</v>
          </cell>
          <cell r="F59">
            <v>1651488.77763023</v>
          </cell>
        </row>
        <row r="60">
          <cell r="A60">
            <v>38718</v>
          </cell>
          <cell r="B60">
            <v>1651488.77763023</v>
          </cell>
          <cell r="C60">
            <v>91110.3304366934</v>
          </cell>
          <cell r="D60">
            <v>7675.01760541441</v>
          </cell>
          <cell r="E60">
            <v>83435.312831279</v>
          </cell>
          <cell r="F60">
            <v>1568053.46479895</v>
          </cell>
        </row>
        <row r="61">
          <cell r="A61">
            <v>38749</v>
          </cell>
          <cell r="B61">
            <v>1568053.46479895</v>
          </cell>
          <cell r="C61">
            <v>91110.3304366934</v>
          </cell>
          <cell r="D61">
            <v>7297.62908283946</v>
          </cell>
          <cell r="E61">
            <v>83812.7013538539</v>
          </cell>
          <cell r="F61">
            <v>1484240.76344509</v>
          </cell>
        </row>
        <row r="62">
          <cell r="A62">
            <v>38777</v>
          </cell>
          <cell r="B62">
            <v>1484240.76344509</v>
          </cell>
          <cell r="C62">
            <v>91110.3304366934</v>
          </cell>
          <cell r="D62">
            <v>6918.53358401983</v>
          </cell>
          <cell r="E62">
            <v>84191.7968526736</v>
          </cell>
          <cell r="F62">
            <v>1400048.96659242</v>
          </cell>
        </row>
        <row r="63">
          <cell r="A63">
            <v>38808</v>
          </cell>
          <cell r="B63">
            <v>1400048.96659242</v>
          </cell>
          <cell r="C63">
            <v>91110.3304366934</v>
          </cell>
          <cell r="D63">
            <v>6537.72338808503</v>
          </cell>
          <cell r="E63">
            <v>84572.6070486084</v>
          </cell>
          <cell r="F63">
            <v>1315476.35954381</v>
          </cell>
        </row>
        <row r="64">
          <cell r="A64">
            <v>38838</v>
          </cell>
          <cell r="B64">
            <v>1315476.35954381</v>
          </cell>
          <cell r="C64">
            <v>91110.3304366934</v>
          </cell>
          <cell r="D64">
            <v>6155.19073924213</v>
          </cell>
          <cell r="E64">
            <v>84955.1396974513</v>
          </cell>
          <cell r="F64">
            <v>1230521.21984636</v>
          </cell>
        </row>
        <row r="65">
          <cell r="A65">
            <v>38869</v>
          </cell>
          <cell r="B65">
            <v>1230521.21984636</v>
          </cell>
          <cell r="C65">
            <v>91110.3304366934</v>
          </cell>
          <cell r="D65">
            <v>5770.92784661772</v>
          </cell>
          <cell r="E65">
            <v>85339.4025900757</v>
          </cell>
          <cell r="F65">
            <v>1145181.81725629</v>
          </cell>
        </row>
        <row r="66">
          <cell r="A66">
            <v>38899</v>
          </cell>
          <cell r="B66">
            <v>1145181.81725629</v>
          </cell>
          <cell r="C66">
            <v>91110.3304366934</v>
          </cell>
          <cell r="D66">
            <v>5384.92688409933</v>
          </cell>
          <cell r="E66">
            <v>85725.4035525941</v>
          </cell>
          <cell r="F66">
            <v>1059456.41370369</v>
          </cell>
        </row>
        <row r="67">
          <cell r="A67">
            <v>38930</v>
          </cell>
          <cell r="B67">
            <v>1059456.41370369</v>
          </cell>
          <cell r="C67">
            <v>91110.3304366934</v>
          </cell>
          <cell r="D67">
            <v>4997.17999017595</v>
          </cell>
          <cell r="E67">
            <v>86113.1504465175</v>
          </cell>
          <cell r="F67">
            <v>973343.263257174</v>
          </cell>
        </row>
        <row r="68">
          <cell r="A68">
            <v>38961</v>
          </cell>
          <cell r="B68">
            <v>973343.263257174</v>
          </cell>
          <cell r="C68">
            <v>91110.3304366934</v>
          </cell>
          <cell r="D68">
            <v>4607.67926777796</v>
          </cell>
          <cell r="E68">
            <v>86502.6511689154</v>
          </cell>
          <cell r="F68">
            <v>886840.612088258</v>
          </cell>
        </row>
        <row r="69">
          <cell r="A69">
            <v>38991</v>
          </cell>
          <cell r="B69">
            <v>886840.612088258</v>
          </cell>
          <cell r="C69">
            <v>91110.3304366934</v>
          </cell>
          <cell r="D69">
            <v>4216.41678411631</v>
          </cell>
          <cell r="E69">
            <v>86893.9136525771</v>
          </cell>
          <cell r="F69">
            <v>799946.698435681</v>
          </cell>
        </row>
        <row r="70">
          <cell r="A70">
            <v>39022</v>
          </cell>
          <cell r="B70">
            <v>799946.698435681</v>
          </cell>
          <cell r="C70">
            <v>91110.3304366934</v>
          </cell>
          <cell r="D70">
            <v>3823.38457052093</v>
          </cell>
          <cell r="E70">
            <v>87286.9458661725</v>
          </cell>
          <cell r="F70">
            <v>712659.752569509</v>
          </cell>
        </row>
        <row r="71">
          <cell r="A71">
            <v>39052</v>
          </cell>
          <cell r="B71">
            <v>712659.752569509</v>
          </cell>
          <cell r="C71">
            <v>91110.3304366934</v>
          </cell>
          <cell r="D71">
            <v>3428.57462227843</v>
          </cell>
          <cell r="E71">
            <v>87681.755814415</v>
          </cell>
          <cell r="F71">
            <v>624977.996755094</v>
          </cell>
        </row>
        <row r="72">
          <cell r="A72">
            <v>39083</v>
          </cell>
          <cell r="B72">
            <v>624977.996755094</v>
          </cell>
          <cell r="C72">
            <v>91110.3304366934</v>
          </cell>
          <cell r="D72">
            <v>3031.9788984691</v>
          </cell>
          <cell r="E72">
            <v>88078.3515382243</v>
          </cell>
          <cell r="F72">
            <v>536899.645216869</v>
          </cell>
        </row>
        <row r="73">
          <cell r="A73">
            <v>39114</v>
          </cell>
          <cell r="B73">
            <v>536899.645216869</v>
          </cell>
          <cell r="C73">
            <v>91110.3304366934</v>
          </cell>
          <cell r="D73">
            <v>2633.58932180312</v>
          </cell>
          <cell r="E73">
            <v>88476.7411148903</v>
          </cell>
          <cell r="F73">
            <v>448422.904101979</v>
          </cell>
        </row>
        <row r="74">
          <cell r="A74">
            <v>39142</v>
          </cell>
          <cell r="B74">
            <v>448422.904101979</v>
          </cell>
          <cell r="C74">
            <v>91110.3304366934</v>
          </cell>
          <cell r="D74">
            <v>2233.39777845606</v>
          </cell>
          <cell r="E74">
            <v>88876.9326582373</v>
          </cell>
          <cell r="F74">
            <v>359545.971443742</v>
          </cell>
        </row>
        <row r="75">
          <cell r="A75">
            <v>39173</v>
          </cell>
          <cell r="B75">
            <v>359545.971443742</v>
          </cell>
          <cell r="C75">
            <v>91110.3304366934</v>
          </cell>
          <cell r="D75">
            <v>1831.39611790363</v>
          </cell>
          <cell r="E75">
            <v>89278.9343187898</v>
          </cell>
          <cell r="F75">
            <v>270267.037124952</v>
          </cell>
        </row>
        <row r="76">
          <cell r="A76">
            <v>39203</v>
          </cell>
          <cell r="B76">
            <v>270267.037124952</v>
          </cell>
          <cell r="C76">
            <v>91110.3304366934</v>
          </cell>
          <cell r="D76">
            <v>1427.57615275571</v>
          </cell>
          <cell r="E76">
            <v>89682.7542839377</v>
          </cell>
          <cell r="F76">
            <v>180584.282841014</v>
          </cell>
        </row>
        <row r="77">
          <cell r="A77">
            <v>39234</v>
          </cell>
          <cell r="B77">
            <v>180584.282841014</v>
          </cell>
          <cell r="C77">
            <v>91110.3304366934</v>
          </cell>
          <cell r="D77">
            <v>1021.92965858952</v>
          </cell>
          <cell r="E77">
            <v>90088.4007781039</v>
          </cell>
          <cell r="F77">
            <v>90495.8820629104</v>
          </cell>
        </row>
        <row r="78">
          <cell r="A78">
            <v>39264</v>
          </cell>
          <cell r="B78">
            <v>90495.8820629104</v>
          </cell>
          <cell r="C78">
            <v>91110.3304366934</v>
          </cell>
          <cell r="D78">
            <v>614.448373782229</v>
          </cell>
          <cell r="E78">
            <v>90495.8820629112</v>
          </cell>
          <cell r="F78">
            <v>-7.8580342233181E-10</v>
          </cell>
        </row>
      </sheetData>
      <sheetData sheetId="5">
        <row r="18">
          <cell r="F18">
            <v>0.0322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v>
          </cell>
          <cell r="E4">
            <v>132223.581666667</v>
          </cell>
          <cell r="F4">
            <v>19799298.0816667</v>
          </cell>
        </row>
        <row r="5">
          <cell r="A5">
            <v>34578</v>
          </cell>
          <cell r="B5">
            <v>19799298.0816667</v>
          </cell>
          <cell r="C5">
            <v>166462.75</v>
          </cell>
          <cell r="D5">
            <v>34467.4294555555</v>
          </cell>
          <cell r="E5">
            <v>131995.320544444</v>
          </cell>
          <cell r="F5">
            <v>19764830.6522111</v>
          </cell>
        </row>
        <row r="6">
          <cell r="A6">
            <v>34608</v>
          </cell>
          <cell r="B6">
            <v>19764830.6522111</v>
          </cell>
          <cell r="C6">
            <v>166462.75</v>
          </cell>
          <cell r="D6">
            <v>34697.2123185926</v>
          </cell>
          <cell r="E6">
            <v>131765.537681407</v>
          </cell>
          <cell r="F6">
            <v>19730133.4398925</v>
          </cell>
        </row>
        <row r="7">
          <cell r="A7">
            <v>34639</v>
          </cell>
          <cell r="B7">
            <v>19730133.4398925</v>
          </cell>
          <cell r="C7">
            <v>166462.75</v>
          </cell>
          <cell r="D7">
            <v>34928.5270673832</v>
          </cell>
          <cell r="E7">
            <v>131534.222932617</v>
          </cell>
          <cell r="F7">
            <v>19695204.9128251</v>
          </cell>
        </row>
        <row r="8">
          <cell r="A8">
            <v>34669</v>
          </cell>
          <cell r="B8">
            <v>19695204.9128251</v>
          </cell>
          <cell r="C8">
            <v>166462.75</v>
          </cell>
          <cell r="D8">
            <v>35161.3839144991</v>
          </cell>
          <cell r="E8">
            <v>131301.366085501</v>
          </cell>
          <cell r="F8">
            <v>19660043.5289106</v>
          </cell>
        </row>
        <row r="9">
          <cell r="A9">
            <v>34700</v>
          </cell>
          <cell r="B9">
            <v>19660043.5289106</v>
          </cell>
          <cell r="C9">
            <v>166462.75</v>
          </cell>
          <cell r="D9">
            <v>35395.7931405957</v>
          </cell>
          <cell r="E9">
            <v>131066.956859404</v>
          </cell>
          <cell r="F9">
            <v>19624647.73577</v>
          </cell>
        </row>
        <row r="10">
          <cell r="A10">
            <v>34731</v>
          </cell>
          <cell r="B10">
            <v>19624647.73577</v>
          </cell>
          <cell r="C10">
            <v>166462.75</v>
          </cell>
          <cell r="D10">
            <v>35631.7650948664</v>
          </cell>
          <cell r="E10">
            <v>130830.984905134</v>
          </cell>
          <cell r="F10">
            <v>19589015.9706752</v>
          </cell>
        </row>
        <row r="11">
          <cell r="A11">
            <v>34759</v>
          </cell>
          <cell r="B11">
            <v>19589015.9706752</v>
          </cell>
          <cell r="C11">
            <v>166462.75</v>
          </cell>
          <cell r="D11">
            <v>35869.3101954988</v>
          </cell>
          <cell r="E11">
            <v>130593.439804501</v>
          </cell>
          <cell r="F11">
            <v>19553146.6604797</v>
          </cell>
        </row>
        <row r="12">
          <cell r="A12">
            <v>34790</v>
          </cell>
          <cell r="B12">
            <v>19553146.6604797</v>
          </cell>
          <cell r="C12">
            <v>166462.75</v>
          </cell>
          <cell r="D12">
            <v>36108.4389301355</v>
          </cell>
          <cell r="E12">
            <v>130354.311069865</v>
          </cell>
          <cell r="F12">
            <v>19517038.2215495</v>
          </cell>
        </row>
        <row r="13">
          <cell r="A13">
            <v>34820</v>
          </cell>
          <cell r="B13">
            <v>19517038.2215495</v>
          </cell>
          <cell r="C13">
            <v>166462.75</v>
          </cell>
          <cell r="D13">
            <v>36349.1618563364</v>
          </cell>
          <cell r="E13">
            <v>130113.588143664</v>
          </cell>
          <cell r="F13">
            <v>19480689.0596932</v>
          </cell>
        </row>
        <row r="14">
          <cell r="A14">
            <v>34851</v>
          </cell>
          <cell r="B14">
            <v>19480689.0596932</v>
          </cell>
          <cell r="C14">
            <v>166462.75</v>
          </cell>
          <cell r="D14">
            <v>36591.4896020453</v>
          </cell>
          <cell r="E14">
            <v>129871.260397955</v>
          </cell>
          <cell r="F14">
            <v>19444097.5700912</v>
          </cell>
        </row>
        <row r="15">
          <cell r="A15">
            <v>34881</v>
          </cell>
          <cell r="B15">
            <v>19444097.5700912</v>
          </cell>
          <cell r="C15">
            <v>166462.75</v>
          </cell>
          <cell r="D15">
            <v>36835.4328660589</v>
          </cell>
          <cell r="E15">
            <v>129627.317133941</v>
          </cell>
          <cell r="F15">
            <v>19407262.1372251</v>
          </cell>
        </row>
        <row r="16">
          <cell r="A16">
            <v>34912</v>
          </cell>
          <cell r="B16">
            <v>19407262.1372251</v>
          </cell>
          <cell r="C16">
            <v>166462.75</v>
          </cell>
          <cell r="D16">
            <v>37081.0024184993</v>
          </cell>
          <cell r="E16">
            <v>129381.747581501</v>
          </cell>
          <cell r="F16">
            <v>19370181.1348066</v>
          </cell>
        </row>
        <row r="17">
          <cell r="A17">
            <v>34943</v>
          </cell>
          <cell r="B17">
            <v>19370181.1348066</v>
          </cell>
          <cell r="C17">
            <v>166462.75</v>
          </cell>
          <cell r="D17">
            <v>37328.2091012893</v>
          </cell>
          <cell r="E17">
            <v>129134.540898711</v>
          </cell>
          <cell r="F17">
            <v>19332852.9257053</v>
          </cell>
        </row>
        <row r="18">
          <cell r="A18">
            <v>34973</v>
          </cell>
          <cell r="B18">
            <v>19332852.9257053</v>
          </cell>
          <cell r="C18">
            <v>166462.75</v>
          </cell>
          <cell r="D18">
            <v>37577.0638286312</v>
          </cell>
          <cell r="E18">
            <v>128885.686171369</v>
          </cell>
          <cell r="F18">
            <v>19295275.8618767</v>
          </cell>
        </row>
        <row r="19">
          <cell r="A19">
            <v>35004</v>
          </cell>
          <cell r="B19">
            <v>19295275.8618767</v>
          </cell>
          <cell r="C19">
            <v>166462.75</v>
          </cell>
          <cell r="D19">
            <v>37827.5775874888</v>
          </cell>
          <cell r="E19">
            <v>128635.172412511</v>
          </cell>
          <cell r="F19">
            <v>19257448.2842892</v>
          </cell>
        </row>
        <row r="20">
          <cell r="A20">
            <v>35034</v>
          </cell>
          <cell r="B20">
            <v>19257448.2842892</v>
          </cell>
          <cell r="C20">
            <v>166462.75</v>
          </cell>
          <cell r="D20">
            <v>38079.761438072</v>
          </cell>
          <cell r="E20">
            <v>128382.988561928</v>
          </cell>
          <cell r="F20">
            <v>19219368.5228511</v>
          </cell>
        </row>
        <row r="21">
          <cell r="A21">
            <v>35065</v>
          </cell>
          <cell r="B21">
            <v>19219368.5228511</v>
          </cell>
          <cell r="C21">
            <v>166462.75</v>
          </cell>
          <cell r="D21">
            <v>38333.6265143258</v>
          </cell>
          <cell r="E21">
            <v>128129.123485674</v>
          </cell>
          <cell r="F21">
            <v>19181034.8963368</v>
          </cell>
        </row>
        <row r="22">
          <cell r="A22">
            <v>35096</v>
          </cell>
          <cell r="B22">
            <v>19181034.8963368</v>
          </cell>
          <cell r="C22">
            <v>166462.75</v>
          </cell>
          <cell r="D22">
            <v>38589.1840244213</v>
          </cell>
          <cell r="E22">
            <v>127873.565975579</v>
          </cell>
          <cell r="F22">
            <v>19142445.7123124</v>
          </cell>
        </row>
        <row r="23">
          <cell r="A23">
            <v>35125</v>
          </cell>
          <cell r="B23">
            <v>19142445.7123124</v>
          </cell>
          <cell r="C23">
            <v>166462.75</v>
          </cell>
          <cell r="D23">
            <v>38846.4452512508</v>
          </cell>
          <cell r="E23">
            <v>127616.304748749</v>
          </cell>
          <cell r="F23">
            <v>19103599.2670611</v>
          </cell>
        </row>
        <row r="24">
          <cell r="A24">
            <v>35156</v>
          </cell>
          <cell r="B24">
            <v>19103599.2670611</v>
          </cell>
          <cell r="C24">
            <v>166462.75</v>
          </cell>
          <cell r="D24">
            <v>39105.4215529258</v>
          </cell>
          <cell r="E24">
            <v>127357.328447074</v>
          </cell>
          <cell r="F24">
            <v>19064493.8455082</v>
          </cell>
        </row>
        <row r="25">
          <cell r="A25">
            <v>35186</v>
          </cell>
          <cell r="B25">
            <v>19064493.8455082</v>
          </cell>
          <cell r="C25">
            <v>166462.75</v>
          </cell>
          <cell r="D25">
            <v>39366.1243632787</v>
          </cell>
          <cell r="E25">
            <v>127096.625636721</v>
          </cell>
          <cell r="F25">
            <v>19025127.7211449</v>
          </cell>
        </row>
        <row r="26">
          <cell r="A26">
            <v>35217</v>
          </cell>
          <cell r="B26">
            <v>19025127.7211449</v>
          </cell>
          <cell r="C26">
            <v>166462.75</v>
          </cell>
          <cell r="D26">
            <v>39628.5651923672</v>
          </cell>
          <cell r="E26">
            <v>126834.184807633</v>
          </cell>
          <cell r="F26">
            <v>18985499.1559526</v>
          </cell>
        </row>
        <row r="27">
          <cell r="A27">
            <v>35247</v>
          </cell>
          <cell r="B27">
            <v>18985499.1559526</v>
          </cell>
          <cell r="C27">
            <v>166462.75</v>
          </cell>
          <cell r="D27">
            <v>39892.755626983</v>
          </cell>
          <cell r="E27">
            <v>126569.994373017</v>
          </cell>
          <cell r="F27">
            <v>18945606.4003256</v>
          </cell>
        </row>
        <row r="28">
          <cell r="A28">
            <v>35278</v>
          </cell>
          <cell r="B28">
            <v>18945606.4003256</v>
          </cell>
          <cell r="C28">
            <v>166462.75</v>
          </cell>
          <cell r="D28">
            <v>40158.7073311629</v>
          </cell>
          <cell r="E28">
            <v>126304.042668837</v>
          </cell>
          <cell r="F28">
            <v>18905447.6929944</v>
          </cell>
        </row>
        <row r="29">
          <cell r="A29">
            <v>35309</v>
          </cell>
          <cell r="B29">
            <v>18905447.6929944</v>
          </cell>
          <cell r="C29">
            <v>166462.75</v>
          </cell>
          <cell r="D29">
            <v>40426.4320467039</v>
          </cell>
          <cell r="E29">
            <v>126036.317953296</v>
          </cell>
          <cell r="F29">
            <v>18865021.2609477</v>
          </cell>
        </row>
        <row r="30">
          <cell r="A30">
            <v>35339</v>
          </cell>
          <cell r="B30">
            <v>18865021.2609477</v>
          </cell>
          <cell r="C30">
            <v>166462.75</v>
          </cell>
          <cell r="D30">
            <v>40695.941593682</v>
          </cell>
          <cell r="E30">
            <v>125766.808406318</v>
          </cell>
          <cell r="F30">
            <v>18824325.319354</v>
          </cell>
        </row>
        <row r="31">
          <cell r="A31">
            <v>35370</v>
          </cell>
          <cell r="B31">
            <v>18824325.319354</v>
          </cell>
          <cell r="C31">
            <v>166462.75</v>
          </cell>
          <cell r="D31">
            <v>40967.2478709732</v>
          </cell>
          <cell r="E31">
            <v>125495.502129027</v>
          </cell>
          <cell r="F31">
            <v>18783358.071483</v>
          </cell>
        </row>
        <row r="32">
          <cell r="A32">
            <v>35400</v>
          </cell>
          <cell r="B32">
            <v>18783358.071483</v>
          </cell>
          <cell r="C32">
            <v>166462.75</v>
          </cell>
          <cell r="D32">
            <v>41240.3628567797</v>
          </cell>
          <cell r="E32">
            <v>125222.38714322</v>
          </cell>
          <cell r="F32">
            <v>18742117.7086263</v>
          </cell>
        </row>
        <row r="33">
          <cell r="A33">
            <v>35431</v>
          </cell>
          <cell r="B33">
            <v>18742117.7086263</v>
          </cell>
          <cell r="C33">
            <v>166462.75</v>
          </cell>
          <cell r="D33">
            <v>41515.2986091582</v>
          </cell>
          <cell r="E33">
            <v>124947.451390842</v>
          </cell>
          <cell r="F33">
            <v>18700602.4100171</v>
          </cell>
        </row>
        <row r="34">
          <cell r="A34">
            <v>35462</v>
          </cell>
          <cell r="B34">
            <v>18700602.4100171</v>
          </cell>
          <cell r="C34">
            <v>166462.75</v>
          </cell>
          <cell r="D34">
            <v>41792.0672665526</v>
          </cell>
          <cell r="E34">
            <v>124670.682733447</v>
          </cell>
          <cell r="F34">
            <v>18658810.3427506</v>
          </cell>
        </row>
        <row r="35">
          <cell r="A35">
            <v>35490</v>
          </cell>
          <cell r="B35">
            <v>18658810.3427506</v>
          </cell>
          <cell r="C35">
            <v>166462.75</v>
          </cell>
          <cell r="D35">
            <v>42070.6810483296</v>
          </cell>
          <cell r="E35">
            <v>124392.06895167</v>
          </cell>
          <cell r="F35">
            <v>18616739.6617022</v>
          </cell>
        </row>
        <row r="36">
          <cell r="A36">
            <v>35521</v>
          </cell>
          <cell r="B36">
            <v>18616739.6617022</v>
          </cell>
          <cell r="C36">
            <v>166462.75</v>
          </cell>
          <cell r="D36">
            <v>42351.1522553185</v>
          </cell>
          <cell r="E36">
            <v>124111.597744682</v>
          </cell>
          <cell r="F36">
            <v>18574388.5094469</v>
          </cell>
        </row>
        <row r="37">
          <cell r="A37">
            <v>35551</v>
          </cell>
          <cell r="B37">
            <v>18574388.5094469</v>
          </cell>
          <cell r="C37">
            <v>166462.75</v>
          </cell>
          <cell r="D37">
            <v>42633.4932703539</v>
          </cell>
          <cell r="E37">
            <v>123829.256729646</v>
          </cell>
          <cell r="F37">
            <v>18531755.0161766</v>
          </cell>
        </row>
        <row r="38">
          <cell r="A38">
            <v>35582</v>
          </cell>
          <cell r="B38">
            <v>18531755.0161766</v>
          </cell>
          <cell r="C38">
            <v>166462.75</v>
          </cell>
          <cell r="D38">
            <v>42917.716558823</v>
          </cell>
          <cell r="E38">
            <v>123545.033441177</v>
          </cell>
          <cell r="F38">
            <v>18488837.2996177</v>
          </cell>
        </row>
        <row r="39">
          <cell r="A39">
            <v>35612</v>
          </cell>
          <cell r="B39">
            <v>18488837.2996177</v>
          </cell>
          <cell r="C39">
            <v>166462.75</v>
          </cell>
          <cell r="D39">
            <v>43203.8346692151</v>
          </cell>
          <cell r="E39">
            <v>123258.915330785</v>
          </cell>
          <cell r="F39">
            <v>18445633.4649485</v>
          </cell>
        </row>
        <row r="40">
          <cell r="A40">
            <v>35643</v>
          </cell>
          <cell r="B40">
            <v>18445633.4649485</v>
          </cell>
          <cell r="C40">
            <v>166462.75</v>
          </cell>
          <cell r="D40">
            <v>43491.8602336765</v>
          </cell>
          <cell r="E40">
            <v>122970.889766323</v>
          </cell>
          <cell r="F40">
            <v>18402141.6047148</v>
          </cell>
        </row>
        <row r="41">
          <cell r="A41">
            <v>35674</v>
          </cell>
          <cell r="B41">
            <v>18402141.6047148</v>
          </cell>
          <cell r="C41">
            <v>166462.75</v>
          </cell>
          <cell r="D41">
            <v>43781.8059685677</v>
          </cell>
          <cell r="E41">
            <v>122680.944031432</v>
          </cell>
          <cell r="F41">
            <v>18358359.7987463</v>
          </cell>
        </row>
        <row r="42">
          <cell r="A42">
            <v>35704</v>
          </cell>
          <cell r="B42">
            <v>18358359.7987463</v>
          </cell>
          <cell r="C42">
            <v>166462.75</v>
          </cell>
          <cell r="D42">
            <v>44073.6846750248</v>
          </cell>
          <cell r="E42">
            <v>122389.065324975</v>
          </cell>
          <cell r="F42">
            <v>18314286.1140713</v>
          </cell>
        </row>
        <row r="43">
          <cell r="A43">
            <v>35735</v>
          </cell>
          <cell r="B43">
            <v>18314286.1140713</v>
          </cell>
          <cell r="C43">
            <v>166462.75</v>
          </cell>
          <cell r="D43">
            <v>44367.509239525</v>
          </cell>
          <cell r="E43">
            <v>122095.240760475</v>
          </cell>
          <cell r="F43">
            <v>18269918.6048317</v>
          </cell>
        </row>
        <row r="44">
          <cell r="A44">
            <v>35765</v>
          </cell>
          <cell r="B44">
            <v>18269918.6048317</v>
          </cell>
          <cell r="C44">
            <v>166462.75</v>
          </cell>
          <cell r="D44">
            <v>44663.2926344551</v>
          </cell>
          <cell r="E44">
            <v>121799.457365545</v>
          </cell>
          <cell r="F44">
            <v>18225255.3121973</v>
          </cell>
        </row>
        <row r="45">
          <cell r="A45">
            <v>35796</v>
          </cell>
          <cell r="B45">
            <v>18225255.3121973</v>
          </cell>
          <cell r="C45">
            <v>166462.75</v>
          </cell>
          <cell r="D45">
            <v>44961.0479186848</v>
          </cell>
          <cell r="E45">
            <v>121501.702081315</v>
          </cell>
          <cell r="F45">
            <v>18180294.2642786</v>
          </cell>
        </row>
        <row r="46">
          <cell r="A46">
            <v>35827</v>
          </cell>
          <cell r="B46">
            <v>18180294.2642786</v>
          </cell>
          <cell r="C46">
            <v>166462.75</v>
          </cell>
          <cell r="D46">
            <v>45260.7882381427</v>
          </cell>
          <cell r="E46">
            <v>121201.961761857</v>
          </cell>
          <cell r="F46">
            <v>18135033.4760404</v>
          </cell>
        </row>
        <row r="47">
          <cell r="A47">
            <v>35855</v>
          </cell>
          <cell r="B47">
            <v>18135033.4760404</v>
          </cell>
          <cell r="C47">
            <v>166462.75</v>
          </cell>
          <cell r="D47">
            <v>45562.526826397</v>
          </cell>
          <cell r="E47">
            <v>120900.223173603</v>
          </cell>
          <cell r="F47">
            <v>18089470.9492141</v>
          </cell>
        </row>
        <row r="48">
          <cell r="A48">
            <v>35886</v>
          </cell>
          <cell r="B48">
            <v>18089470.9492141</v>
          </cell>
          <cell r="C48">
            <v>166462.75</v>
          </cell>
          <cell r="D48">
            <v>45866.2770052396</v>
          </cell>
          <cell r="E48">
            <v>120596.47299476</v>
          </cell>
          <cell r="F48">
            <v>18043604.6722088</v>
          </cell>
        </row>
        <row r="49">
          <cell r="A49">
            <v>35916</v>
          </cell>
          <cell r="B49">
            <v>18043604.6722088</v>
          </cell>
          <cell r="C49">
            <v>166462.75</v>
          </cell>
          <cell r="D49">
            <v>46172.0521852746</v>
          </cell>
          <cell r="E49">
            <v>120290.697814725</v>
          </cell>
          <cell r="F49">
            <v>17997432.6200235</v>
          </cell>
        </row>
        <row r="50">
          <cell r="A50">
            <v>35947</v>
          </cell>
          <cell r="B50">
            <v>17997432.6200235</v>
          </cell>
          <cell r="C50">
            <v>166462.75</v>
          </cell>
          <cell r="D50">
            <v>46479.8658665097</v>
          </cell>
          <cell r="E50">
            <v>119982.88413349</v>
          </cell>
          <cell r="F50">
            <v>17950952.754157</v>
          </cell>
        </row>
        <row r="51">
          <cell r="A51">
            <v>35977</v>
          </cell>
          <cell r="B51">
            <v>17950952.754157</v>
          </cell>
          <cell r="C51">
            <v>166462.75</v>
          </cell>
          <cell r="D51">
            <v>46789.7316389531</v>
          </cell>
          <cell r="E51">
            <v>119673.018361047</v>
          </cell>
          <cell r="F51">
            <v>17904163.0225181</v>
          </cell>
        </row>
        <row r="52">
          <cell r="A52">
            <v>36008</v>
          </cell>
          <cell r="B52">
            <v>17904163.0225181</v>
          </cell>
          <cell r="C52">
            <v>166462.75</v>
          </cell>
          <cell r="D52">
            <v>47101.6631832128</v>
          </cell>
          <cell r="E52">
            <v>119361.086816787</v>
          </cell>
          <cell r="F52">
            <v>17857061.3593349</v>
          </cell>
        </row>
        <row r="53">
          <cell r="A53">
            <v>36039</v>
          </cell>
          <cell r="B53">
            <v>17857061.3593349</v>
          </cell>
          <cell r="C53">
            <v>166462.75</v>
          </cell>
          <cell r="D53">
            <v>47415.6742711009</v>
          </cell>
          <cell r="E53">
            <v>119047.075728899</v>
          </cell>
          <cell r="F53">
            <v>17809645.6850638</v>
          </cell>
        </row>
        <row r="54">
          <cell r="A54">
            <v>36069</v>
          </cell>
          <cell r="B54">
            <v>17809645.6850638</v>
          </cell>
          <cell r="C54">
            <v>166462.75</v>
          </cell>
          <cell r="D54">
            <v>47731.7787662416</v>
          </cell>
          <cell r="E54">
            <v>118730.971233758</v>
          </cell>
          <cell r="F54">
            <v>17761913.9062975</v>
          </cell>
        </row>
        <row r="55">
          <cell r="A55">
            <v>36100</v>
          </cell>
          <cell r="B55">
            <v>17761913.9062975</v>
          </cell>
          <cell r="C55">
            <v>166462.75</v>
          </cell>
          <cell r="D55">
            <v>48049.9906246832</v>
          </cell>
          <cell r="E55">
            <v>118412.759375317</v>
          </cell>
          <cell r="F55">
            <v>17713863.9156728</v>
          </cell>
        </row>
        <row r="56">
          <cell r="A56">
            <v>36130</v>
          </cell>
          <cell r="B56">
            <v>17713863.9156728</v>
          </cell>
          <cell r="C56">
            <v>166462.75</v>
          </cell>
          <cell r="D56">
            <v>48370.3238955144</v>
          </cell>
          <cell r="E56">
            <v>118092.426104486</v>
          </cell>
          <cell r="F56">
            <v>17665493.5917773</v>
          </cell>
        </row>
        <row r="57">
          <cell r="A57">
            <v>36161</v>
          </cell>
          <cell r="B57">
            <v>17665493.5917773</v>
          </cell>
          <cell r="C57">
            <v>166462.75</v>
          </cell>
          <cell r="D57">
            <v>48692.7927214845</v>
          </cell>
          <cell r="E57">
            <v>117769.957278516</v>
          </cell>
          <cell r="F57">
            <v>17616800.7990558</v>
          </cell>
        </row>
        <row r="58">
          <cell r="A58">
            <v>36192</v>
          </cell>
          <cell r="B58">
            <v>17616800.7990558</v>
          </cell>
          <cell r="C58">
            <v>166462.75</v>
          </cell>
          <cell r="D58">
            <v>49017.4113396277</v>
          </cell>
          <cell r="E58">
            <v>117445.338660372</v>
          </cell>
          <cell r="F58">
            <v>17567783.3877162</v>
          </cell>
        </row>
        <row r="59">
          <cell r="A59">
            <v>36220</v>
          </cell>
          <cell r="B59">
            <v>17567783.3877162</v>
          </cell>
          <cell r="C59">
            <v>166462.75</v>
          </cell>
          <cell r="D59">
            <v>49344.1940818919</v>
          </cell>
          <cell r="E59">
            <v>117118.555918108</v>
          </cell>
          <cell r="F59">
            <v>17518439.1936343</v>
          </cell>
        </row>
        <row r="60">
          <cell r="A60">
            <v>36251</v>
          </cell>
          <cell r="B60">
            <v>17518439.1936343</v>
          </cell>
          <cell r="C60">
            <v>166462.75</v>
          </cell>
          <cell r="D60">
            <v>49673.1553757712</v>
          </cell>
          <cell r="E60">
            <v>116789.594624229</v>
          </cell>
          <cell r="F60">
            <v>17468766.0382585</v>
          </cell>
        </row>
        <row r="61">
          <cell r="A61">
            <v>36281</v>
          </cell>
          <cell r="B61">
            <v>17468766.0382585</v>
          </cell>
          <cell r="C61">
            <v>166462.75</v>
          </cell>
          <cell r="D61">
            <v>50004.309744943</v>
          </cell>
          <cell r="E61">
            <v>116458.440255057</v>
          </cell>
          <cell r="F61">
            <v>17418761.7285136</v>
          </cell>
        </row>
        <row r="62">
          <cell r="A62">
            <v>36312</v>
          </cell>
          <cell r="B62">
            <v>17418761.7285136</v>
          </cell>
          <cell r="C62">
            <v>166462.75</v>
          </cell>
          <cell r="D62">
            <v>50337.6718099093</v>
          </cell>
          <cell r="E62">
            <v>116125.078190091</v>
          </cell>
          <cell r="F62">
            <v>17368424.0567037</v>
          </cell>
        </row>
        <row r="63">
          <cell r="A63">
            <v>36342</v>
          </cell>
          <cell r="B63">
            <v>17368424.0567037</v>
          </cell>
          <cell r="C63">
            <v>166462.75</v>
          </cell>
          <cell r="D63">
            <v>50673.256288642</v>
          </cell>
          <cell r="E63">
            <v>115789.493711358</v>
          </cell>
          <cell r="F63">
            <v>17317750.8004151</v>
          </cell>
        </row>
        <row r="64">
          <cell r="A64">
            <v>36373</v>
          </cell>
          <cell r="B64">
            <v>17317750.8004151</v>
          </cell>
          <cell r="C64">
            <v>166462.75</v>
          </cell>
          <cell r="D64">
            <v>51011.0779972329</v>
          </cell>
          <cell r="E64">
            <v>115451.672002767</v>
          </cell>
          <cell r="F64">
            <v>17266739.7224178</v>
          </cell>
        </row>
        <row r="65">
          <cell r="A65">
            <v>36404</v>
          </cell>
          <cell r="B65">
            <v>17266739.7224178</v>
          </cell>
          <cell r="C65">
            <v>166462.75</v>
          </cell>
          <cell r="D65">
            <v>51351.1518505478</v>
          </cell>
          <cell r="E65">
            <v>115111.598149452</v>
          </cell>
          <cell r="F65">
            <v>17215388.5705673</v>
          </cell>
        </row>
        <row r="66">
          <cell r="A66">
            <v>36434</v>
          </cell>
          <cell r="B66">
            <v>17215388.5705673</v>
          </cell>
          <cell r="C66">
            <v>166462.75</v>
          </cell>
          <cell r="D66">
            <v>51693.4928628848</v>
          </cell>
          <cell r="E66">
            <v>114769.257137115</v>
          </cell>
          <cell r="F66">
            <v>17163695.0777044</v>
          </cell>
        </row>
        <row r="67">
          <cell r="A67">
            <v>36465</v>
          </cell>
          <cell r="B67">
            <v>17163695.0777044</v>
          </cell>
          <cell r="C67">
            <v>166462.75</v>
          </cell>
          <cell r="D67">
            <v>52038.1161486374</v>
          </cell>
          <cell r="E67">
            <v>114424.633851363</v>
          </cell>
          <cell r="F67">
            <v>17111656.9615558</v>
          </cell>
        </row>
        <row r="68">
          <cell r="A68">
            <v>36495</v>
          </cell>
          <cell r="B68">
            <v>17111656.9615558</v>
          </cell>
          <cell r="C68">
            <v>166462.75</v>
          </cell>
          <cell r="D68">
            <v>52385.0369229616</v>
          </cell>
          <cell r="E68">
            <v>114077.713077038</v>
          </cell>
          <cell r="F68">
            <v>17059271.9246328</v>
          </cell>
        </row>
        <row r="69">
          <cell r="A69">
            <v>36526</v>
          </cell>
          <cell r="B69">
            <v>17059271.9246328</v>
          </cell>
          <cell r="C69">
            <v>166462.75</v>
          </cell>
          <cell r="D69">
            <v>52734.270502448</v>
          </cell>
          <cell r="E69">
            <v>113728.479497552</v>
          </cell>
          <cell r="F69">
            <v>17006537.6541303</v>
          </cell>
        </row>
        <row r="70">
          <cell r="A70">
            <v>36557</v>
          </cell>
          <cell r="B70">
            <v>17006537.6541303</v>
          </cell>
          <cell r="C70">
            <v>166462.75</v>
          </cell>
          <cell r="D70">
            <v>53085.8323057977</v>
          </cell>
          <cell r="E70">
            <v>113376.917694202</v>
          </cell>
          <cell r="F70">
            <v>16953451.8218246</v>
          </cell>
        </row>
        <row r="71">
          <cell r="A71">
            <v>36586</v>
          </cell>
          <cell r="B71">
            <v>16953451.8218246</v>
          </cell>
          <cell r="C71">
            <v>166462.75</v>
          </cell>
          <cell r="D71">
            <v>53439.737854503</v>
          </cell>
          <cell r="E71">
            <v>113023.012145497</v>
          </cell>
          <cell r="F71">
            <v>16900012.08397</v>
          </cell>
        </row>
        <row r="72">
          <cell r="A72">
            <v>36617</v>
          </cell>
          <cell r="B72">
            <v>16900012.08397</v>
          </cell>
          <cell r="C72">
            <v>166462.75</v>
          </cell>
          <cell r="D72">
            <v>53796.002773533</v>
          </cell>
          <cell r="E72">
            <v>112666.747226467</v>
          </cell>
          <cell r="F72">
            <v>16846216.0811965</v>
          </cell>
        </row>
        <row r="73">
          <cell r="A73">
            <v>36647</v>
          </cell>
          <cell r="B73">
            <v>16846216.0811965</v>
          </cell>
          <cell r="C73">
            <v>166462.75</v>
          </cell>
          <cell r="D73">
            <v>54154.6427920232</v>
          </cell>
          <cell r="E73">
            <v>112308.107207977</v>
          </cell>
          <cell r="F73">
            <v>16792061.4384045</v>
          </cell>
        </row>
        <row r="74">
          <cell r="A74">
            <v>36678</v>
          </cell>
          <cell r="B74">
            <v>16792061.4384045</v>
          </cell>
          <cell r="C74">
            <v>166462.75</v>
          </cell>
          <cell r="D74">
            <v>54515.6737439701</v>
          </cell>
          <cell r="E74">
            <v>111947.07625603</v>
          </cell>
          <cell r="F74">
            <v>16737545.7646605</v>
          </cell>
        </row>
        <row r="75">
          <cell r="A75">
            <v>36708</v>
          </cell>
          <cell r="B75">
            <v>16737545.7646605</v>
          </cell>
          <cell r="C75">
            <v>166462.75</v>
          </cell>
          <cell r="D75">
            <v>54879.1115689299</v>
          </cell>
          <cell r="E75">
            <v>111583.63843107</v>
          </cell>
          <cell r="F75">
            <v>16682666.6530916</v>
          </cell>
        </row>
        <row r="76">
          <cell r="A76">
            <v>36739</v>
          </cell>
          <cell r="B76">
            <v>16682666.6530916</v>
          </cell>
          <cell r="C76">
            <v>166462.75</v>
          </cell>
          <cell r="D76">
            <v>55244.9723127227</v>
          </cell>
          <cell r="E76">
            <v>111217.777687277</v>
          </cell>
          <cell r="F76">
            <v>16627421.6807789</v>
          </cell>
        </row>
        <row r="77">
          <cell r="A77">
            <v>36770</v>
          </cell>
          <cell r="B77">
            <v>16627421.6807789</v>
          </cell>
          <cell r="C77">
            <v>166462.75</v>
          </cell>
          <cell r="D77">
            <v>55613.2721281409</v>
          </cell>
          <cell r="E77">
            <v>110849.477871859</v>
          </cell>
          <cell r="F77">
            <v>16571808.4086507</v>
          </cell>
        </row>
        <row r="78">
          <cell r="A78">
            <v>36800</v>
          </cell>
          <cell r="B78">
            <v>16571808.4086507</v>
          </cell>
          <cell r="C78">
            <v>166462.75</v>
          </cell>
          <cell r="D78">
            <v>55984.0272756618</v>
          </cell>
          <cell r="E78">
            <v>110478.722724338</v>
          </cell>
          <cell r="F78">
            <v>16515824.3813751</v>
          </cell>
        </row>
        <row r="79">
          <cell r="A79">
            <v>36831</v>
          </cell>
          <cell r="B79">
            <v>16515824.3813751</v>
          </cell>
          <cell r="C79">
            <v>166462.75</v>
          </cell>
          <cell r="D79">
            <v>56357.2541241662</v>
          </cell>
          <cell r="E79">
            <v>110105.495875834</v>
          </cell>
          <cell r="F79">
            <v>16459467.1272509</v>
          </cell>
        </row>
        <row r="80">
          <cell r="A80">
            <v>36861</v>
          </cell>
          <cell r="B80">
            <v>16459467.1272509</v>
          </cell>
          <cell r="C80">
            <v>166462.75</v>
          </cell>
          <cell r="D80">
            <v>56732.9691516607</v>
          </cell>
          <cell r="E80">
            <v>109729.780848339</v>
          </cell>
          <cell r="F80">
            <v>16402734.1580992</v>
          </cell>
        </row>
        <row r="81">
          <cell r="A81">
            <v>36892</v>
          </cell>
          <cell r="B81">
            <v>16402734.1580992</v>
          </cell>
          <cell r="C81">
            <v>166462.75</v>
          </cell>
          <cell r="D81">
            <v>57111.1889460051</v>
          </cell>
          <cell r="E81">
            <v>109351.561053995</v>
          </cell>
          <cell r="F81">
            <v>16345622.9691532</v>
          </cell>
        </row>
        <row r="82">
          <cell r="A82">
            <v>36923</v>
          </cell>
          <cell r="B82">
            <v>16345622.9691532</v>
          </cell>
          <cell r="C82">
            <v>166462.75</v>
          </cell>
          <cell r="D82">
            <v>57491.9302056451</v>
          </cell>
          <cell r="E82">
            <v>108970.819794355</v>
          </cell>
          <cell r="F82">
            <v>16288131.0389476</v>
          </cell>
        </row>
        <row r="83">
          <cell r="A83">
            <v>36951</v>
          </cell>
          <cell r="B83">
            <v>16288131.0389476</v>
          </cell>
          <cell r="C83">
            <v>166462.75</v>
          </cell>
          <cell r="D83">
            <v>57875.2097403494</v>
          </cell>
          <cell r="E83">
            <v>108587.540259651</v>
          </cell>
          <cell r="F83">
            <v>16230255.8292072</v>
          </cell>
        </row>
        <row r="84">
          <cell r="A84">
            <v>36982</v>
          </cell>
          <cell r="B84">
            <v>16230255.8292072</v>
          </cell>
          <cell r="C84">
            <v>166462.75</v>
          </cell>
          <cell r="D84">
            <v>58261.0444719517</v>
          </cell>
          <cell r="E84">
            <v>108201.705528048</v>
          </cell>
          <cell r="F84">
            <v>16171994.7847353</v>
          </cell>
        </row>
        <row r="85">
          <cell r="A85">
            <v>37012</v>
          </cell>
          <cell r="B85">
            <v>16171994.7847353</v>
          </cell>
          <cell r="C85">
            <v>166462.75</v>
          </cell>
          <cell r="D85">
            <v>58649.4514350981</v>
          </cell>
          <cell r="E85">
            <v>107813.298564902</v>
          </cell>
          <cell r="F85">
            <v>16113345.3333002</v>
          </cell>
        </row>
        <row r="86">
          <cell r="A86">
            <v>37043</v>
          </cell>
          <cell r="B86">
            <v>16113345.3333002</v>
          </cell>
          <cell r="C86">
            <v>166462.75</v>
          </cell>
          <cell r="D86">
            <v>59040.4477779987</v>
          </cell>
          <cell r="E86">
            <v>107422.302222001</v>
          </cell>
          <cell r="F86">
            <v>16054304.8855222</v>
          </cell>
        </row>
        <row r="87">
          <cell r="A87">
            <v>37073</v>
          </cell>
          <cell r="B87">
            <v>16054304.8855222</v>
          </cell>
          <cell r="C87">
            <v>166462.75</v>
          </cell>
          <cell r="D87">
            <v>59434.0507631854</v>
          </cell>
          <cell r="E87">
            <v>107028.699236815</v>
          </cell>
          <cell r="F87">
            <v>15994870.834759</v>
          </cell>
        </row>
        <row r="88">
          <cell r="A88">
            <v>37104</v>
          </cell>
          <cell r="B88">
            <v>15994870.834759</v>
          </cell>
          <cell r="C88">
            <v>166462.75</v>
          </cell>
          <cell r="D88">
            <v>59830.2777682733</v>
          </cell>
          <cell r="E88">
            <v>106632.472231727</v>
          </cell>
          <cell r="F88">
            <v>15935040.5569907</v>
          </cell>
        </row>
        <row r="89">
          <cell r="A89">
            <v>37135</v>
          </cell>
          <cell r="B89">
            <v>15935040.5569907</v>
          </cell>
          <cell r="C89">
            <v>166462.75</v>
          </cell>
          <cell r="D89">
            <v>60229.1462867285</v>
          </cell>
          <cell r="E89">
            <v>106233.603713272</v>
          </cell>
          <cell r="F89">
            <v>15874811.410704</v>
          </cell>
        </row>
        <row r="90">
          <cell r="A90">
            <v>37165</v>
          </cell>
          <cell r="B90">
            <v>15874811.410704</v>
          </cell>
          <cell r="C90">
            <v>166462.75</v>
          </cell>
          <cell r="D90">
            <v>60630.67392864</v>
          </cell>
          <cell r="E90">
            <v>105832.07607136</v>
          </cell>
          <cell r="F90">
            <v>15814180.7367754</v>
          </cell>
        </row>
        <row r="91">
          <cell r="A91">
            <v>37196</v>
          </cell>
          <cell r="B91">
            <v>15814180.7367754</v>
          </cell>
          <cell r="C91">
            <v>166462.75</v>
          </cell>
          <cell r="D91">
            <v>61034.8784214976</v>
          </cell>
          <cell r="E91">
            <v>105427.871578502</v>
          </cell>
          <cell r="F91">
            <v>15753145.8583539</v>
          </cell>
        </row>
        <row r="92">
          <cell r="A92">
            <v>37226</v>
          </cell>
          <cell r="B92">
            <v>15753145.8583539</v>
          </cell>
          <cell r="C92">
            <v>166462.75</v>
          </cell>
          <cell r="D92">
            <v>61441.7776109742</v>
          </cell>
          <cell r="E92">
            <v>105020.972389026</v>
          </cell>
          <cell r="F92">
            <v>15691704.0807429</v>
          </cell>
        </row>
        <row r="93">
          <cell r="A93">
            <v>37257</v>
          </cell>
          <cell r="B93">
            <v>15691704.0807429</v>
          </cell>
          <cell r="C93">
            <v>166462.75</v>
          </cell>
          <cell r="D93">
            <v>61851.3894617141</v>
          </cell>
          <cell r="E93">
            <v>104611.360538286</v>
          </cell>
          <cell r="F93">
            <v>15629852.6912812</v>
          </cell>
        </row>
        <row r="94">
          <cell r="A94">
            <v>37288</v>
          </cell>
          <cell r="B94">
            <v>15629852.6912812</v>
          </cell>
          <cell r="C94">
            <v>166462.75</v>
          </cell>
          <cell r="D94">
            <v>62263.7320581255</v>
          </cell>
          <cell r="E94">
            <v>104199.017941874</v>
          </cell>
          <cell r="F94">
            <v>15567588.959223</v>
          </cell>
        </row>
        <row r="95">
          <cell r="A95">
            <v>37316</v>
          </cell>
          <cell r="B95">
            <v>15567588.959223</v>
          </cell>
          <cell r="C95">
            <v>166462.75</v>
          </cell>
          <cell r="D95">
            <v>62678.8236051797</v>
          </cell>
          <cell r="E95">
            <v>103783.92639482</v>
          </cell>
          <cell r="F95">
            <v>15504910.1356179</v>
          </cell>
        </row>
        <row r="96">
          <cell r="A96">
            <v>37347</v>
          </cell>
          <cell r="B96">
            <v>15504910.1356179</v>
          </cell>
          <cell r="C96">
            <v>166462.75</v>
          </cell>
          <cell r="D96">
            <v>63096.6824292142</v>
          </cell>
          <cell r="E96">
            <v>103366.067570786</v>
          </cell>
          <cell r="F96">
            <v>15441813.4531887</v>
          </cell>
        </row>
        <row r="97">
          <cell r="A97">
            <v>37377</v>
          </cell>
          <cell r="B97">
            <v>15441813.4531887</v>
          </cell>
          <cell r="C97">
            <v>166462.75</v>
          </cell>
          <cell r="D97">
            <v>63517.3269787423</v>
          </cell>
          <cell r="E97">
            <v>102945.423021258</v>
          </cell>
          <cell r="F97">
            <v>15378296.1262099</v>
          </cell>
        </row>
        <row r="98">
          <cell r="A98">
            <v>37408</v>
          </cell>
          <cell r="B98">
            <v>15378296.1262099</v>
          </cell>
          <cell r="C98">
            <v>166462.75</v>
          </cell>
          <cell r="D98">
            <v>63940.7758252673</v>
          </cell>
          <cell r="E98">
            <v>102521.974174733</v>
          </cell>
          <cell r="F98">
            <v>15314355.3503846</v>
          </cell>
        </row>
        <row r="99">
          <cell r="A99">
            <v>37438</v>
          </cell>
          <cell r="B99">
            <v>15314355.3503846</v>
          </cell>
          <cell r="C99">
            <v>166462.75</v>
          </cell>
          <cell r="D99">
            <v>64367.0476641024</v>
          </cell>
          <cell r="E99">
            <v>102095.702335898</v>
          </cell>
          <cell r="F99">
            <v>15249988.3027205</v>
          </cell>
        </row>
        <row r="100">
          <cell r="A100">
            <v>37469</v>
          </cell>
          <cell r="B100">
            <v>15249988.3027205</v>
          </cell>
          <cell r="C100">
            <v>166462.75</v>
          </cell>
          <cell r="D100">
            <v>64796.1613151964</v>
          </cell>
          <cell r="E100">
            <v>101666.588684804</v>
          </cell>
          <cell r="F100">
            <v>15185192.1414053</v>
          </cell>
        </row>
        <row r="101">
          <cell r="A101">
            <v>37500</v>
          </cell>
          <cell r="B101">
            <v>15185192.1414053</v>
          </cell>
          <cell r="C101">
            <v>166462.75</v>
          </cell>
          <cell r="D101">
            <v>65228.1357239644</v>
          </cell>
          <cell r="E101">
            <v>101234.614276036</v>
          </cell>
          <cell r="F101">
            <v>15119964.0056814</v>
          </cell>
        </row>
        <row r="102">
          <cell r="A102">
            <v>37530</v>
          </cell>
          <cell r="B102">
            <v>15119964.0056814</v>
          </cell>
          <cell r="C102">
            <v>166462.75</v>
          </cell>
          <cell r="D102">
            <v>65662.9899621241</v>
          </cell>
          <cell r="E102">
            <v>100799.760037876</v>
          </cell>
          <cell r="F102">
            <v>15054301.0157193</v>
          </cell>
        </row>
        <row r="103">
          <cell r="A103">
            <v>37561</v>
          </cell>
          <cell r="B103">
            <v>15054301.0157193</v>
          </cell>
          <cell r="C103">
            <v>166462.75</v>
          </cell>
          <cell r="D103">
            <v>66100.7432285383</v>
          </cell>
          <cell r="E103">
            <v>100362.006771462</v>
          </cell>
          <cell r="F103">
            <v>14988200.2724907</v>
          </cell>
        </row>
        <row r="104">
          <cell r="A104">
            <v>37591</v>
          </cell>
          <cell r="B104">
            <v>14988200.2724907</v>
          </cell>
          <cell r="C104">
            <v>166462.75</v>
          </cell>
          <cell r="D104">
            <v>66541.4148500619</v>
          </cell>
          <cell r="E104">
            <v>99921.3351499381</v>
          </cell>
          <cell r="F104">
            <v>14921658.8576407</v>
          </cell>
        </row>
        <row r="105">
          <cell r="A105">
            <v>37622</v>
          </cell>
          <cell r="B105">
            <v>14921658.8576407</v>
          </cell>
          <cell r="C105">
            <v>166462.75</v>
          </cell>
          <cell r="D105">
            <v>66985.0242823956</v>
          </cell>
          <cell r="E105">
            <v>99477.7257176044</v>
          </cell>
          <cell r="F105">
            <v>14854673.8333583</v>
          </cell>
        </row>
        <row r="106">
          <cell r="A106">
            <v>37653</v>
          </cell>
          <cell r="B106">
            <v>14854673.8333583</v>
          </cell>
          <cell r="C106">
            <v>166462.75</v>
          </cell>
          <cell r="D106">
            <v>67431.5911109449</v>
          </cell>
          <cell r="E106">
            <v>99031.1588890551</v>
          </cell>
          <cell r="F106">
            <v>14787242.2422473</v>
          </cell>
        </row>
        <row r="107">
          <cell r="A107">
            <v>37681</v>
          </cell>
          <cell r="B107">
            <v>14787242.2422473</v>
          </cell>
          <cell r="C107">
            <v>166462.75</v>
          </cell>
          <cell r="D107">
            <v>67881.1350516846</v>
          </cell>
          <cell r="E107">
            <v>98581.6149483154</v>
          </cell>
          <cell r="F107">
            <v>14719361.1071956</v>
          </cell>
        </row>
        <row r="108">
          <cell r="A108">
            <v>37712</v>
          </cell>
          <cell r="B108">
            <v>14719361.1071956</v>
          </cell>
          <cell r="C108">
            <v>166462.75</v>
          </cell>
          <cell r="D108">
            <v>68333.6759520291</v>
          </cell>
          <cell r="E108">
            <v>98129.0740479709</v>
          </cell>
          <cell r="F108">
            <v>14651027.4312436</v>
          </cell>
        </row>
        <row r="109">
          <cell r="A109">
            <v>37742</v>
          </cell>
          <cell r="B109">
            <v>14651027.4312436</v>
          </cell>
          <cell r="C109">
            <v>166462.75</v>
          </cell>
          <cell r="D109">
            <v>68789.2337917093</v>
          </cell>
          <cell r="E109">
            <v>97673.5162082907</v>
          </cell>
          <cell r="F109">
            <v>14582238.1974519</v>
          </cell>
        </row>
        <row r="110">
          <cell r="A110">
            <v>37773</v>
          </cell>
          <cell r="B110">
            <v>14582238.1974519</v>
          </cell>
          <cell r="C110">
            <v>166462.75</v>
          </cell>
          <cell r="D110">
            <v>69247.828683654</v>
          </cell>
          <cell r="E110">
            <v>97214.921316346</v>
          </cell>
          <cell r="F110">
            <v>14512990.3687682</v>
          </cell>
        </row>
        <row r="111">
          <cell r="A111">
            <v>37803</v>
          </cell>
          <cell r="B111">
            <v>14512990.3687682</v>
          </cell>
          <cell r="C111">
            <v>166462.75</v>
          </cell>
          <cell r="D111">
            <v>69709.4808748784</v>
          </cell>
          <cell r="E111">
            <v>96753.2691251216</v>
          </cell>
          <cell r="F111">
            <v>14443280.8878934</v>
          </cell>
        </row>
        <row r="112">
          <cell r="A112">
            <v>37834</v>
          </cell>
          <cell r="B112">
            <v>14443280.8878934</v>
          </cell>
          <cell r="C112">
            <v>166462.75</v>
          </cell>
          <cell r="D112">
            <v>70174.2107473776</v>
          </cell>
          <cell r="E112">
            <v>96288.5392526224</v>
          </cell>
          <cell r="F112">
            <v>14373106.677146</v>
          </cell>
        </row>
        <row r="113">
          <cell r="A113">
            <v>37865</v>
          </cell>
          <cell r="B113">
            <v>14373106.677146</v>
          </cell>
          <cell r="C113">
            <v>166462.75</v>
          </cell>
          <cell r="D113">
            <v>70642.0388190268</v>
          </cell>
          <cell r="E113">
            <v>95820.7111809732</v>
          </cell>
          <cell r="F113">
            <v>14302464.638327</v>
          </cell>
        </row>
        <row r="114">
          <cell r="A114">
            <v>37895</v>
          </cell>
          <cell r="B114">
            <v>14302464.638327</v>
          </cell>
          <cell r="C114">
            <v>166462.75</v>
          </cell>
          <cell r="D114">
            <v>71112.985744487</v>
          </cell>
          <cell r="E114">
            <v>95349.764255513</v>
          </cell>
          <cell r="F114">
            <v>14231351.6525825</v>
          </cell>
        </row>
        <row r="115">
          <cell r="A115">
            <v>37926</v>
          </cell>
          <cell r="B115">
            <v>14231351.6525825</v>
          </cell>
          <cell r="C115">
            <v>166462.75</v>
          </cell>
          <cell r="D115">
            <v>71587.0723161169</v>
          </cell>
          <cell r="E115">
            <v>94875.6776838831</v>
          </cell>
          <cell r="F115">
            <v>14159764.5802664</v>
          </cell>
        </row>
        <row r="116">
          <cell r="A116">
            <v>37956</v>
          </cell>
          <cell r="B116">
            <v>14159764.5802664</v>
          </cell>
          <cell r="C116">
            <v>166462.75</v>
          </cell>
          <cell r="D116">
            <v>72064.319464891</v>
          </cell>
          <cell r="E116">
            <v>94398.430535109</v>
          </cell>
          <cell r="F116">
            <v>14087700.2608015</v>
          </cell>
        </row>
        <row r="117">
          <cell r="A117">
            <v>37987</v>
          </cell>
          <cell r="B117">
            <v>14087700.2608015</v>
          </cell>
          <cell r="C117">
            <v>166462.75</v>
          </cell>
          <cell r="D117">
            <v>72544.7482613236</v>
          </cell>
          <cell r="E117">
            <v>93918.0017386764</v>
          </cell>
          <cell r="F117">
            <v>14015155.5125401</v>
          </cell>
        </row>
        <row r="118">
          <cell r="A118">
            <v>38018</v>
          </cell>
          <cell r="B118">
            <v>14015155.5125401</v>
          </cell>
          <cell r="C118">
            <v>166462.75</v>
          </cell>
          <cell r="D118">
            <v>73028.3799163991</v>
          </cell>
          <cell r="E118">
            <v>93434.3700836009</v>
          </cell>
          <cell r="F118">
            <v>13942127.1326237</v>
          </cell>
        </row>
        <row r="119">
          <cell r="A119">
            <v>38047</v>
          </cell>
          <cell r="B119">
            <v>13942127.1326237</v>
          </cell>
          <cell r="C119">
            <v>166462.75</v>
          </cell>
          <cell r="D119">
            <v>73515.2357825084</v>
          </cell>
          <cell r="E119">
            <v>92947.5142174916</v>
          </cell>
          <cell r="F119">
            <v>13868611.8968412</v>
          </cell>
        </row>
        <row r="120">
          <cell r="A120">
            <v>38078</v>
          </cell>
          <cell r="B120">
            <v>13868611.8968412</v>
          </cell>
          <cell r="C120">
            <v>166462.75</v>
          </cell>
          <cell r="D120">
            <v>74005.3373543918</v>
          </cell>
          <cell r="E120">
            <v>92457.4126456082</v>
          </cell>
          <cell r="F120">
            <v>13794606.5594868</v>
          </cell>
        </row>
        <row r="121">
          <cell r="A121">
            <v>38108</v>
          </cell>
          <cell r="B121">
            <v>13794606.5594868</v>
          </cell>
          <cell r="C121">
            <v>166462.75</v>
          </cell>
          <cell r="D121">
            <v>74498.7062700877</v>
          </cell>
          <cell r="E121">
            <v>91964.0437299123</v>
          </cell>
          <cell r="F121">
            <v>13720107.8532168</v>
          </cell>
        </row>
        <row r="122">
          <cell r="A122">
            <v>38139</v>
          </cell>
          <cell r="B122">
            <v>13720107.8532168</v>
          </cell>
          <cell r="C122">
            <v>166462.75</v>
          </cell>
          <cell r="D122">
            <v>74995.3643118883</v>
          </cell>
          <cell r="E122">
            <v>91467.3856881117</v>
          </cell>
          <cell r="F122">
            <v>13645112.4889049</v>
          </cell>
        </row>
        <row r="123">
          <cell r="A123">
            <v>38169</v>
          </cell>
          <cell r="B123">
            <v>13645112.4889049</v>
          </cell>
          <cell r="C123">
            <v>166462.75</v>
          </cell>
          <cell r="D123">
            <v>75495.3334073009</v>
          </cell>
          <cell r="E123">
            <v>90967.4165926991</v>
          </cell>
          <cell r="F123">
            <v>13569617.1554976</v>
          </cell>
        </row>
        <row r="124">
          <cell r="A124">
            <v>38200</v>
          </cell>
          <cell r="B124">
            <v>13569617.1554976</v>
          </cell>
          <cell r="C124">
            <v>166462.75</v>
          </cell>
          <cell r="D124">
            <v>75998.6356300163</v>
          </cell>
          <cell r="E124">
            <v>90464.1143699837</v>
          </cell>
          <cell r="F124">
            <v>13493618.5198675</v>
          </cell>
        </row>
        <row r="125">
          <cell r="A125">
            <v>38231</v>
          </cell>
          <cell r="B125">
            <v>13493618.5198675</v>
          </cell>
          <cell r="C125">
            <v>166462.75</v>
          </cell>
          <cell r="D125">
            <v>76505.293200883</v>
          </cell>
          <cell r="E125">
            <v>89957.456799117</v>
          </cell>
          <cell r="F125">
            <v>13417113.2266667</v>
          </cell>
        </row>
        <row r="126">
          <cell r="A126">
            <v>38261</v>
          </cell>
          <cell r="B126">
            <v>13417113.2266667</v>
          </cell>
          <cell r="C126">
            <v>166462.75</v>
          </cell>
          <cell r="D126">
            <v>77015.3284888889</v>
          </cell>
          <cell r="E126">
            <v>89447.4215111111</v>
          </cell>
          <cell r="F126">
            <v>13340097.8981778</v>
          </cell>
        </row>
        <row r="127">
          <cell r="A127">
            <v>38292</v>
          </cell>
          <cell r="B127">
            <v>13340097.8981778</v>
          </cell>
          <cell r="C127">
            <v>166462.75</v>
          </cell>
          <cell r="D127">
            <v>77528.7640121482</v>
          </cell>
          <cell r="E127">
            <v>88933.9859878518</v>
          </cell>
          <cell r="F127">
            <v>13262569.1341656</v>
          </cell>
        </row>
        <row r="128">
          <cell r="A128">
            <v>38322</v>
          </cell>
          <cell r="B128">
            <v>13262569.1341656</v>
          </cell>
          <cell r="C128">
            <v>166462.75</v>
          </cell>
          <cell r="D128">
            <v>78045.6224388958</v>
          </cell>
          <cell r="E128">
            <v>88417.1275611042</v>
          </cell>
          <cell r="F128">
            <v>13184523.5117267</v>
          </cell>
        </row>
        <row r="129">
          <cell r="A129">
            <v>38353</v>
          </cell>
          <cell r="B129">
            <v>13184523.5117267</v>
          </cell>
          <cell r="C129">
            <v>166462.75</v>
          </cell>
          <cell r="D129">
            <v>78565.9265884885</v>
          </cell>
          <cell r="E129">
            <v>87896.8234115115</v>
          </cell>
          <cell r="F129">
            <v>13105957.5851382</v>
          </cell>
        </row>
        <row r="130">
          <cell r="A130">
            <v>38384</v>
          </cell>
          <cell r="B130">
            <v>13105957.5851382</v>
          </cell>
          <cell r="C130">
            <v>166462.75</v>
          </cell>
          <cell r="D130">
            <v>79089.6994324117</v>
          </cell>
          <cell r="E130">
            <v>87373.0505675883</v>
          </cell>
          <cell r="F130">
            <v>13026867.8857058</v>
          </cell>
        </row>
        <row r="131">
          <cell r="A131">
            <v>38412</v>
          </cell>
          <cell r="B131">
            <v>13026867.8857058</v>
          </cell>
          <cell r="C131">
            <v>166462.75</v>
          </cell>
          <cell r="D131">
            <v>79616.9640952945</v>
          </cell>
          <cell r="E131">
            <v>86845.7859047055</v>
          </cell>
          <cell r="F131">
            <v>12947250.9216105</v>
          </cell>
        </row>
        <row r="132">
          <cell r="A132">
            <v>38443</v>
          </cell>
          <cell r="B132">
            <v>12947250.9216105</v>
          </cell>
          <cell r="C132">
            <v>166462.75</v>
          </cell>
          <cell r="D132">
            <v>80147.7438559298</v>
          </cell>
          <cell r="E132">
            <v>86315.0061440702</v>
          </cell>
          <cell r="F132">
            <v>12867103.1777546</v>
          </cell>
        </row>
        <row r="133">
          <cell r="A133">
            <v>38473</v>
          </cell>
          <cell r="B133">
            <v>12867103.1777546</v>
          </cell>
          <cell r="C133">
            <v>166462.75</v>
          </cell>
          <cell r="D133">
            <v>80682.0621483026</v>
          </cell>
          <cell r="E133">
            <v>85780.6878516974</v>
          </cell>
          <cell r="F133">
            <v>12786421.1156063</v>
          </cell>
        </row>
        <row r="134">
          <cell r="A134">
            <v>38504</v>
          </cell>
          <cell r="B134">
            <v>12786421.1156063</v>
          </cell>
          <cell r="C134">
            <v>166462.75</v>
          </cell>
          <cell r="D134">
            <v>81219.9425626247</v>
          </cell>
          <cell r="E134">
            <v>85242.8074373753</v>
          </cell>
          <cell r="F134">
            <v>12705201.1730437</v>
          </cell>
        </row>
        <row r="135">
          <cell r="A135">
            <v>38534</v>
          </cell>
          <cell r="B135">
            <v>12705201.1730437</v>
          </cell>
          <cell r="C135">
            <v>166462.75</v>
          </cell>
          <cell r="D135">
            <v>81761.4088463755</v>
          </cell>
          <cell r="E135">
            <v>84701.3411536245</v>
          </cell>
          <cell r="F135">
            <v>12623439.7641973</v>
          </cell>
        </row>
        <row r="136">
          <cell r="A136">
            <v>38565</v>
          </cell>
          <cell r="B136">
            <v>12623439.7641973</v>
          </cell>
          <cell r="C136">
            <v>166462.75</v>
          </cell>
          <cell r="D136">
            <v>82306.4849053513</v>
          </cell>
          <cell r="E136">
            <v>84156.2650946487</v>
          </cell>
          <cell r="F136">
            <v>12541133.279292</v>
          </cell>
        </row>
        <row r="137">
          <cell r="A137">
            <v>38596</v>
          </cell>
          <cell r="B137">
            <v>12541133.279292</v>
          </cell>
          <cell r="C137">
            <v>166462.75</v>
          </cell>
          <cell r="D137">
            <v>82855.1948047203</v>
          </cell>
          <cell r="E137">
            <v>83607.5551952797</v>
          </cell>
          <cell r="F137">
            <v>12458278.0844872</v>
          </cell>
        </row>
        <row r="138">
          <cell r="A138">
            <v>38626</v>
          </cell>
          <cell r="B138">
            <v>12458278.0844872</v>
          </cell>
          <cell r="C138">
            <v>166462.75</v>
          </cell>
          <cell r="D138">
            <v>83407.5627700851</v>
          </cell>
          <cell r="E138">
            <v>83055.1872299149</v>
          </cell>
          <cell r="F138">
            <v>12374870.5217171</v>
          </cell>
        </row>
        <row r="139">
          <cell r="A139">
            <v>38657</v>
          </cell>
          <cell r="B139">
            <v>12374870.5217171</v>
          </cell>
          <cell r="C139">
            <v>166462.75</v>
          </cell>
          <cell r="D139">
            <v>83963.6131885524</v>
          </cell>
          <cell r="E139">
            <v>82499.1368114476</v>
          </cell>
          <cell r="F139">
            <v>12290906.9085286</v>
          </cell>
        </row>
        <row r="140">
          <cell r="A140">
            <v>38687</v>
          </cell>
          <cell r="B140">
            <v>12290906.9085286</v>
          </cell>
          <cell r="C140">
            <v>166462.75</v>
          </cell>
          <cell r="D140">
            <v>84523.3706098094</v>
          </cell>
          <cell r="E140">
            <v>81939.3793901906</v>
          </cell>
          <cell r="F140">
            <v>12206383.5379188</v>
          </cell>
        </row>
        <row r="141">
          <cell r="A141">
            <v>38718</v>
          </cell>
          <cell r="B141">
            <v>12206383.5379188</v>
          </cell>
          <cell r="C141">
            <v>166462.75</v>
          </cell>
          <cell r="D141">
            <v>85086.8597472081</v>
          </cell>
          <cell r="E141">
            <v>81375.8902527919</v>
          </cell>
          <cell r="F141">
            <v>12121296.6781716</v>
          </cell>
        </row>
        <row r="142">
          <cell r="A142">
            <v>38749</v>
          </cell>
          <cell r="B142">
            <v>12121296.6781716</v>
          </cell>
          <cell r="C142">
            <v>166462.75</v>
          </cell>
          <cell r="D142">
            <v>85654.1054788562</v>
          </cell>
          <cell r="E142">
            <v>80808.6445211438</v>
          </cell>
          <cell r="F142">
            <v>12035642.5726927</v>
          </cell>
        </row>
        <row r="143">
          <cell r="A143">
            <v>38777</v>
          </cell>
          <cell r="B143">
            <v>12035642.5726927</v>
          </cell>
          <cell r="C143">
            <v>166462.75</v>
          </cell>
          <cell r="D143">
            <v>86225.1328487152</v>
          </cell>
          <cell r="E143">
            <v>80237.6171512848</v>
          </cell>
          <cell r="F143">
            <v>11949417.439844</v>
          </cell>
        </row>
        <row r="144">
          <cell r="A144">
            <v>38808</v>
          </cell>
          <cell r="B144">
            <v>11949417.439844</v>
          </cell>
          <cell r="C144">
            <v>166462.75</v>
          </cell>
          <cell r="D144">
            <v>86799.9670677066</v>
          </cell>
          <cell r="E144">
            <v>79662.7829322934</v>
          </cell>
          <cell r="F144">
            <v>11862617.4727763</v>
          </cell>
        </row>
        <row r="145">
          <cell r="A145">
            <v>38838</v>
          </cell>
          <cell r="B145">
            <v>11862617.4727763</v>
          </cell>
          <cell r="C145">
            <v>166462.75</v>
          </cell>
          <cell r="D145">
            <v>87378.6335148247</v>
          </cell>
          <cell r="E145">
            <v>79084.1164851753</v>
          </cell>
          <cell r="F145">
            <v>11775238.8392615</v>
          </cell>
        </row>
        <row r="146">
          <cell r="A146">
            <v>38869</v>
          </cell>
          <cell r="B146">
            <v>11775238.8392615</v>
          </cell>
          <cell r="C146">
            <v>166462.75</v>
          </cell>
          <cell r="D146">
            <v>87961.1577382569</v>
          </cell>
          <cell r="E146">
            <v>78501.5922617431</v>
          </cell>
          <cell r="F146">
            <v>11687277.6815232</v>
          </cell>
        </row>
        <row r="147">
          <cell r="A147">
            <v>38899</v>
          </cell>
          <cell r="B147">
            <v>11687277.6815232</v>
          </cell>
          <cell r="C147">
            <v>166462.75</v>
          </cell>
          <cell r="D147">
            <v>88547.5654565119</v>
          </cell>
          <cell r="E147">
            <v>77915.1845434881</v>
          </cell>
          <cell r="F147">
            <v>11598730.1160667</v>
          </cell>
        </row>
        <row r="148">
          <cell r="A148">
            <v>38930</v>
          </cell>
          <cell r="B148">
            <v>11598730.1160667</v>
          </cell>
          <cell r="C148">
            <v>166462.75</v>
          </cell>
          <cell r="D148">
            <v>89137.8825595553</v>
          </cell>
          <cell r="E148">
            <v>77324.8674404447</v>
          </cell>
          <cell r="F148">
            <v>11509592.2335071</v>
          </cell>
        </row>
        <row r="149">
          <cell r="A149">
            <v>38961</v>
          </cell>
          <cell r="B149">
            <v>11509592.2335071</v>
          </cell>
          <cell r="C149">
            <v>166462.75</v>
          </cell>
          <cell r="D149">
            <v>89732.1351099523</v>
          </cell>
          <cell r="E149">
            <v>76730.6148900477</v>
          </cell>
          <cell r="F149">
            <v>11419860.0983972</v>
          </cell>
        </row>
        <row r="150">
          <cell r="A150">
            <v>38991</v>
          </cell>
          <cell r="B150">
            <v>11419860.0983972</v>
          </cell>
          <cell r="C150">
            <v>166462.75</v>
          </cell>
          <cell r="D150">
            <v>90330.3493440187</v>
          </cell>
          <cell r="E150">
            <v>76132.4006559813</v>
          </cell>
          <cell r="F150">
            <v>11329529.7490532</v>
          </cell>
        </row>
        <row r="151">
          <cell r="A151">
            <v>39022</v>
          </cell>
          <cell r="B151">
            <v>11329529.7490532</v>
          </cell>
          <cell r="C151">
            <v>166462.75</v>
          </cell>
          <cell r="D151">
            <v>90932.5516729788</v>
          </cell>
          <cell r="E151">
            <v>75530.1983270212</v>
          </cell>
          <cell r="F151">
            <v>11238597.1973802</v>
          </cell>
        </row>
        <row r="152">
          <cell r="A152">
            <v>39052</v>
          </cell>
          <cell r="B152">
            <v>11238597.1973802</v>
          </cell>
          <cell r="C152">
            <v>166462.75</v>
          </cell>
          <cell r="D152">
            <v>91538.768684132</v>
          </cell>
          <cell r="E152">
            <v>74923.981315868</v>
          </cell>
          <cell r="F152">
            <v>11147058.4286961</v>
          </cell>
        </row>
        <row r="153">
          <cell r="A153">
            <v>39083</v>
          </cell>
          <cell r="B153">
            <v>11147058.4286961</v>
          </cell>
          <cell r="C153">
            <v>166462.75</v>
          </cell>
          <cell r="D153">
            <v>92149.0271420262</v>
          </cell>
          <cell r="E153">
            <v>74313.7228579738</v>
          </cell>
          <cell r="F153">
            <v>11054909.401554</v>
          </cell>
        </row>
        <row r="154">
          <cell r="A154">
            <v>39114</v>
          </cell>
          <cell r="B154">
            <v>11054909.401554</v>
          </cell>
          <cell r="C154">
            <v>166462.75</v>
          </cell>
          <cell r="D154">
            <v>92763.3539896397</v>
          </cell>
          <cell r="E154">
            <v>73699.3960103603</v>
          </cell>
          <cell r="F154">
            <v>10962146.0475644</v>
          </cell>
        </row>
        <row r="155">
          <cell r="A155">
            <v>39142</v>
          </cell>
          <cell r="B155">
            <v>10962146.0475644</v>
          </cell>
          <cell r="C155">
            <v>166462.75</v>
          </cell>
          <cell r="D155">
            <v>93381.7763495707</v>
          </cell>
          <cell r="E155">
            <v>73080.9736504293</v>
          </cell>
          <cell r="F155">
            <v>10868764.2712148</v>
          </cell>
        </row>
        <row r="156">
          <cell r="A156">
            <v>39173</v>
          </cell>
          <cell r="B156">
            <v>10868764.2712148</v>
          </cell>
          <cell r="C156">
            <v>166462.75</v>
          </cell>
          <cell r="D156">
            <v>94004.3215252345</v>
          </cell>
          <cell r="E156">
            <v>72458.4284747655</v>
          </cell>
          <cell r="F156">
            <v>10774759.9496896</v>
          </cell>
        </row>
        <row r="157">
          <cell r="A157">
            <v>39203</v>
          </cell>
          <cell r="B157">
            <v>10774759.9496896</v>
          </cell>
          <cell r="C157">
            <v>166462.75</v>
          </cell>
          <cell r="D157">
            <v>94631.0170020694</v>
          </cell>
          <cell r="E157">
            <v>71831.7329979306</v>
          </cell>
          <cell r="F157">
            <v>10680128.9326875</v>
          </cell>
        </row>
        <row r="158">
          <cell r="A158">
            <v>39234</v>
          </cell>
          <cell r="B158">
            <v>10680128.9326875</v>
          </cell>
          <cell r="C158">
            <v>166462.75</v>
          </cell>
          <cell r="D158">
            <v>95261.8904487498</v>
          </cell>
          <cell r="E158">
            <v>71200.8595512502</v>
          </cell>
          <cell r="F158">
            <v>10584867.0422388</v>
          </cell>
        </row>
        <row r="159">
          <cell r="A159">
            <v>39264</v>
          </cell>
          <cell r="B159">
            <v>10584867.0422388</v>
          </cell>
          <cell r="C159">
            <v>166462.75</v>
          </cell>
          <cell r="D159">
            <v>95896.9697184081</v>
          </cell>
          <cell r="E159">
            <v>70565.7802815919</v>
          </cell>
          <cell r="F159">
            <v>10488970.0725204</v>
          </cell>
        </row>
        <row r="160">
          <cell r="A160">
            <v>39295</v>
          </cell>
          <cell r="B160">
            <v>10488970.0725204</v>
          </cell>
          <cell r="C160">
            <v>166462.75</v>
          </cell>
          <cell r="D160">
            <v>96536.2828498642</v>
          </cell>
          <cell r="E160">
            <v>69926.4671501358</v>
          </cell>
          <cell r="F160">
            <v>10392433.7896705</v>
          </cell>
        </row>
        <row r="161">
          <cell r="A161">
            <v>39326</v>
          </cell>
          <cell r="B161">
            <v>10392433.7896705</v>
          </cell>
          <cell r="C161">
            <v>166462.75</v>
          </cell>
          <cell r="D161">
            <v>97179.8580688633</v>
          </cell>
          <cell r="E161">
            <v>69282.8919311367</v>
          </cell>
          <cell r="F161">
            <v>10295253.9316016</v>
          </cell>
        </row>
        <row r="162">
          <cell r="A162">
            <v>39356</v>
          </cell>
          <cell r="B162">
            <v>10295253.9316016</v>
          </cell>
          <cell r="C162">
            <v>166462.75</v>
          </cell>
          <cell r="D162">
            <v>97827.7237893224</v>
          </cell>
          <cell r="E162">
            <v>68635.0262106776</v>
          </cell>
          <cell r="F162">
            <v>10197426.2078123</v>
          </cell>
        </row>
        <row r="163">
          <cell r="A163">
            <v>39387</v>
          </cell>
          <cell r="B163">
            <v>10197426.2078123</v>
          </cell>
          <cell r="C163">
            <v>166462.75</v>
          </cell>
          <cell r="D163">
            <v>98479.9086145845</v>
          </cell>
          <cell r="E163">
            <v>67982.8413854155</v>
          </cell>
          <cell r="F163">
            <v>10098946.2991977</v>
          </cell>
        </row>
        <row r="164">
          <cell r="A164">
            <v>39417</v>
          </cell>
          <cell r="B164">
            <v>10098946.2991977</v>
          </cell>
          <cell r="C164">
            <v>166462.75</v>
          </cell>
          <cell r="D164">
            <v>99136.4413386818</v>
          </cell>
          <cell r="E164">
            <v>67326.3086613182</v>
          </cell>
          <cell r="F164">
            <v>9999809.85785905</v>
          </cell>
        </row>
        <row r="165">
          <cell r="A165">
            <v>39448</v>
          </cell>
          <cell r="B165">
            <v>9999809.85785905</v>
          </cell>
          <cell r="C165">
            <v>166462.75</v>
          </cell>
          <cell r="D165">
            <v>99797.3509476063</v>
          </cell>
          <cell r="E165">
            <v>66665.3990523937</v>
          </cell>
          <cell r="F165">
            <v>9900012.50691145</v>
          </cell>
        </row>
        <row r="166">
          <cell r="A166">
            <v>39479</v>
          </cell>
          <cell r="B166">
            <v>9900012.50691145</v>
          </cell>
          <cell r="C166">
            <v>166462.75</v>
          </cell>
          <cell r="D166">
            <v>100462.66662059</v>
          </cell>
          <cell r="E166">
            <v>66000.0833794096</v>
          </cell>
          <cell r="F166">
            <v>9799549.84029086</v>
          </cell>
        </row>
        <row r="167">
          <cell r="A167">
            <v>39508</v>
          </cell>
          <cell r="B167">
            <v>9799549.84029086</v>
          </cell>
          <cell r="C167">
            <v>166462.75</v>
          </cell>
          <cell r="D167">
            <v>101132.417731394</v>
          </cell>
          <cell r="E167">
            <v>65330.3322686057</v>
          </cell>
          <cell r="F167">
            <v>9698417.42255946</v>
          </cell>
        </row>
        <row r="168">
          <cell r="A168">
            <v>39539</v>
          </cell>
          <cell r="B168">
            <v>9698417.42255946</v>
          </cell>
          <cell r="C168">
            <v>166462.75</v>
          </cell>
          <cell r="D168">
            <v>101806.633849604</v>
          </cell>
          <cell r="E168">
            <v>64656.1161503964</v>
          </cell>
          <cell r="F168">
            <v>9596610.78870986</v>
          </cell>
        </row>
        <row r="169">
          <cell r="A169">
            <v>39569</v>
          </cell>
          <cell r="B169">
            <v>9596610.78870986</v>
          </cell>
          <cell r="C169">
            <v>166462.75</v>
          </cell>
          <cell r="D169">
            <v>102485.344741934</v>
          </cell>
          <cell r="E169">
            <v>63977.4052580657</v>
          </cell>
          <cell r="F169">
            <v>9494125.44396792</v>
          </cell>
        </row>
        <row r="170">
          <cell r="A170">
            <v>39600</v>
          </cell>
          <cell r="B170">
            <v>9494125.44396792</v>
          </cell>
          <cell r="C170">
            <v>166462.75</v>
          </cell>
          <cell r="D170">
            <v>103168.580373547</v>
          </cell>
          <cell r="E170">
            <v>63294.1696264528</v>
          </cell>
          <cell r="F170">
            <v>9390956.86359437</v>
          </cell>
        </row>
        <row r="171">
          <cell r="A171">
            <v>39630</v>
          </cell>
          <cell r="B171">
            <v>9390956.86359437</v>
          </cell>
          <cell r="C171">
            <v>166462.75</v>
          </cell>
          <cell r="D171">
            <v>103856.370909371</v>
          </cell>
          <cell r="E171">
            <v>62606.3790906292</v>
          </cell>
          <cell r="F171">
            <v>9287100.492685</v>
          </cell>
        </row>
        <row r="172">
          <cell r="A172">
            <v>39661</v>
          </cell>
          <cell r="B172">
            <v>9287100.492685</v>
          </cell>
          <cell r="C172">
            <v>166462.75</v>
          </cell>
          <cell r="D172">
            <v>104548.746715433</v>
          </cell>
          <cell r="E172">
            <v>61914.0032845667</v>
          </cell>
          <cell r="F172">
            <v>9182551.74596957</v>
          </cell>
        </row>
        <row r="173">
          <cell r="A173">
            <v>39692</v>
          </cell>
          <cell r="B173">
            <v>9182551.74596957</v>
          </cell>
          <cell r="C173">
            <v>166462.75</v>
          </cell>
          <cell r="D173">
            <v>105245.738360203</v>
          </cell>
          <cell r="E173">
            <v>61217.0116397971</v>
          </cell>
          <cell r="F173">
            <v>9077306.00760937</v>
          </cell>
        </row>
        <row r="174">
          <cell r="A174">
            <v>39722</v>
          </cell>
          <cell r="B174">
            <v>9077306.00760937</v>
          </cell>
          <cell r="C174">
            <v>166462.75</v>
          </cell>
          <cell r="D174">
            <v>105947.376615938</v>
          </cell>
          <cell r="E174">
            <v>60515.3733840625</v>
          </cell>
          <cell r="F174">
            <v>8971358.63099343</v>
          </cell>
        </row>
        <row r="175">
          <cell r="A175">
            <v>39753</v>
          </cell>
          <cell r="B175">
            <v>8971358.63099343</v>
          </cell>
          <cell r="C175">
            <v>166462.75</v>
          </cell>
          <cell r="D175">
            <v>106653.692460044</v>
          </cell>
          <cell r="E175">
            <v>59809.0575399562</v>
          </cell>
          <cell r="F175">
            <v>8864704.93853339</v>
          </cell>
        </row>
        <row r="176">
          <cell r="A176">
            <v>39783</v>
          </cell>
          <cell r="B176">
            <v>8864704.93853339</v>
          </cell>
          <cell r="C176">
            <v>166462.75</v>
          </cell>
          <cell r="D176">
            <v>107364.717076444</v>
          </cell>
          <cell r="E176">
            <v>59098.0329235559</v>
          </cell>
          <cell r="F176">
            <v>8757340.22145694</v>
          </cell>
        </row>
        <row r="177">
          <cell r="A177">
            <v>39814</v>
          </cell>
          <cell r="B177">
            <v>8757340.22145694</v>
          </cell>
          <cell r="C177">
            <v>166462.75</v>
          </cell>
          <cell r="D177">
            <v>108080.481856954</v>
          </cell>
          <cell r="E177">
            <v>58382.2681430463</v>
          </cell>
          <cell r="F177">
            <v>8649259.73959999</v>
          </cell>
        </row>
        <row r="178">
          <cell r="A178">
            <v>39845</v>
          </cell>
          <cell r="B178">
            <v>8649259.73959999</v>
          </cell>
          <cell r="C178">
            <v>166462.75</v>
          </cell>
          <cell r="D178">
            <v>108801.018402667</v>
          </cell>
          <cell r="E178">
            <v>57661.7315973333</v>
          </cell>
          <cell r="F178">
            <v>8540458.72119732</v>
          </cell>
        </row>
        <row r="179">
          <cell r="A179">
            <v>39873</v>
          </cell>
          <cell r="B179">
            <v>8540458.72119732</v>
          </cell>
          <cell r="C179">
            <v>166462.75</v>
          </cell>
          <cell r="D179">
            <v>109526.358525351</v>
          </cell>
          <cell r="E179">
            <v>56936.3914746488</v>
          </cell>
          <cell r="F179">
            <v>8430932.36267197</v>
          </cell>
        </row>
        <row r="180">
          <cell r="A180">
            <v>39904</v>
          </cell>
          <cell r="B180">
            <v>8430932.36267197</v>
          </cell>
          <cell r="C180">
            <v>166462.75</v>
          </cell>
          <cell r="D180">
            <v>110256.534248854</v>
          </cell>
          <cell r="E180">
            <v>56206.2157511465</v>
          </cell>
          <cell r="F180">
            <v>8320675.82842312</v>
          </cell>
        </row>
        <row r="181">
          <cell r="A181">
            <v>39934</v>
          </cell>
          <cell r="B181">
            <v>8320675.82842312</v>
          </cell>
          <cell r="C181">
            <v>166462.75</v>
          </cell>
          <cell r="D181">
            <v>110991.577810513</v>
          </cell>
          <cell r="E181">
            <v>55471.1721894875</v>
          </cell>
          <cell r="F181">
            <v>8209684.25061261</v>
          </cell>
        </row>
        <row r="182">
          <cell r="A182">
            <v>39965</v>
          </cell>
          <cell r="B182">
            <v>8209684.25061261</v>
          </cell>
          <cell r="C182">
            <v>166462.75</v>
          </cell>
          <cell r="D182">
            <v>111731.521662583</v>
          </cell>
          <cell r="E182">
            <v>54731.2283374174</v>
          </cell>
          <cell r="F182">
            <v>8097952.72895002</v>
          </cell>
        </row>
        <row r="183">
          <cell r="A183">
            <v>39995</v>
          </cell>
          <cell r="B183">
            <v>8097952.72895002</v>
          </cell>
          <cell r="C183">
            <v>166462.75</v>
          </cell>
          <cell r="D183">
            <v>112476.398473667</v>
          </cell>
          <cell r="E183">
            <v>53986.3515263335</v>
          </cell>
          <cell r="F183">
            <v>7985476.33047636</v>
          </cell>
        </row>
        <row r="184">
          <cell r="A184">
            <v>40026</v>
          </cell>
          <cell r="B184">
            <v>7985476.33047636</v>
          </cell>
          <cell r="C184">
            <v>166462.75</v>
          </cell>
          <cell r="D184">
            <v>113226.241130158</v>
          </cell>
          <cell r="E184">
            <v>53236.5088698424</v>
          </cell>
          <cell r="F184">
            <v>7872250.0893462</v>
          </cell>
        </row>
        <row r="185">
          <cell r="A185">
            <v>40057</v>
          </cell>
          <cell r="B185">
            <v>7872250.0893462</v>
          </cell>
          <cell r="C185">
            <v>166462.75</v>
          </cell>
          <cell r="D185">
            <v>113981.082737692</v>
          </cell>
          <cell r="E185">
            <v>52481.667262308</v>
          </cell>
          <cell r="F185">
            <v>7758269.00660851</v>
          </cell>
        </row>
        <row r="186">
          <cell r="A186">
            <v>40087</v>
          </cell>
          <cell r="B186">
            <v>7758269.00660851</v>
          </cell>
          <cell r="C186">
            <v>166462.75</v>
          </cell>
          <cell r="D186">
            <v>114740.95662261</v>
          </cell>
          <cell r="E186">
            <v>51721.7933773901</v>
          </cell>
          <cell r="F186">
            <v>7643528.0499859</v>
          </cell>
        </row>
        <row r="187">
          <cell r="A187">
            <v>40118</v>
          </cell>
          <cell r="B187">
            <v>7643528.0499859</v>
          </cell>
          <cell r="C187">
            <v>166462.75</v>
          </cell>
          <cell r="D187">
            <v>115505.896333427</v>
          </cell>
          <cell r="E187">
            <v>50956.8536665727</v>
          </cell>
          <cell r="F187">
            <v>7528022.15365247</v>
          </cell>
        </row>
        <row r="188">
          <cell r="A188">
            <v>40148</v>
          </cell>
          <cell r="B188">
            <v>7528022.15365247</v>
          </cell>
          <cell r="C188">
            <v>166462.75</v>
          </cell>
          <cell r="D188">
            <v>116275.935642317</v>
          </cell>
          <cell r="E188">
            <v>50186.8143576831</v>
          </cell>
          <cell r="F188">
            <v>7411746.21801015</v>
          </cell>
        </row>
        <row r="189">
          <cell r="A189">
            <v>40179</v>
          </cell>
          <cell r="B189">
            <v>7411746.21801015</v>
          </cell>
          <cell r="C189">
            <v>166462.75</v>
          </cell>
          <cell r="D189">
            <v>117051.108546599</v>
          </cell>
          <cell r="E189">
            <v>49411.641453401</v>
          </cell>
          <cell r="F189">
            <v>7294695.10946355</v>
          </cell>
        </row>
        <row r="190">
          <cell r="A190">
            <v>40210</v>
          </cell>
          <cell r="B190">
            <v>7294695.10946355</v>
          </cell>
          <cell r="C190">
            <v>166462.75</v>
          </cell>
          <cell r="D190">
            <v>117831.449270243</v>
          </cell>
          <cell r="E190">
            <v>48631.300729757</v>
          </cell>
          <cell r="F190">
            <v>7176863.66019331</v>
          </cell>
        </row>
        <row r="191">
          <cell r="A191">
            <v>40238</v>
          </cell>
          <cell r="B191">
            <v>7176863.66019331</v>
          </cell>
          <cell r="C191">
            <v>166462.75</v>
          </cell>
          <cell r="D191">
            <v>118616.992265378</v>
          </cell>
          <cell r="E191">
            <v>47845.7577346221</v>
          </cell>
          <cell r="F191">
            <v>7058246.66792793</v>
          </cell>
        </row>
        <row r="192">
          <cell r="A192">
            <v>40269</v>
          </cell>
          <cell r="B192">
            <v>7058246.66792793</v>
          </cell>
          <cell r="C192">
            <v>166462.75</v>
          </cell>
          <cell r="D192">
            <v>119407.772213814</v>
          </cell>
          <cell r="E192">
            <v>47054.9777861862</v>
          </cell>
          <cell r="F192">
            <v>6938838.89571412</v>
          </cell>
        </row>
        <row r="193">
          <cell r="A193">
            <v>40299</v>
          </cell>
          <cell r="B193">
            <v>6938838.89571412</v>
          </cell>
          <cell r="C193">
            <v>166462.75</v>
          </cell>
          <cell r="D193">
            <v>120203.824028573</v>
          </cell>
          <cell r="E193">
            <v>46258.9259714275</v>
          </cell>
          <cell r="F193">
            <v>6818635.07168555</v>
          </cell>
        </row>
        <row r="194">
          <cell r="A194">
            <v>40330</v>
          </cell>
          <cell r="B194">
            <v>6818635.07168555</v>
          </cell>
          <cell r="C194">
            <v>166462.75</v>
          </cell>
          <cell r="D194">
            <v>121005.18285543</v>
          </cell>
          <cell r="E194">
            <v>45457.5671445703</v>
          </cell>
          <cell r="F194">
            <v>6697629.88883012</v>
          </cell>
        </row>
        <row r="195">
          <cell r="A195">
            <v>40360</v>
          </cell>
          <cell r="B195">
            <v>6697629.88883012</v>
          </cell>
          <cell r="C195">
            <v>166462.75</v>
          </cell>
          <cell r="D195">
            <v>121811.884074466</v>
          </cell>
          <cell r="E195">
            <v>44650.8659255341</v>
          </cell>
          <cell r="F195">
            <v>6575818.00475565</v>
          </cell>
        </row>
        <row r="196">
          <cell r="A196">
            <v>40391</v>
          </cell>
          <cell r="B196">
            <v>6575818.00475565</v>
          </cell>
          <cell r="C196">
            <v>166462.75</v>
          </cell>
          <cell r="D196">
            <v>122623.963301629</v>
          </cell>
          <cell r="E196">
            <v>43838.786698371</v>
          </cell>
          <cell r="F196">
            <v>6453194.04145402</v>
          </cell>
        </row>
        <row r="197">
          <cell r="A197">
            <v>40422</v>
          </cell>
          <cell r="B197">
            <v>6453194.04145402</v>
          </cell>
          <cell r="C197">
            <v>166462.75</v>
          </cell>
          <cell r="D197">
            <v>123441.456390307</v>
          </cell>
          <cell r="E197">
            <v>43021.2936096935</v>
          </cell>
          <cell r="F197">
            <v>6329752.58506372</v>
          </cell>
        </row>
        <row r="198">
          <cell r="A198">
            <v>40452</v>
          </cell>
          <cell r="B198">
            <v>6329752.58506372</v>
          </cell>
          <cell r="C198">
            <v>166462.75</v>
          </cell>
          <cell r="D198">
            <v>124264.399432909</v>
          </cell>
          <cell r="E198">
            <v>42198.3505670914</v>
          </cell>
          <cell r="F198">
            <v>6205488.18563081</v>
          </cell>
        </row>
        <row r="199">
          <cell r="A199">
            <v>40483</v>
          </cell>
          <cell r="B199">
            <v>6205488.18563081</v>
          </cell>
          <cell r="C199">
            <v>166462.75</v>
          </cell>
          <cell r="D199">
            <v>125092.828762461</v>
          </cell>
          <cell r="E199">
            <v>41369.9212375387</v>
          </cell>
          <cell r="F199">
            <v>6080395.35686835</v>
          </cell>
        </row>
        <row r="200">
          <cell r="A200">
            <v>40513</v>
          </cell>
          <cell r="B200">
            <v>6080395.35686835</v>
          </cell>
          <cell r="C200">
            <v>166462.75</v>
          </cell>
          <cell r="D200">
            <v>125926.780954211</v>
          </cell>
          <cell r="E200">
            <v>40535.969045789</v>
          </cell>
          <cell r="F200">
            <v>5954468.57591413</v>
          </cell>
        </row>
        <row r="201">
          <cell r="A201">
            <v>40544</v>
          </cell>
          <cell r="B201">
            <v>5954468.57591413</v>
          </cell>
          <cell r="C201">
            <v>166462.75</v>
          </cell>
          <cell r="D201">
            <v>126766.292827239</v>
          </cell>
          <cell r="E201">
            <v>39696.4571727609</v>
          </cell>
          <cell r="F201">
            <v>5827702.2830869</v>
          </cell>
        </row>
        <row r="202">
          <cell r="A202">
            <v>40575</v>
          </cell>
          <cell r="B202">
            <v>5827702.2830869</v>
          </cell>
          <cell r="C202">
            <v>166462.75</v>
          </cell>
          <cell r="D202">
            <v>127611.401446087</v>
          </cell>
          <cell r="E202">
            <v>38851.3485539126</v>
          </cell>
          <cell r="F202">
            <v>5700090.88164081</v>
          </cell>
        </row>
        <row r="203">
          <cell r="A203">
            <v>40603</v>
          </cell>
          <cell r="B203">
            <v>5700090.88164081</v>
          </cell>
          <cell r="C203">
            <v>166462.75</v>
          </cell>
          <cell r="D203">
            <v>128462.144122395</v>
          </cell>
          <cell r="E203">
            <v>38000.6058776054</v>
          </cell>
          <cell r="F203">
            <v>5571628.73751841</v>
          </cell>
        </row>
        <row r="204">
          <cell r="A204">
            <v>40634</v>
          </cell>
          <cell r="B204">
            <v>5571628.73751841</v>
          </cell>
          <cell r="C204">
            <v>166462.75</v>
          </cell>
          <cell r="D204">
            <v>129318.558416544</v>
          </cell>
          <cell r="E204">
            <v>37144.1915834561</v>
          </cell>
          <cell r="F204">
            <v>5442310.17910187</v>
          </cell>
        </row>
        <row r="205">
          <cell r="A205">
            <v>40664</v>
          </cell>
          <cell r="B205">
            <v>5442310.17910187</v>
          </cell>
          <cell r="C205">
            <v>166462.75</v>
          </cell>
          <cell r="D205">
            <v>130180.682139321</v>
          </cell>
          <cell r="E205">
            <v>36282.0678606791</v>
          </cell>
          <cell r="F205">
            <v>5312129.49696255</v>
          </cell>
        </row>
        <row r="206">
          <cell r="A206">
            <v>40695</v>
          </cell>
          <cell r="B206">
            <v>5312129.49696255</v>
          </cell>
          <cell r="C206">
            <v>166462.75</v>
          </cell>
          <cell r="D206">
            <v>131048.553353583</v>
          </cell>
          <cell r="E206">
            <v>35414.196646417</v>
          </cell>
          <cell r="F206">
            <v>5181080.94360896</v>
          </cell>
        </row>
        <row r="207">
          <cell r="A207">
            <v>40725</v>
          </cell>
          <cell r="B207">
            <v>5181080.94360896</v>
          </cell>
          <cell r="C207">
            <v>166462.75</v>
          </cell>
          <cell r="D207">
            <v>131922.21037594</v>
          </cell>
          <cell r="E207">
            <v>34540.5396240598</v>
          </cell>
          <cell r="F207">
            <v>5049158.73323302</v>
          </cell>
        </row>
        <row r="208">
          <cell r="A208">
            <v>40756</v>
          </cell>
          <cell r="B208">
            <v>5049158.73323302</v>
          </cell>
          <cell r="C208">
            <v>166462.75</v>
          </cell>
          <cell r="D208">
            <v>132801.691778446</v>
          </cell>
          <cell r="E208">
            <v>33661.0582215535</v>
          </cell>
          <cell r="F208">
            <v>4916357.04145458</v>
          </cell>
        </row>
        <row r="209">
          <cell r="A209">
            <v>40787</v>
          </cell>
          <cell r="B209">
            <v>4916357.04145458</v>
          </cell>
          <cell r="C209">
            <v>166462.75</v>
          </cell>
          <cell r="D209">
            <v>133687.036390303</v>
          </cell>
          <cell r="E209">
            <v>32775.7136096972</v>
          </cell>
          <cell r="F209">
            <v>4782670.00506428</v>
          </cell>
        </row>
        <row r="210">
          <cell r="A210">
            <v>40817</v>
          </cell>
          <cell r="B210">
            <v>4782670.00506428</v>
          </cell>
          <cell r="C210">
            <v>166462.75</v>
          </cell>
          <cell r="D210">
            <v>134578.283299571</v>
          </cell>
          <cell r="E210">
            <v>31884.4667004285</v>
          </cell>
          <cell r="F210">
            <v>4648091.7217647</v>
          </cell>
        </row>
        <row r="211">
          <cell r="A211">
            <v>40848</v>
          </cell>
          <cell r="B211">
            <v>4648091.7217647</v>
          </cell>
          <cell r="C211">
            <v>166462.75</v>
          </cell>
          <cell r="D211">
            <v>135475.471854902</v>
          </cell>
          <cell r="E211">
            <v>30987.278145098</v>
          </cell>
          <cell r="F211">
            <v>4512616.2499098</v>
          </cell>
        </row>
        <row r="212">
          <cell r="A212">
            <v>40878</v>
          </cell>
          <cell r="B212">
            <v>4512616.2499098</v>
          </cell>
          <cell r="C212">
            <v>166462.75</v>
          </cell>
          <cell r="D212">
            <v>136378.641667268</v>
          </cell>
          <cell r="E212">
            <v>30084.108332732</v>
          </cell>
          <cell r="F212">
            <v>4376237.60824253</v>
          </cell>
        </row>
        <row r="213">
          <cell r="A213">
            <v>40909</v>
          </cell>
          <cell r="B213">
            <v>4376237.60824253</v>
          </cell>
          <cell r="C213">
            <v>166462.75</v>
          </cell>
          <cell r="D213">
            <v>137287.832611716</v>
          </cell>
          <cell r="E213">
            <v>29174.9173882836</v>
          </cell>
          <cell r="F213">
            <v>4238949.77563082</v>
          </cell>
        </row>
        <row r="214">
          <cell r="A214">
            <v>40940</v>
          </cell>
          <cell r="B214">
            <v>4238949.77563082</v>
          </cell>
          <cell r="C214">
            <v>166462.75</v>
          </cell>
          <cell r="D214">
            <v>138203.084829128</v>
          </cell>
          <cell r="E214">
            <v>28259.6651708721</v>
          </cell>
          <cell r="F214">
            <v>4100746.69080169</v>
          </cell>
        </row>
        <row r="215">
          <cell r="A215">
            <v>40969</v>
          </cell>
          <cell r="B215">
            <v>4100746.69080169</v>
          </cell>
          <cell r="C215">
            <v>166462.75</v>
          </cell>
          <cell r="D215">
            <v>139124.438727989</v>
          </cell>
          <cell r="E215">
            <v>27338.3112720113</v>
          </cell>
          <cell r="F215">
            <v>3961622.2520737</v>
          </cell>
        </row>
        <row r="216">
          <cell r="A216">
            <v>41000</v>
          </cell>
          <cell r="B216">
            <v>3961622.2520737</v>
          </cell>
          <cell r="C216">
            <v>166462.75</v>
          </cell>
          <cell r="D216">
            <v>140051.934986175</v>
          </cell>
          <cell r="E216">
            <v>26410.8150138247</v>
          </cell>
          <cell r="F216">
            <v>3821570.31708752</v>
          </cell>
        </row>
        <row r="217">
          <cell r="A217">
            <v>41030</v>
          </cell>
          <cell r="B217">
            <v>3821570.31708752</v>
          </cell>
          <cell r="C217">
            <v>166462.75</v>
          </cell>
          <cell r="D217">
            <v>140985.61455275</v>
          </cell>
          <cell r="E217">
            <v>25477.1354472502</v>
          </cell>
          <cell r="F217">
            <v>3680584.70253477</v>
          </cell>
        </row>
        <row r="218">
          <cell r="A218">
            <v>41061</v>
          </cell>
          <cell r="B218">
            <v>3680584.70253477</v>
          </cell>
          <cell r="C218">
            <v>166462.75</v>
          </cell>
          <cell r="D218">
            <v>141925.518649768</v>
          </cell>
          <cell r="E218">
            <v>24537.2313502318</v>
          </cell>
          <cell r="F218">
            <v>3538659.18388501</v>
          </cell>
        </row>
        <row r="219">
          <cell r="A219">
            <v>41091</v>
          </cell>
          <cell r="B219">
            <v>3538659.18388501</v>
          </cell>
          <cell r="C219">
            <v>166462.75</v>
          </cell>
          <cell r="D219">
            <v>142871.6887741</v>
          </cell>
          <cell r="E219">
            <v>23591.0612259</v>
          </cell>
          <cell r="F219">
            <v>3395787.49511091</v>
          </cell>
        </row>
        <row r="220">
          <cell r="A220">
            <v>41122</v>
          </cell>
          <cell r="B220">
            <v>3395787.49511091</v>
          </cell>
          <cell r="C220">
            <v>166462.75</v>
          </cell>
          <cell r="D220">
            <v>143824.166699261</v>
          </cell>
          <cell r="E220">
            <v>22638.5833007394</v>
          </cell>
          <cell r="F220">
            <v>3251963.32841165</v>
          </cell>
        </row>
        <row r="221">
          <cell r="A221">
            <v>41153</v>
          </cell>
          <cell r="B221">
            <v>3251963.32841165</v>
          </cell>
          <cell r="C221">
            <v>166462.75</v>
          </cell>
          <cell r="D221">
            <v>144782.994477256</v>
          </cell>
          <cell r="E221">
            <v>21679.7555227443</v>
          </cell>
          <cell r="F221">
            <v>3107180.33393439</v>
          </cell>
        </row>
        <row r="222">
          <cell r="A222">
            <v>41183</v>
          </cell>
          <cell r="B222">
            <v>3107180.33393439</v>
          </cell>
          <cell r="C222">
            <v>166462.75</v>
          </cell>
          <cell r="D222">
            <v>145748.214440437</v>
          </cell>
          <cell r="E222">
            <v>20714.5355595626</v>
          </cell>
          <cell r="F222">
            <v>2961432.11949395</v>
          </cell>
        </row>
        <row r="223">
          <cell r="A223">
            <v>41214</v>
          </cell>
          <cell r="B223">
            <v>2961432.11949395</v>
          </cell>
          <cell r="C223">
            <v>166462.75</v>
          </cell>
          <cell r="D223">
            <v>146719.869203374</v>
          </cell>
          <cell r="E223">
            <v>19742.8807966264</v>
          </cell>
          <cell r="F223">
            <v>2814712.25029058</v>
          </cell>
        </row>
        <row r="224">
          <cell r="A224">
            <v>41244</v>
          </cell>
          <cell r="B224">
            <v>2814712.25029058</v>
          </cell>
          <cell r="C224">
            <v>166462.75</v>
          </cell>
          <cell r="D224">
            <v>147698.001664729</v>
          </cell>
          <cell r="E224">
            <v>18764.7483352705</v>
          </cell>
          <cell r="F224">
            <v>2667014.24862585</v>
          </cell>
        </row>
        <row r="225">
          <cell r="A225">
            <v>41275</v>
          </cell>
          <cell r="B225">
            <v>2667014.24862585</v>
          </cell>
          <cell r="C225">
            <v>166462.75</v>
          </cell>
          <cell r="D225">
            <v>148682.655009161</v>
          </cell>
          <cell r="E225">
            <v>17780.094990839</v>
          </cell>
          <cell r="F225">
            <v>2518331.59361669</v>
          </cell>
        </row>
        <row r="226">
          <cell r="A226">
            <v>41306</v>
          </cell>
          <cell r="B226">
            <v>2518331.59361669</v>
          </cell>
          <cell r="C226">
            <v>166462.75</v>
          </cell>
          <cell r="D226">
            <v>149673.872709222</v>
          </cell>
          <cell r="E226">
            <v>16788.8772907779</v>
          </cell>
          <cell r="F226">
            <v>2368657.72090747</v>
          </cell>
        </row>
        <row r="227">
          <cell r="A227">
            <v>41334</v>
          </cell>
          <cell r="B227">
            <v>2368657.72090747</v>
          </cell>
          <cell r="C227">
            <v>166462.75</v>
          </cell>
          <cell r="D227">
            <v>150671.698527284</v>
          </cell>
          <cell r="E227">
            <v>15791.0514727164</v>
          </cell>
          <cell r="F227">
            <v>2217986.02238018</v>
          </cell>
        </row>
        <row r="228">
          <cell r="A228">
            <v>41365</v>
          </cell>
          <cell r="B228">
            <v>2217986.02238018</v>
          </cell>
          <cell r="C228">
            <v>166462.75</v>
          </cell>
          <cell r="D228">
            <v>151676.176517465</v>
          </cell>
          <cell r="E228">
            <v>14786.5734825346</v>
          </cell>
          <cell r="F228">
            <v>2066309.84586272</v>
          </cell>
        </row>
        <row r="229">
          <cell r="A229">
            <v>41395</v>
          </cell>
          <cell r="B229">
            <v>2066309.84586272</v>
          </cell>
          <cell r="C229">
            <v>166462.75</v>
          </cell>
          <cell r="D229">
            <v>152687.351027582</v>
          </cell>
          <cell r="E229">
            <v>13775.3989724181</v>
          </cell>
          <cell r="F229">
            <v>1913622.49483514</v>
          </cell>
        </row>
        <row r="230">
          <cell r="A230">
            <v>41426</v>
          </cell>
          <cell r="B230">
            <v>1913622.49483514</v>
          </cell>
          <cell r="C230">
            <v>166462.75</v>
          </cell>
          <cell r="D230">
            <v>153705.266701099</v>
          </cell>
          <cell r="E230">
            <v>12757.4832989009</v>
          </cell>
          <cell r="F230">
            <v>1759917.22813404</v>
          </cell>
        </row>
        <row r="231">
          <cell r="A231">
            <v>41456</v>
          </cell>
          <cell r="B231">
            <v>1759917.22813404</v>
          </cell>
          <cell r="C231">
            <v>166462.75</v>
          </cell>
          <cell r="D231">
            <v>154729.968479106</v>
          </cell>
          <cell r="E231">
            <v>11732.7815208936</v>
          </cell>
          <cell r="F231">
            <v>1605187.25965493</v>
          </cell>
        </row>
        <row r="232">
          <cell r="A232">
            <v>41487</v>
          </cell>
          <cell r="B232">
            <v>1605187.25965493</v>
          </cell>
          <cell r="C232">
            <v>166462.75</v>
          </cell>
          <cell r="D232">
            <v>155761.5016023</v>
          </cell>
          <cell r="E232">
            <v>10701.2483976995</v>
          </cell>
          <cell r="F232">
            <v>1449425.75805263</v>
          </cell>
        </row>
        <row r="233">
          <cell r="A233">
            <v>41518</v>
          </cell>
          <cell r="B233">
            <v>1449425.75805263</v>
          </cell>
          <cell r="C233">
            <v>166462.75</v>
          </cell>
          <cell r="D233">
            <v>156799.911612982</v>
          </cell>
          <cell r="E233">
            <v>9662.83838701753</v>
          </cell>
          <cell r="F233">
            <v>1292625.84643965</v>
          </cell>
        </row>
        <row r="234">
          <cell r="A234">
            <v>41548</v>
          </cell>
          <cell r="B234">
            <v>1292625.84643965</v>
          </cell>
          <cell r="C234">
            <v>166462.75</v>
          </cell>
          <cell r="D234">
            <v>157845.244357069</v>
          </cell>
          <cell r="E234">
            <v>8617.50564293098</v>
          </cell>
          <cell r="F234">
            <v>1134780.60208258</v>
          </cell>
        </row>
        <row r="235">
          <cell r="A235">
            <v>41579</v>
          </cell>
          <cell r="B235">
            <v>1134780.60208258</v>
          </cell>
          <cell r="C235">
            <v>166462.75</v>
          </cell>
          <cell r="D235">
            <v>158897.545986116</v>
          </cell>
          <cell r="E235">
            <v>7565.20401388386</v>
          </cell>
          <cell r="F235">
            <v>975883.056096462</v>
          </cell>
        </row>
        <row r="236">
          <cell r="A236">
            <v>41609</v>
          </cell>
          <cell r="B236">
            <v>975883.056096462</v>
          </cell>
          <cell r="C236">
            <v>166462.75</v>
          </cell>
          <cell r="D236">
            <v>159956.862959357</v>
          </cell>
          <cell r="E236">
            <v>6505.88704064308</v>
          </cell>
          <cell r="F236">
            <v>815926.193137105</v>
          </cell>
        </row>
        <row r="237">
          <cell r="A237">
            <v>41640</v>
          </cell>
          <cell r="B237">
            <v>815926.193137105</v>
          </cell>
          <cell r="C237">
            <v>166462.75</v>
          </cell>
          <cell r="D237">
            <v>161023.242045753</v>
          </cell>
          <cell r="E237">
            <v>5439.50795424737</v>
          </cell>
          <cell r="F237">
            <v>654902.951091353</v>
          </cell>
        </row>
        <row r="238">
          <cell r="A238">
            <v>41671</v>
          </cell>
          <cell r="B238">
            <v>654902.951091353</v>
          </cell>
          <cell r="C238">
            <v>166462.75</v>
          </cell>
          <cell r="D238">
            <v>162096.730326058</v>
          </cell>
          <cell r="E238">
            <v>4366.01967394235</v>
          </cell>
          <cell r="F238">
            <v>492806.220765295</v>
          </cell>
        </row>
        <row r="239">
          <cell r="A239">
            <v>41699</v>
          </cell>
          <cell r="B239">
            <v>492806.220765295</v>
          </cell>
          <cell r="C239">
            <v>166462.75</v>
          </cell>
          <cell r="D239">
            <v>163177.375194898</v>
          </cell>
          <cell r="E239">
            <v>3285.37480510197</v>
          </cell>
          <cell r="F239">
            <v>329628.845570397</v>
          </cell>
        </row>
        <row r="240">
          <cell r="A240">
            <v>41730</v>
          </cell>
          <cell r="B240">
            <v>329628.845570397</v>
          </cell>
          <cell r="C240">
            <v>166462.75</v>
          </cell>
          <cell r="D240">
            <v>164265.224362864</v>
          </cell>
          <cell r="E240">
            <v>2197.52563713598</v>
          </cell>
          <cell r="F240">
            <v>165363.621207533</v>
          </cell>
        </row>
        <row r="241">
          <cell r="A241">
            <v>41760</v>
          </cell>
          <cell r="B241">
            <v>165363.621207533</v>
          </cell>
          <cell r="C241">
            <v>166462.75</v>
          </cell>
          <cell r="D241">
            <v>165360.325858616</v>
          </cell>
          <cell r="E241">
            <v>1102.42414138355</v>
          </cell>
          <cell r="F241">
            <v>3.29534891663934</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0.0322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ttachment H-4A JCP&amp;L "/>
      <sheetName val="Attachment 1 - Sched 1A"/>
      <sheetName val="Attachment 2 - Incentive ROE"/>
      <sheetName val="Attachment 3 - Gross Plant"/>
      <sheetName val="Attachment 4 - Accum Depr"/>
      <sheetName val="Attachment 5 - ADIT"/>
      <sheetName val="Attachment 5a - ADIT Norm PTRR"/>
      <sheetName val="Attachment 5b - ADIT Norm ATRR"/>
      <sheetName val="Attachment 6 - PBOP"/>
      <sheetName val="Attachment 7 - TOTI"/>
      <sheetName val="Attachment 8 - Cap Structure"/>
      <sheetName val="Attach 9 - Stated-value Inputs"/>
      <sheetName val="Attachment 10 - Debt Cost"/>
      <sheetName val="Attachment 11 - TEC"/>
      <sheetName val="Attach 11a - TEC Cost Support"/>
      <sheetName val="Attachment 12 - TEC True-up"/>
      <sheetName val="Attachment 13 - NITS True-Up"/>
      <sheetName val="Attachment 13a - TEC True-Up"/>
      <sheetName val="Attachment 13b - PJM Billings"/>
      <sheetName val="Attachment 14a - Working Cap."/>
      <sheetName val="Attachment 14b - Unfunded Res"/>
      <sheetName val="Attachment 15 - Income Taxes"/>
      <sheetName val="Att. 15a - TCJA DDIT and EDIT"/>
      <sheetName val="Attachment 16 - Abandoned Plant"/>
      <sheetName val="Attachment 17 - CWIP in RB"/>
      <sheetName val="Attachment 18 - Rev Creds"/>
      <sheetName val="Attachment 19 - Reg Asset-Liab"/>
      <sheetName val="Attachment 20 - OpEx"/>
    </sheetNames>
    <sheetDataSet>
      <sheetData sheetId="0">
        <row r="57">
          <cell r="G57">
            <v>0.241996356946569</v>
          </cell>
        </row>
        <row r="175">
          <cell r="I175">
            <v>0.997851500192479</v>
          </cell>
        </row>
        <row r="202">
          <cell r="I202">
            <v>0.0238619662104687</v>
          </cell>
        </row>
        <row r="205">
          <cell r="I205">
            <v>0.0780442736079578</v>
          </cell>
        </row>
      </sheetData>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K7">
            <v>0.21</v>
          </cell>
        </row>
        <row r="11">
          <cell r="K11">
            <v>0.09</v>
          </cell>
        </row>
        <row r="12">
          <cell r="K12">
            <v>0</v>
          </cell>
        </row>
        <row r="14">
          <cell r="E14">
            <v>0.2811</v>
          </cell>
        </row>
        <row r="15">
          <cell r="E15">
            <v>0.271461856627508</v>
          </cell>
        </row>
        <row r="18">
          <cell r="E18">
            <v>0.391014049241897</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Adj bcd224d </v>
          </cell>
          <cell r="C4">
            <v>1</v>
          </cell>
        </row>
        <row r="5">
          <cell r="B5" t="str">
            <v>otra</v>
          </cell>
          <cell r="C5" t="str">
            <v>2</v>
          </cell>
          <cell r="E5" t="str">
            <v>remove fuel</v>
          </cell>
          <cell r="G5" t="str">
            <v>RateBlock</v>
          </cell>
        </row>
        <row r="6">
          <cell r="A6" t="str">
            <v>RATE </v>
          </cell>
          <cell r="B6" t="str">
            <v>SCC</v>
          </cell>
          <cell r="C6">
            <v>3</v>
          </cell>
          <cell r="D6" t="str">
            <v>BCD204(01)</v>
          </cell>
          <cell r="E6" t="str">
            <v>related </v>
          </cell>
          <cell r="G6" t="str">
            <v>BCD224B</v>
          </cell>
        </row>
        <row r="7">
          <cell r="A7" t="str">
            <v>SCHEDULE</v>
          </cell>
          <cell r="D7" t="str">
            <v>10/1/99</v>
          </cell>
          <cell r="E7" t="str">
            <v>kwh</v>
          </cell>
          <cell r="G7" t="str">
            <v>10/1/1999</v>
          </cell>
        </row>
        <row r="9">
          <cell r="A9" t="str">
            <v>RS Secondary</v>
          </cell>
        </row>
        <row r="10">
          <cell r="A10" t="str">
            <v>  1st Block Summer</v>
          </cell>
          <cell r="G10">
            <v>100748649</v>
          </cell>
        </row>
        <row r="11">
          <cell r="A11" t="str">
            <v>  1st Block Winter</v>
          </cell>
          <cell r="G11">
            <v>80106026</v>
          </cell>
        </row>
        <row r="13">
          <cell r="A13" t="str">
            <v>  2nd Block Summer</v>
          </cell>
          <cell r="G13">
            <v>31838091</v>
          </cell>
        </row>
        <row r="14">
          <cell r="A14" t="str">
            <v>  2nd Block Winter</v>
          </cell>
          <cell r="G14">
            <v>53708043</v>
          </cell>
        </row>
        <row r="15">
          <cell r="A15" t="str">
            <v>  Total RS</v>
          </cell>
          <cell r="D15">
            <v>260670661</v>
          </cell>
          <cell r="E15">
            <v>0</v>
          </cell>
          <cell r="G15">
            <v>266400809</v>
          </cell>
        </row>
        <row r="17">
          <cell r="A17" t="str">
            <v>RS TOU-D Secondary</v>
          </cell>
        </row>
        <row r="18">
          <cell r="A18" t="str">
            <v>  On Peak Summer</v>
          </cell>
          <cell r="G18">
            <v>13805</v>
          </cell>
        </row>
        <row r="19">
          <cell r="A19" t="str">
            <v>  Off Peak Summer</v>
          </cell>
          <cell r="G19">
            <v>41389</v>
          </cell>
        </row>
        <row r="20">
          <cell r="A20" t="str">
            <v>  On Peak Winter</v>
          </cell>
          <cell r="G20">
            <v>14242</v>
          </cell>
        </row>
        <row r="21">
          <cell r="A21" t="str">
            <v>  Off Peak Winter</v>
          </cell>
          <cell r="G21">
            <v>51617</v>
          </cell>
        </row>
        <row r="22">
          <cell r="A22" t="str">
            <v>  Total RS TOU-D</v>
          </cell>
          <cell r="D22">
            <v>127294</v>
          </cell>
          <cell r="E22">
            <v>0</v>
          </cell>
          <cell r="G22">
            <v>121053</v>
          </cell>
        </row>
        <row r="24">
          <cell r="A24" t="str">
            <v>RS TOU-E (Secondary)</v>
          </cell>
        </row>
        <row r="25">
          <cell r="A25" t="str">
            <v>  On Peak Summer</v>
          </cell>
          <cell r="G25">
            <v>1595916</v>
          </cell>
        </row>
        <row r="26">
          <cell r="A26" t="str">
            <v>  Off Peak Summer</v>
          </cell>
          <cell r="G26">
            <v>2763024</v>
          </cell>
        </row>
        <row r="27">
          <cell r="A27" t="str">
            <v>  On Peak Winter</v>
          </cell>
          <cell r="G27">
            <v>820198</v>
          </cell>
        </row>
        <row r="28">
          <cell r="A28" t="str">
            <v>  Off Peak Winter</v>
          </cell>
          <cell r="G28">
            <v>2462947</v>
          </cell>
        </row>
        <row r="29">
          <cell r="A29" t="str">
            <v>  Total RS TOU-E</v>
          </cell>
          <cell r="D29">
            <v>7319335</v>
          </cell>
          <cell r="E29">
            <v>0</v>
          </cell>
          <cell r="G29">
            <v>7642085</v>
          </cell>
        </row>
        <row r="31">
          <cell r="A31" t="str">
            <v>MGS </v>
          </cell>
          <cell r="D31" t="str">
            <v>(b)</v>
          </cell>
        </row>
        <row r="32">
          <cell r="A32" t="str">
            <v>  1st Block Summer Secondary</v>
          </cell>
          <cell r="G32">
            <v>4889449</v>
          </cell>
        </row>
        <row r="33">
          <cell r="A33" t="str">
            <v>  2nd Block Summer Secondary</v>
          </cell>
          <cell r="G33">
            <v>9951054</v>
          </cell>
        </row>
        <row r="34">
          <cell r="A34" t="str">
            <v>  3rd Block Summer Secondary</v>
          </cell>
          <cell r="G34">
            <v>41768504</v>
          </cell>
        </row>
        <row r="35">
          <cell r="A35" t="str">
            <v>  1st Block Winter Secondary</v>
          </cell>
          <cell r="G35">
            <v>4489498</v>
          </cell>
        </row>
        <row r="36">
          <cell r="A36" t="str">
            <v>  2nd Block Winter Secondary</v>
          </cell>
          <cell r="G36">
            <v>8890644</v>
          </cell>
        </row>
        <row r="37">
          <cell r="A37" t="str">
            <v>  3rd Block Winter Secondary</v>
          </cell>
          <cell r="G37">
            <v>39028898</v>
          </cell>
        </row>
        <row r="38">
          <cell r="A38" t="str">
            <v>Ceiling Rate Secondary</v>
          </cell>
          <cell r="G38">
            <v>5092618</v>
          </cell>
        </row>
        <row r="39">
          <cell r="A39" t="str">
            <v>    Total Secondary</v>
          </cell>
          <cell r="E39">
            <v>0</v>
          </cell>
          <cell r="G39">
            <v>114110665</v>
          </cell>
        </row>
        <row r="41">
          <cell r="A41" t="str">
            <v>  1st Block Summer Primary</v>
          </cell>
          <cell r="G41">
            <v>0</v>
          </cell>
        </row>
        <row r="42">
          <cell r="A42" t="str">
            <v>  2nd Block Summer Primary</v>
          </cell>
          <cell r="G42">
            <v>0</v>
          </cell>
        </row>
        <row r="43">
          <cell r="A43" t="str">
            <v>  3rd Block Summer Primary</v>
          </cell>
          <cell r="G43">
            <v>0</v>
          </cell>
        </row>
        <row r="44">
          <cell r="A44" t="str">
            <v>  1st Block Winter Primary</v>
          </cell>
          <cell r="G44">
            <v>0</v>
          </cell>
        </row>
        <row r="45">
          <cell r="A45" t="str">
            <v>  2nd Block Winter Primary</v>
          </cell>
          <cell r="G45">
            <v>0</v>
          </cell>
        </row>
        <row r="46">
          <cell r="A46" t="str">
            <v>  3rd Block Winter Primary</v>
          </cell>
          <cell r="G46">
            <v>0</v>
          </cell>
        </row>
        <row r="47">
          <cell r="A47" t="str">
            <v>Ceiling Rate Primary </v>
          </cell>
          <cell r="G47">
            <v>0</v>
          </cell>
        </row>
        <row r="48">
          <cell r="A48" t="str">
            <v>     Total Primary</v>
          </cell>
          <cell r="E48">
            <v>0</v>
          </cell>
        </row>
        <row r="49">
          <cell r="A49" t="str">
            <v>  Total MGS</v>
          </cell>
          <cell r="D49">
            <v>91206267</v>
          </cell>
          <cell r="E49">
            <v>0</v>
          </cell>
          <cell r="G49">
            <v>114110665</v>
          </cell>
        </row>
        <row r="53">
          <cell r="A53" t="str">
            <v>AGS </v>
          </cell>
          <cell r="D53" t="str">
            <v>( c)</v>
          </cell>
        </row>
        <row r="54">
          <cell r="A54" t="str">
            <v>  1st Block  Secondary</v>
          </cell>
          <cell r="G54">
            <v>80402693</v>
          </cell>
        </row>
        <row r="55">
          <cell r="A55" t="str">
            <v>  2nd Block Secondary</v>
          </cell>
          <cell r="G55">
            <v>22944935</v>
          </cell>
        </row>
        <row r="56">
          <cell r="A56" t="str">
            <v>  3rd Block Secondary </v>
          </cell>
          <cell r="G56">
            <v>22361229</v>
          </cell>
        </row>
        <row r="57">
          <cell r="A57" t="str">
            <v>  Total AGS Secondary</v>
          </cell>
          <cell r="E57">
            <v>0</v>
          </cell>
          <cell r="G57">
            <v>125708857</v>
          </cell>
        </row>
        <row r="59">
          <cell r="A59" t="str">
            <v>  1st Block  Primary</v>
          </cell>
          <cell r="G59">
            <v>0</v>
          </cell>
        </row>
        <row r="60">
          <cell r="A60" t="str">
            <v>  2nd Block Primary</v>
          </cell>
          <cell r="G60">
            <v>0</v>
          </cell>
        </row>
        <row r="61">
          <cell r="A61" t="str">
            <v>  3rd Block Primary </v>
          </cell>
          <cell r="G61">
            <v>0</v>
          </cell>
        </row>
        <row r="62">
          <cell r="A62" t="str">
            <v>  Total AGS Primary</v>
          </cell>
          <cell r="B62">
            <v>1593680</v>
          </cell>
          <cell r="C62">
            <v>2</v>
          </cell>
          <cell r="E62">
            <v>0</v>
          </cell>
          <cell r="G62">
            <v>0</v>
          </cell>
        </row>
        <row r="63">
          <cell r="A63" t="str">
            <v>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On Peak Summer Secondary</v>
          </cell>
          <cell r="G66">
            <v>7568319</v>
          </cell>
        </row>
        <row r="67">
          <cell r="A67" t="str">
            <v>  Off Peak Summer Secondary</v>
          </cell>
          <cell r="G67">
            <v>9780279</v>
          </cell>
        </row>
        <row r="68">
          <cell r="A68" t="str">
            <v>  On Peak Winter Secondary</v>
          </cell>
          <cell r="G68">
            <v>30984273</v>
          </cell>
        </row>
        <row r="69">
          <cell r="A69" t="str">
            <v>  Off Peak Winter Secondary</v>
          </cell>
          <cell r="G69">
            <v>56023827</v>
          </cell>
        </row>
        <row r="70">
          <cell r="A70" t="str">
            <v>  On Peak Summer Primary</v>
          </cell>
          <cell r="G70">
            <v>0</v>
          </cell>
        </row>
        <row r="71">
          <cell r="A71" t="str">
            <v>  Off Peak Summer Primary</v>
          </cell>
          <cell r="G71">
            <v>0</v>
          </cell>
        </row>
        <row r="72">
          <cell r="A72" t="str">
            <v>  On Peak Winter Primary</v>
          </cell>
        </row>
        <row r="73">
          <cell r="A73" t="str">
            <v>  Off Peak Winter Primary</v>
          </cell>
        </row>
        <row r="74">
          <cell r="A74" t="str">
            <v>  On Peak Summer Sub-Trans</v>
          </cell>
          <cell r="G74">
            <v>0</v>
          </cell>
        </row>
        <row r="75">
          <cell r="A75" t="str">
            <v>  Off Peak Summer Sub-Trans</v>
          </cell>
          <cell r="G75">
            <v>0</v>
          </cell>
        </row>
        <row r="76">
          <cell r="A76" t="str">
            <v>  On Peak Winter Sub-Trans</v>
          </cell>
        </row>
        <row r="77">
          <cell r="A77" t="str">
            <v>  Off Peak Winter Sub-Trans</v>
          </cell>
        </row>
        <row r="78">
          <cell r="A78" t="str">
            <v>  On Peak Summer Transmission</v>
          </cell>
          <cell r="B78">
            <v>0</v>
          </cell>
          <cell r="C78">
            <v>3</v>
          </cell>
          <cell r="G78">
            <v>0</v>
          </cell>
        </row>
        <row r="79">
          <cell r="A79" t="str">
            <v>  Off Peak Summer Transmission</v>
          </cell>
          <cell r="B79">
            <v>0</v>
          </cell>
          <cell r="C79">
            <v>2</v>
          </cell>
          <cell r="G79">
            <v>0</v>
          </cell>
        </row>
        <row r="80">
          <cell r="A80" t="str">
            <v>  On Peak Winter Transmission</v>
          </cell>
        </row>
        <row r="81">
          <cell r="A81" t="str">
            <v>  Off Peak Winter Transmission</v>
          </cell>
        </row>
        <row r="82">
          <cell r="A82" t="str">
            <v>  Total AGS-TOU</v>
          </cell>
          <cell r="B82">
            <v>53511353</v>
          </cell>
          <cell r="C82">
            <v>1</v>
          </cell>
          <cell r="D82">
            <v>103932653</v>
          </cell>
          <cell r="G82">
            <v>104356698</v>
          </cell>
        </row>
        <row r="83">
          <cell r="A83" t="str">
            <v>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0.0825</v>
          </cell>
        </row>
        <row r="4">
          <cell r="B4">
            <v>0.045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-76514674.6</v>
          </cell>
          <cell r="AH34">
            <v>0</v>
          </cell>
          <cell r="AI34">
            <v>0</v>
          </cell>
          <cell r="AJ34">
            <v>-76514674.6</v>
          </cell>
          <cell r="AK34">
            <v>9851.45</v>
          </cell>
          <cell r="AL34">
            <v>0</v>
          </cell>
          <cell r="AM34">
            <v>0</v>
          </cell>
          <cell r="AN34">
            <v>0</v>
          </cell>
          <cell r="AO34">
            <v>-76504823.15</v>
          </cell>
          <cell r="AQ34">
            <v>0</v>
          </cell>
          <cell r="AR34">
            <v>-76504823.15</v>
          </cell>
        </row>
        <row r="35">
          <cell r="U35">
            <v>-57008813</v>
          </cell>
          <cell r="X35">
            <v>-57008813</v>
          </cell>
          <cell r="Y35">
            <v>359969</v>
          </cell>
          <cell r="AD35">
            <v>-56648844</v>
          </cell>
          <cell r="AG35">
            <v>19953084.55</v>
          </cell>
          <cell r="AH35">
            <v>0</v>
          </cell>
          <cell r="AI35">
            <v>0</v>
          </cell>
          <cell r="AJ35">
            <v>19953084.55</v>
          </cell>
          <cell r="AK35">
            <v>-125989.15</v>
          </cell>
          <cell r="AL35">
            <v>0</v>
          </cell>
          <cell r="AM35">
            <v>0</v>
          </cell>
          <cell r="AN35">
            <v>0</v>
          </cell>
          <cell r="AO35">
            <v>19827095.4</v>
          </cell>
          <cell r="AQ35">
            <v>0</v>
          </cell>
          <cell r="AR35">
            <v>19827095.4</v>
          </cell>
        </row>
        <row r="36">
          <cell r="U36">
            <v>-3391909</v>
          </cell>
          <cell r="X36">
            <v>-3391909</v>
          </cell>
          <cell r="Y36">
            <v>76997</v>
          </cell>
          <cell r="AD36">
            <v>-3314912</v>
          </cell>
          <cell r="AG36">
            <v>1187168.15</v>
          </cell>
          <cell r="AH36">
            <v>0</v>
          </cell>
          <cell r="AI36">
            <v>0</v>
          </cell>
          <cell r="AJ36">
            <v>1187168.15</v>
          </cell>
          <cell r="AK36">
            <v>-26948.95</v>
          </cell>
          <cell r="AL36">
            <v>0</v>
          </cell>
          <cell r="AM36">
            <v>0</v>
          </cell>
          <cell r="AN36">
            <v>0</v>
          </cell>
          <cell r="AO36">
            <v>1160219.2</v>
          </cell>
          <cell r="AQ36">
            <v>0</v>
          </cell>
          <cell r="AR36">
            <v>1160219.2</v>
          </cell>
        </row>
        <row r="37">
          <cell r="U37">
            <v>48369821</v>
          </cell>
          <cell r="X37">
            <v>48369821</v>
          </cell>
          <cell r="Y37">
            <v>-457731</v>
          </cell>
          <cell r="AD37">
            <v>47912090</v>
          </cell>
          <cell r="AG37">
            <v>-16929437.35</v>
          </cell>
          <cell r="AH37">
            <v>0</v>
          </cell>
          <cell r="AI37">
            <v>0</v>
          </cell>
          <cell r="AJ37">
            <v>-16929437.35</v>
          </cell>
          <cell r="AK37">
            <v>160205.85</v>
          </cell>
          <cell r="AL37">
            <v>0</v>
          </cell>
          <cell r="AM37">
            <v>0</v>
          </cell>
          <cell r="AN37">
            <v>0</v>
          </cell>
          <cell r="AO37">
            <v>-16769231.5</v>
          </cell>
          <cell r="AQ37">
            <v>0</v>
          </cell>
          <cell r="AR37">
            <v>-16769231.5</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6672305.15</v>
          </cell>
          <cell r="AH39">
            <v>0</v>
          </cell>
          <cell r="AI39">
            <v>0</v>
          </cell>
          <cell r="AJ39">
            <v>6672305.15</v>
          </cell>
          <cell r="AK39">
            <v>0</v>
          </cell>
          <cell r="AL39">
            <v>0</v>
          </cell>
          <cell r="AM39">
            <v>0</v>
          </cell>
          <cell r="AN39">
            <v>0</v>
          </cell>
          <cell r="AO39">
            <v>6672305.15</v>
          </cell>
          <cell r="AQ39">
            <v>0</v>
          </cell>
          <cell r="AR39">
            <v>6672305.15</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1019035.5</v>
          </cell>
          <cell r="AL44">
            <v>0</v>
          </cell>
          <cell r="AM44">
            <v>0</v>
          </cell>
          <cell r="AN44">
            <v>0</v>
          </cell>
          <cell r="AO44">
            <v>1236776.8</v>
          </cell>
          <cell r="AQ44">
            <v>0</v>
          </cell>
          <cell r="AR44">
            <v>1236776.8</v>
          </cell>
        </row>
        <row r="45">
          <cell r="U45">
            <v>-3780944</v>
          </cell>
          <cell r="X45">
            <v>-3780944</v>
          </cell>
          <cell r="Y45">
            <v>0</v>
          </cell>
          <cell r="AD45">
            <v>-3780944</v>
          </cell>
          <cell r="AG45">
            <v>1323330.4</v>
          </cell>
          <cell r="AH45">
            <v>0</v>
          </cell>
          <cell r="AI45">
            <v>0</v>
          </cell>
          <cell r="AJ45">
            <v>1323330.4</v>
          </cell>
          <cell r="AK45">
            <v>0</v>
          </cell>
          <cell r="AL45">
            <v>0</v>
          </cell>
          <cell r="AM45">
            <v>0</v>
          </cell>
          <cell r="AN45">
            <v>0</v>
          </cell>
          <cell r="AO45">
            <v>1323330.4</v>
          </cell>
          <cell r="AQ45">
            <v>0</v>
          </cell>
          <cell r="AR45">
            <v>1323330.4</v>
          </cell>
        </row>
        <row r="46">
          <cell r="U46">
            <v>-7385895</v>
          </cell>
          <cell r="X46">
            <v>-7385895</v>
          </cell>
          <cell r="Y46">
            <v>13369</v>
          </cell>
          <cell r="AD46">
            <v>-7372526</v>
          </cell>
          <cell r="AG46">
            <v>2585063.25</v>
          </cell>
          <cell r="AH46">
            <v>0</v>
          </cell>
          <cell r="AI46">
            <v>0</v>
          </cell>
          <cell r="AJ46">
            <v>2585063.25</v>
          </cell>
          <cell r="AK46">
            <v>-4679.15</v>
          </cell>
          <cell r="AL46">
            <v>0</v>
          </cell>
          <cell r="AM46">
            <v>0</v>
          </cell>
          <cell r="AN46">
            <v>0</v>
          </cell>
          <cell r="AO46">
            <v>2580384.1</v>
          </cell>
          <cell r="AQ46">
            <v>0</v>
          </cell>
          <cell r="AR46">
            <v>2580384.1</v>
          </cell>
        </row>
        <row r="47">
          <cell r="U47">
            <v>-407267</v>
          </cell>
          <cell r="X47">
            <v>-407267</v>
          </cell>
          <cell r="Y47">
            <v>0</v>
          </cell>
          <cell r="AD47">
            <v>-407267</v>
          </cell>
          <cell r="AG47">
            <v>142543.45</v>
          </cell>
          <cell r="AH47">
            <v>0</v>
          </cell>
          <cell r="AI47">
            <v>0</v>
          </cell>
          <cell r="AJ47">
            <v>142543.45</v>
          </cell>
          <cell r="AK47">
            <v>0</v>
          </cell>
          <cell r="AL47">
            <v>0</v>
          </cell>
          <cell r="AM47">
            <v>0</v>
          </cell>
          <cell r="AN47">
            <v>0</v>
          </cell>
          <cell r="AO47">
            <v>142543.45</v>
          </cell>
          <cell r="AQ47">
            <v>0</v>
          </cell>
          <cell r="AR47">
            <v>142543.45</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6088198.55</v>
          </cell>
          <cell r="AH49">
            <v>0</v>
          </cell>
          <cell r="AI49">
            <v>0</v>
          </cell>
          <cell r="AJ49">
            <v>6088198.55</v>
          </cell>
          <cell r="AK49">
            <v>0</v>
          </cell>
          <cell r="AL49">
            <v>0</v>
          </cell>
          <cell r="AM49">
            <v>0</v>
          </cell>
          <cell r="AN49">
            <v>0</v>
          </cell>
          <cell r="AO49">
            <v>6088198.55</v>
          </cell>
          <cell r="AQ49">
            <v>0</v>
          </cell>
          <cell r="AR49">
            <v>6088198.55</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12466946.45</v>
          </cell>
          <cell r="AH53">
            <v>0</v>
          </cell>
          <cell r="AI53">
            <v>0</v>
          </cell>
          <cell r="AJ53">
            <v>12466946.45</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v>
          </cell>
          <cell r="AH54">
            <v>0</v>
          </cell>
          <cell r="AI54">
            <v>0</v>
          </cell>
          <cell r="AJ54">
            <v>1176885.85</v>
          </cell>
          <cell r="AK54">
            <v>0.35</v>
          </cell>
          <cell r="AL54">
            <v>0</v>
          </cell>
          <cell r="AM54">
            <v>0</v>
          </cell>
          <cell r="AN54">
            <v>0</v>
          </cell>
          <cell r="AO54">
            <v>1176886.2</v>
          </cell>
          <cell r="AQ54">
            <v>0</v>
          </cell>
          <cell r="AR54">
            <v>1176886.2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v>
          </cell>
          <cell r="AH57">
            <v>0</v>
          </cell>
          <cell r="AI57">
            <v>0</v>
          </cell>
          <cell r="AJ57">
            <v>11113586.05</v>
          </cell>
          <cell r="AK57">
            <v>-31451.7</v>
          </cell>
          <cell r="AL57">
            <v>0</v>
          </cell>
          <cell r="AM57">
            <v>0</v>
          </cell>
          <cell r="AN57">
            <v>0</v>
          </cell>
          <cell r="AO57">
            <v>11082134.35</v>
          </cell>
          <cell r="AQ57">
            <v>0</v>
          </cell>
          <cell r="AR57">
            <v>11082134.35</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1.40000000037253</v>
          </cell>
          <cell r="AH60">
            <v>0</v>
          </cell>
          <cell r="AI60">
            <v>0</v>
          </cell>
          <cell r="AJ60">
            <v>1.40000000037253</v>
          </cell>
          <cell r="AK60">
            <v>-412976.55</v>
          </cell>
          <cell r="AL60">
            <v>0</v>
          </cell>
          <cell r="AM60">
            <v>0</v>
          </cell>
          <cell r="AN60">
            <v>0</v>
          </cell>
          <cell r="AO60">
            <v>-412975.15</v>
          </cell>
          <cell r="AQ60">
            <v>0</v>
          </cell>
          <cell r="AR60">
            <v>-412975.15</v>
          </cell>
        </row>
        <row r="61">
          <cell r="U61">
            <v>17539565</v>
          </cell>
          <cell r="X61">
            <v>17539565</v>
          </cell>
          <cell r="Y61">
            <v>-10707957</v>
          </cell>
          <cell r="AD61">
            <v>6831608</v>
          </cell>
          <cell r="AG61">
            <v>-6138847.75</v>
          </cell>
          <cell r="AH61">
            <v>0</v>
          </cell>
          <cell r="AI61">
            <v>0</v>
          </cell>
          <cell r="AJ61">
            <v>-6138847.75</v>
          </cell>
          <cell r="AK61">
            <v>3747784.95</v>
          </cell>
          <cell r="AL61">
            <v>0</v>
          </cell>
          <cell r="AM61">
            <v>0</v>
          </cell>
          <cell r="AN61">
            <v>0</v>
          </cell>
          <cell r="AO61">
            <v>-2391062.8</v>
          </cell>
          <cell r="AQ61">
            <v>0</v>
          </cell>
          <cell r="AR61">
            <v>-2391062.8</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-147779.45</v>
          </cell>
          <cell r="AL65">
            <v>0</v>
          </cell>
          <cell r="AM65">
            <v>0</v>
          </cell>
          <cell r="AN65">
            <v>0</v>
          </cell>
          <cell r="AO65">
            <v>414527.4</v>
          </cell>
          <cell r="AQ65">
            <v>0</v>
          </cell>
          <cell r="AR65">
            <v>414527.4</v>
          </cell>
        </row>
        <row r="66">
          <cell r="U66">
            <v>1766078</v>
          </cell>
          <cell r="X66">
            <v>1766078</v>
          </cell>
          <cell r="Y66">
            <v>0</v>
          </cell>
          <cell r="AD66">
            <v>1766078</v>
          </cell>
          <cell r="AG66">
            <v>-618127.3</v>
          </cell>
          <cell r="AH66">
            <v>0</v>
          </cell>
          <cell r="AI66">
            <v>0</v>
          </cell>
          <cell r="AJ66">
            <v>-618127.3</v>
          </cell>
          <cell r="AK66">
            <v>0</v>
          </cell>
          <cell r="AL66">
            <v>0</v>
          </cell>
          <cell r="AM66">
            <v>0</v>
          </cell>
          <cell r="AN66">
            <v>0</v>
          </cell>
          <cell r="AO66">
            <v>-618127.3</v>
          </cell>
          <cell r="AQ66">
            <v>0</v>
          </cell>
          <cell r="AR66">
            <v>-618127.3</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12631284.05</v>
          </cell>
          <cell r="AH68">
            <v>0</v>
          </cell>
          <cell r="AI68">
            <v>0</v>
          </cell>
          <cell r="AJ68">
            <v>12631284.05</v>
          </cell>
          <cell r="AK68">
            <v>3286130.05</v>
          </cell>
          <cell r="AL68">
            <v>0</v>
          </cell>
          <cell r="AM68">
            <v>0</v>
          </cell>
          <cell r="AN68">
            <v>0</v>
          </cell>
          <cell r="AO68">
            <v>15917414.1</v>
          </cell>
          <cell r="AQ68">
            <v>0</v>
          </cell>
          <cell r="AR68">
            <v>15917414.1</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1961920.1</v>
          </cell>
          <cell r="AQ70">
            <v>0</v>
          </cell>
          <cell r="AR70">
            <v>1961920.1</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-41322803.2</v>
          </cell>
          <cell r="AH80">
            <v>0</v>
          </cell>
          <cell r="AI80">
            <v>0</v>
          </cell>
          <cell r="AJ80">
            <v>-41322803.2</v>
          </cell>
          <cell r="AK80">
            <v>0</v>
          </cell>
          <cell r="AL80">
            <v>0</v>
          </cell>
          <cell r="AM80">
            <v>0</v>
          </cell>
          <cell r="AN80">
            <v>0</v>
          </cell>
          <cell r="AO80">
            <v>-41322803.2</v>
          </cell>
          <cell r="AQ80">
            <v>0</v>
          </cell>
          <cell r="AR80">
            <v>-41322803.2</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11270517.65</v>
          </cell>
          <cell r="AL83">
            <v>0</v>
          </cell>
          <cell r="AM83">
            <v>0</v>
          </cell>
          <cell r="AN83">
            <v>0</v>
          </cell>
          <cell r="AO83">
            <v>8624637</v>
          </cell>
          <cell r="AQ83">
            <v>0</v>
          </cell>
          <cell r="AR83">
            <v>8624637</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v>
          </cell>
          <cell r="AH86">
            <v>0</v>
          </cell>
          <cell r="AI86">
            <v>0</v>
          </cell>
          <cell r="AJ86">
            <v>1274880.6</v>
          </cell>
          <cell r="AK86">
            <v>0</v>
          </cell>
          <cell r="AL86">
            <v>0</v>
          </cell>
          <cell r="AM86">
            <v>0</v>
          </cell>
          <cell r="AN86">
            <v>0</v>
          </cell>
          <cell r="AO86">
            <v>1274880.6</v>
          </cell>
          <cell r="AQ86">
            <v>0</v>
          </cell>
          <cell r="AR86">
            <v>1274880.6</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v>
          </cell>
          <cell r="AH91">
            <v>0</v>
          </cell>
          <cell r="AI91">
            <v>0</v>
          </cell>
          <cell r="AJ91">
            <v>-269721.9</v>
          </cell>
          <cell r="AK91">
            <v>0</v>
          </cell>
          <cell r="AL91">
            <v>0</v>
          </cell>
          <cell r="AM91">
            <v>0</v>
          </cell>
          <cell r="AN91">
            <v>0</v>
          </cell>
          <cell r="AO91">
            <v>-269721.9</v>
          </cell>
          <cell r="AQ91">
            <v>0</v>
          </cell>
          <cell r="AR91">
            <v>-269721.9</v>
          </cell>
        </row>
        <row r="92">
          <cell r="U92">
            <v>-200154</v>
          </cell>
          <cell r="X92">
            <v>-200154</v>
          </cell>
          <cell r="Y92">
            <v>0</v>
          </cell>
          <cell r="AD92">
            <v>-200154</v>
          </cell>
          <cell r="AG92">
            <v>70053.9</v>
          </cell>
          <cell r="AH92">
            <v>0</v>
          </cell>
          <cell r="AI92">
            <v>0</v>
          </cell>
          <cell r="AJ92">
            <v>70053.9</v>
          </cell>
          <cell r="AK92">
            <v>0</v>
          </cell>
          <cell r="AL92">
            <v>0</v>
          </cell>
          <cell r="AM92">
            <v>0</v>
          </cell>
          <cell r="AN92">
            <v>0</v>
          </cell>
          <cell r="AO92">
            <v>70053.9</v>
          </cell>
          <cell r="AQ92">
            <v>0</v>
          </cell>
          <cell r="AR92">
            <v>70053.9</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v>
          </cell>
          <cell r="AH112">
            <v>0</v>
          </cell>
          <cell r="AI112">
            <v>0</v>
          </cell>
          <cell r="AJ112">
            <v>-6997441.85000002</v>
          </cell>
          <cell r="AK112">
            <v>13484553.6</v>
          </cell>
          <cell r="AL112">
            <v>0</v>
          </cell>
          <cell r="AM112">
            <v>0</v>
          </cell>
          <cell r="AN112">
            <v>0</v>
          </cell>
          <cell r="AO112">
            <v>6487111.74999999</v>
          </cell>
          <cell r="AQ112">
            <v>0</v>
          </cell>
          <cell r="AR112">
            <v>3340018.49999999</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v>
          </cell>
          <cell r="AH122">
            <v>0</v>
          </cell>
          <cell r="AI122">
            <v>0</v>
          </cell>
          <cell r="AJ122">
            <v>-24113193.3</v>
          </cell>
          <cell r="AK122">
            <v>0</v>
          </cell>
          <cell r="AL122">
            <v>0</v>
          </cell>
          <cell r="AM122">
            <v>0</v>
          </cell>
          <cell r="AN122">
            <v>0</v>
          </cell>
          <cell r="AO122">
            <v>-24113193.3</v>
          </cell>
          <cell r="AQ122">
            <v>0</v>
          </cell>
          <cell r="AR122">
            <v>-24113193.3</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v>
          </cell>
          <cell r="AH123">
            <v>0</v>
          </cell>
          <cell r="AI123">
            <v>0</v>
          </cell>
          <cell r="AJ123">
            <v>-31110635.15</v>
          </cell>
          <cell r="AK123">
            <v>13484553.6</v>
          </cell>
          <cell r="AL123">
            <v>0</v>
          </cell>
          <cell r="AM123">
            <v>0</v>
          </cell>
          <cell r="AN123">
            <v>0</v>
          </cell>
          <cell r="AO123">
            <v>-17626081.55</v>
          </cell>
          <cell r="AQ123">
            <v>0</v>
          </cell>
          <cell r="AR123">
            <v>-20773174.8</v>
          </cell>
        </row>
        <row r="124">
          <cell r="AD124">
            <v>17626081.55</v>
          </cell>
        </row>
        <row r="125">
          <cell r="AO125">
            <v>-17626081.55</v>
          </cell>
        </row>
        <row r="127">
          <cell r="AB127" t="str">
            <v>Diff = state NOL</v>
          </cell>
          <cell r="AD127">
            <v>26812172</v>
          </cell>
          <cell r="AG127">
            <v>31110635.15</v>
          </cell>
          <cell r="AO127">
            <v>17626081.55</v>
          </cell>
        </row>
        <row r="128">
          <cell r="U128">
            <v>88887529</v>
          </cell>
          <cell r="V128">
            <v>0</v>
          </cell>
          <cell r="W128">
            <v>0</v>
          </cell>
          <cell r="X128">
            <v>88887529</v>
          </cell>
          <cell r="Y128">
            <v>-38527296</v>
          </cell>
          <cell r="Z128">
            <v>0</v>
          </cell>
          <cell r="AA128">
            <v>0</v>
          </cell>
          <cell r="AB128">
            <v>0</v>
          </cell>
          <cell r="AC128">
            <v>0</v>
          </cell>
          <cell r="AD128">
            <v>67986314.55</v>
          </cell>
          <cell r="AE128">
            <v>0</v>
          </cell>
          <cell r="AF128">
            <v>0</v>
          </cell>
          <cell r="AG128">
            <v>-31110635.15</v>
          </cell>
          <cell r="AH128">
            <v>0</v>
          </cell>
          <cell r="AI128">
            <v>0</v>
          </cell>
          <cell r="AJ128">
            <v>-31110635.15</v>
          </cell>
          <cell r="AK128">
            <v>13484553.6</v>
          </cell>
          <cell r="AL128">
            <v>0</v>
          </cell>
          <cell r="AM128">
            <v>0</v>
          </cell>
          <cell r="AN128">
            <v>0</v>
          </cell>
          <cell r="AO128">
            <v>-17626081.55</v>
          </cell>
          <cell r="AP128">
            <v>0</v>
          </cell>
          <cell r="AQ128">
            <v>0</v>
          </cell>
          <cell r="AR128">
            <v>-20773174.8</v>
          </cell>
        </row>
        <row r="151">
          <cell r="V151">
            <v>0</v>
          </cell>
          <cell r="W151">
            <v>0</v>
          </cell>
        </row>
        <row r="152">
          <cell r="X152">
            <v>0</v>
          </cell>
          <cell r="AQ152">
            <v>0</v>
          </cell>
          <cell r="AR152">
            <v>0</v>
          </cell>
        </row>
        <row r="153">
          <cell r="X153">
            <v>0</v>
          </cell>
        </row>
        <row r="154">
          <cell r="X154">
            <v>0</v>
          </cell>
        </row>
        <row r="155">
          <cell r="U155">
            <v>-4901406.11</v>
          </cell>
          <cell r="X155">
            <v>-4901406.11</v>
          </cell>
          <cell r="Y155">
            <v>24310.0699999999</v>
          </cell>
          <cell r="AD155">
            <v>-4877096.04</v>
          </cell>
          <cell r="AG155">
            <v>1715492.1385</v>
          </cell>
          <cell r="AH155">
            <v>0</v>
          </cell>
          <cell r="AI155">
            <v>0</v>
          </cell>
          <cell r="AJ155">
            <v>1715492.1385</v>
          </cell>
          <cell r="AK155">
            <v>-8508.52449999998</v>
          </cell>
          <cell r="AL155">
            <v>0</v>
          </cell>
          <cell r="AM155">
            <v>0</v>
          </cell>
          <cell r="AN155">
            <v>0</v>
          </cell>
          <cell r="AO155">
            <v>1706983.614</v>
          </cell>
          <cell r="AQ155">
            <v>0</v>
          </cell>
          <cell r="AR155">
            <v>1706983.614</v>
          </cell>
        </row>
        <row r="156">
          <cell r="U156">
            <v>25868627.77</v>
          </cell>
          <cell r="X156">
            <v>25868627.77</v>
          </cell>
          <cell r="Y156">
            <v>0.229999999981374</v>
          </cell>
          <cell r="AD156">
            <v>25868628</v>
          </cell>
          <cell r="AG156">
            <v>-9054019.7195</v>
          </cell>
          <cell r="AH156">
            <v>0</v>
          </cell>
          <cell r="AI156">
            <v>0</v>
          </cell>
          <cell r="AJ156">
            <v>-9054019.7195</v>
          </cell>
          <cell r="AK156">
            <v>-0.0804999999934807</v>
          </cell>
          <cell r="AL156">
            <v>0</v>
          </cell>
          <cell r="AM156">
            <v>0</v>
          </cell>
          <cell r="AN156">
            <v>0</v>
          </cell>
          <cell r="AO156">
            <v>-9054019.8</v>
          </cell>
          <cell r="AP156">
            <v>1</v>
          </cell>
          <cell r="AQ156">
            <v>-9054019.8</v>
          </cell>
          <cell r="AR156">
            <v>0</v>
          </cell>
        </row>
        <row r="157">
          <cell r="U157">
            <v>-5274957.85</v>
          </cell>
          <cell r="X157">
            <v>-5274957.85</v>
          </cell>
          <cell r="Y157">
            <v>181476</v>
          </cell>
          <cell r="AD157">
            <v>-5093481.85</v>
          </cell>
          <cell r="AG157">
            <v>1846235.2475</v>
          </cell>
          <cell r="AH157">
            <v>0</v>
          </cell>
          <cell r="AI157">
            <v>0</v>
          </cell>
          <cell r="AJ157">
            <v>1846235.2475</v>
          </cell>
          <cell r="AK157">
            <v>-63516.6</v>
          </cell>
          <cell r="AL157">
            <v>0</v>
          </cell>
          <cell r="AM157">
            <v>0</v>
          </cell>
          <cell r="AN157">
            <v>0</v>
          </cell>
          <cell r="AO157">
            <v>1782718.6475</v>
          </cell>
          <cell r="AQ157">
            <v>0</v>
          </cell>
          <cell r="AR157">
            <v>1782718.6475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v>
          </cell>
          <cell r="X159">
            <v>-17640351.31</v>
          </cell>
          <cell r="Y159">
            <v>0</v>
          </cell>
          <cell r="AD159">
            <v>-17640351.31</v>
          </cell>
          <cell r="AG159">
            <v>6174122.9585</v>
          </cell>
          <cell r="AH159">
            <v>0</v>
          </cell>
          <cell r="AI159">
            <v>0</v>
          </cell>
          <cell r="AJ159">
            <v>6174122.9585</v>
          </cell>
          <cell r="AK159">
            <v>0</v>
          </cell>
          <cell r="AL159">
            <v>0</v>
          </cell>
          <cell r="AM159">
            <v>0</v>
          </cell>
          <cell r="AN159">
            <v>0</v>
          </cell>
          <cell r="AO159">
            <v>6174122.9585</v>
          </cell>
          <cell r="AQ159">
            <v>0</v>
          </cell>
          <cell r="AR159">
            <v>6174122.9585</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0.0899999998509884</v>
          </cell>
          <cell r="X161">
            <v>0.0899999998509884</v>
          </cell>
          <cell r="Y161">
            <v>-878608</v>
          </cell>
          <cell r="AD161">
            <v>-878607.91</v>
          </cell>
          <cell r="AG161">
            <v>-0.0314999999478459</v>
          </cell>
          <cell r="AH161">
            <v>0</v>
          </cell>
          <cell r="AI161">
            <v>0</v>
          </cell>
          <cell r="AJ161">
            <v>-0.0314999999478459</v>
          </cell>
          <cell r="AK161">
            <v>307512.8</v>
          </cell>
          <cell r="AL161">
            <v>0</v>
          </cell>
          <cell r="AM161">
            <v>0</v>
          </cell>
          <cell r="AN161">
            <v>0</v>
          </cell>
          <cell r="AO161">
            <v>307512.7685</v>
          </cell>
          <cell r="AQ161">
            <v>0</v>
          </cell>
          <cell r="AR161">
            <v>307512.7685</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-0.169999999998254</v>
          </cell>
          <cell r="AD164">
            <v>-4739261</v>
          </cell>
          <cell r="AG164">
            <v>1658741.2905</v>
          </cell>
          <cell r="AH164">
            <v>0</v>
          </cell>
          <cell r="AI164">
            <v>0</v>
          </cell>
          <cell r="AJ164">
            <v>1658741.2905</v>
          </cell>
          <cell r="AK164">
            <v>0.0594999999993888</v>
          </cell>
          <cell r="AL164">
            <v>0</v>
          </cell>
          <cell r="AM164">
            <v>0</v>
          </cell>
          <cell r="AN164">
            <v>0</v>
          </cell>
          <cell r="AO164">
            <v>1658741.35</v>
          </cell>
          <cell r="AQ164">
            <v>0</v>
          </cell>
          <cell r="AR164">
            <v>1658741.35</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-0.175</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2681664.3</v>
          </cell>
          <cell r="AH168">
            <v>0</v>
          </cell>
          <cell r="AI168">
            <v>0</v>
          </cell>
          <cell r="AJ168">
            <v>2681664.3</v>
          </cell>
          <cell r="AK168">
            <v>0</v>
          </cell>
          <cell r="AL168">
            <v>0</v>
          </cell>
          <cell r="AM168">
            <v>0</v>
          </cell>
          <cell r="AN168">
            <v>0</v>
          </cell>
          <cell r="AO168">
            <v>2681664.3</v>
          </cell>
          <cell r="AQ168">
            <v>0</v>
          </cell>
          <cell r="AR168">
            <v>2681664.3</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-53843.3</v>
          </cell>
          <cell r="AL170">
            <v>0</v>
          </cell>
          <cell r="AM170">
            <v>0</v>
          </cell>
          <cell r="AN170">
            <v>0</v>
          </cell>
          <cell r="AO170">
            <v>214287.542</v>
          </cell>
          <cell r="AQ170">
            <v>0</v>
          </cell>
          <cell r="AR170">
            <v>214287.542</v>
          </cell>
        </row>
        <row r="171">
          <cell r="U171">
            <v>0</v>
          </cell>
          <cell r="X171">
            <v>0</v>
          </cell>
          <cell r="Y171">
            <v>-153838</v>
          </cell>
          <cell r="AD171">
            <v>-153838</v>
          </cell>
          <cell r="AG171">
            <v>0</v>
          </cell>
          <cell r="AH171">
            <v>0</v>
          </cell>
          <cell r="AI171">
            <v>0</v>
          </cell>
          <cell r="AJ171">
            <v>0</v>
          </cell>
          <cell r="AK171">
            <v>53843.3</v>
          </cell>
          <cell r="AL171">
            <v>0</v>
          </cell>
          <cell r="AM171">
            <v>0</v>
          </cell>
          <cell r="AN171">
            <v>0</v>
          </cell>
          <cell r="AO171">
            <v>53843.3</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361767.322</v>
          </cell>
          <cell r="AQ172">
            <v>0</v>
          </cell>
          <cell r="AR172">
            <v>361767.322</v>
          </cell>
        </row>
        <row r="173">
          <cell r="U173">
            <v>-5162.92</v>
          </cell>
          <cell r="X173">
            <v>-5162.92</v>
          </cell>
          <cell r="Y173">
            <v>-183614</v>
          </cell>
          <cell r="AD173">
            <v>-188776.92</v>
          </cell>
          <cell r="AG173">
            <v>1807.022</v>
          </cell>
          <cell r="AH173">
            <v>0</v>
          </cell>
          <cell r="AI173">
            <v>0</v>
          </cell>
          <cell r="AJ173">
            <v>1807.022</v>
          </cell>
          <cell r="AK173">
            <v>64264.9</v>
          </cell>
          <cell r="AL173">
            <v>0</v>
          </cell>
          <cell r="AM173">
            <v>0</v>
          </cell>
          <cell r="AN173">
            <v>0</v>
          </cell>
          <cell r="AO173">
            <v>66071.922</v>
          </cell>
          <cell r="AQ173">
            <v>0</v>
          </cell>
          <cell r="AR173">
            <v>66071.922</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-44077.6</v>
          </cell>
          <cell r="AH177">
            <v>0</v>
          </cell>
          <cell r="AI177">
            <v>0</v>
          </cell>
          <cell r="AJ177">
            <v>-44077.6</v>
          </cell>
          <cell r="AK177">
            <v>0</v>
          </cell>
          <cell r="AL177">
            <v>0</v>
          </cell>
          <cell r="AM177">
            <v>0</v>
          </cell>
          <cell r="AN177">
            <v>0</v>
          </cell>
          <cell r="AO177">
            <v>-44077.6</v>
          </cell>
          <cell r="AQ177">
            <v>0</v>
          </cell>
          <cell r="AR177">
            <v>-44077.6</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-2723065.45</v>
          </cell>
          <cell r="AL180">
            <v>0</v>
          </cell>
          <cell r="AM180">
            <v>0</v>
          </cell>
          <cell r="AN180">
            <v>0</v>
          </cell>
          <cell r="AO180">
            <v>-2723065.45</v>
          </cell>
        </row>
        <row r="181">
          <cell r="U181">
            <v>-653729</v>
          </cell>
          <cell r="X181">
            <v>-653729</v>
          </cell>
          <cell r="Y181">
            <v>-6296818</v>
          </cell>
          <cell r="AD181">
            <v>-6950547</v>
          </cell>
          <cell r="AG181">
            <v>228805.15</v>
          </cell>
          <cell r="AH181">
            <v>0</v>
          </cell>
          <cell r="AI181">
            <v>0</v>
          </cell>
          <cell r="AJ181">
            <v>228805.15</v>
          </cell>
          <cell r="AK181">
            <v>2203886.3</v>
          </cell>
          <cell r="AL181">
            <v>0</v>
          </cell>
          <cell r="AM181">
            <v>0</v>
          </cell>
          <cell r="AN181">
            <v>0</v>
          </cell>
          <cell r="AO181">
            <v>2432691.45</v>
          </cell>
          <cell r="AQ181">
            <v>0</v>
          </cell>
          <cell r="AR181">
            <v>2432691.45</v>
          </cell>
        </row>
        <row r="182">
          <cell r="U182">
            <v>1940403</v>
          </cell>
          <cell r="X182">
            <v>1940403</v>
          </cell>
          <cell r="Y182">
            <v>749826</v>
          </cell>
          <cell r="AD182">
            <v>2690229</v>
          </cell>
          <cell r="AG182">
            <v>-679141.05</v>
          </cell>
          <cell r="AH182">
            <v>0</v>
          </cell>
          <cell r="AI182">
            <v>0</v>
          </cell>
          <cell r="AJ182">
            <v>-679141.05</v>
          </cell>
          <cell r="AK182">
            <v>-262439.1</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-29563.45</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-49920.15</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283248.35</v>
          </cell>
          <cell r="AH197">
            <v>0</v>
          </cell>
          <cell r="AI197">
            <v>0</v>
          </cell>
          <cell r="AJ197">
            <v>283248.35</v>
          </cell>
          <cell r="AK197">
            <v>0</v>
          </cell>
          <cell r="AL197">
            <v>0</v>
          </cell>
          <cell r="AM197">
            <v>0</v>
          </cell>
          <cell r="AN197">
            <v>0</v>
          </cell>
          <cell r="AO197">
            <v>283248.35</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v>
          </cell>
          <cell r="AD202">
            <v>113982.42</v>
          </cell>
          <cell r="AG202">
            <v>-39893.973</v>
          </cell>
          <cell r="AH202">
            <v>0</v>
          </cell>
          <cell r="AI202">
            <v>0</v>
          </cell>
          <cell r="AJ202">
            <v>-39893.973</v>
          </cell>
          <cell r="AK202">
            <v>0.125999999995111</v>
          </cell>
          <cell r="AL202">
            <v>0</v>
          </cell>
          <cell r="AM202">
            <v>0</v>
          </cell>
          <cell r="AN202">
            <v>0</v>
          </cell>
          <cell r="AO202">
            <v>-39893.847</v>
          </cell>
          <cell r="AQ202">
            <v>0</v>
          </cell>
          <cell r="AR202">
            <v>-39893.847</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v>
          </cell>
          <cell r="AL207">
            <v>0</v>
          </cell>
          <cell r="AM207">
            <v>0</v>
          </cell>
        </row>
        <row r="208">
          <cell r="U208">
            <v>-24791251.92</v>
          </cell>
          <cell r="V208">
            <v>0</v>
          </cell>
          <cell r="W208">
            <v>0</v>
          </cell>
          <cell r="X208">
            <v>-24791251.92</v>
          </cell>
          <cell r="Y208">
            <v>3252151.27</v>
          </cell>
          <cell r="Z208">
            <v>0</v>
          </cell>
          <cell r="AA208">
            <v>0</v>
          </cell>
          <cell r="AB208">
            <v>0</v>
          </cell>
          <cell r="AD208">
            <v>-21539100.65</v>
          </cell>
          <cell r="AE208">
            <v>0</v>
          </cell>
          <cell r="AF208">
            <v>0</v>
          </cell>
          <cell r="AG208">
            <v>8676938.172</v>
          </cell>
          <cell r="AH208">
            <v>0</v>
          </cell>
          <cell r="AI208">
            <v>0</v>
          </cell>
          <cell r="AJ208">
            <v>8676938.172</v>
          </cell>
          <cell r="AK208">
            <v>-1138252.9445</v>
          </cell>
          <cell r="AL208">
            <v>0</v>
          </cell>
          <cell r="AM208">
            <v>0</v>
          </cell>
          <cell r="AN208">
            <v>0</v>
          </cell>
          <cell r="AO208">
            <v>7538685.2275</v>
          </cell>
          <cell r="AQ208">
            <v>-9054019.8</v>
          </cell>
          <cell r="AR208">
            <v>15505974.2775</v>
          </cell>
        </row>
        <row r="209">
          <cell r="AG209">
            <v>-8676938.172</v>
          </cell>
        </row>
        <row r="210">
          <cell r="AO210">
            <v>-7538685.2275</v>
          </cell>
        </row>
        <row r="211">
          <cell r="AO211">
            <v>150773.70455</v>
          </cell>
        </row>
        <row r="215">
          <cell r="U215">
            <v>-24791251.92</v>
          </cell>
          <cell r="V215">
            <v>0</v>
          </cell>
          <cell r="W215">
            <v>0</v>
          </cell>
          <cell r="X215">
            <v>-24791251.92</v>
          </cell>
          <cell r="Y215">
            <v>3252151.27</v>
          </cell>
          <cell r="Z215">
            <v>0</v>
          </cell>
          <cell r="AA215">
            <v>0</v>
          </cell>
          <cell r="AB215">
            <v>0</v>
          </cell>
          <cell r="AC215">
            <v>0</v>
          </cell>
          <cell r="AD215">
            <v>-21539100.65</v>
          </cell>
          <cell r="AE215">
            <v>0</v>
          </cell>
          <cell r="AF215">
            <v>0</v>
          </cell>
          <cell r="AG215">
            <v>8676938.172</v>
          </cell>
          <cell r="AH215">
            <v>0</v>
          </cell>
          <cell r="AI215">
            <v>0</v>
          </cell>
          <cell r="AJ215">
            <v>8676938.172</v>
          </cell>
          <cell r="AK215">
            <v>-1138252.9445</v>
          </cell>
          <cell r="AL215">
            <v>0</v>
          </cell>
          <cell r="AM215">
            <v>0</v>
          </cell>
          <cell r="AN215">
            <v>0</v>
          </cell>
          <cell r="AO215">
            <v>150773.704549999</v>
          </cell>
          <cell r="AP215">
            <v>0</v>
          </cell>
          <cell r="AQ215">
            <v>-9054019.8</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0.420000000012806</v>
          </cell>
          <cell r="X259">
            <v>0.420000000012806</v>
          </cell>
          <cell r="Y259">
            <v>0</v>
          </cell>
          <cell r="AD259">
            <v>0.420000000012806</v>
          </cell>
          <cell r="AG259">
            <v>-0.147000000004482</v>
          </cell>
          <cell r="AH259">
            <v>0</v>
          </cell>
          <cell r="AI259">
            <v>0</v>
          </cell>
          <cell r="AJ259">
            <v>-0.147000000004482</v>
          </cell>
          <cell r="AK259">
            <v>0</v>
          </cell>
          <cell r="AL259">
            <v>0</v>
          </cell>
          <cell r="AM259">
            <v>0</v>
          </cell>
          <cell r="AN259">
            <v>0</v>
          </cell>
          <cell r="AO259">
            <v>-0.147000000004482</v>
          </cell>
          <cell r="AP259">
            <v>13</v>
          </cell>
          <cell r="AQ259">
            <v>0</v>
          </cell>
          <cell r="AR259">
            <v>-0.147000000004482</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v>
          </cell>
          <cell r="AP261">
            <v>1</v>
          </cell>
          <cell r="AQ261">
            <v>-3075983.4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85327.55</v>
          </cell>
          <cell r="AL264">
            <v>0</v>
          </cell>
          <cell r="AM264">
            <v>0</v>
          </cell>
          <cell r="AN264">
            <v>0</v>
          </cell>
          <cell r="AO264">
            <v>308920.15</v>
          </cell>
          <cell r="AP264">
            <v>2</v>
          </cell>
          <cell r="AQ264">
            <v>0</v>
          </cell>
          <cell r="AR264">
            <v>308920.15</v>
          </cell>
        </row>
        <row r="265">
          <cell r="U265">
            <v>-2123328</v>
          </cell>
          <cell r="X265">
            <v>-2123328</v>
          </cell>
          <cell r="Y265">
            <v>1664052</v>
          </cell>
          <cell r="AD265">
            <v>-459276</v>
          </cell>
          <cell r="AG265">
            <v>743164.8</v>
          </cell>
          <cell r="AH265">
            <v>0</v>
          </cell>
          <cell r="AI265">
            <v>0</v>
          </cell>
          <cell r="AJ265">
            <v>743164.8</v>
          </cell>
          <cell r="AK265">
            <v>-582418.2</v>
          </cell>
          <cell r="AL265">
            <v>0</v>
          </cell>
          <cell r="AM265">
            <v>0</v>
          </cell>
          <cell r="AN265">
            <v>0</v>
          </cell>
          <cell r="AO265">
            <v>160746.6</v>
          </cell>
          <cell r="AP265">
            <v>16</v>
          </cell>
          <cell r="AQ265">
            <v>0</v>
          </cell>
          <cell r="AR265">
            <v>160746.6</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289728.95</v>
          </cell>
          <cell r="AL267">
            <v>0</v>
          </cell>
          <cell r="AM267">
            <v>0</v>
          </cell>
          <cell r="AN267">
            <v>0</v>
          </cell>
          <cell r="AO267">
            <v>289728.95</v>
          </cell>
          <cell r="AP267">
            <v>8</v>
          </cell>
          <cell r="AQ267">
            <v>0</v>
          </cell>
          <cell r="AR267">
            <v>289728.95</v>
          </cell>
        </row>
        <row r="268">
          <cell r="U268">
            <v>59004.16</v>
          </cell>
          <cell r="V268">
            <v>-59004</v>
          </cell>
          <cell r="X268">
            <v>0.160000000003492</v>
          </cell>
          <cell r="Y268">
            <v>-614718</v>
          </cell>
          <cell r="AD268">
            <v>-614717.84</v>
          </cell>
          <cell r="AG268">
            <v>-20651.456</v>
          </cell>
          <cell r="AH268">
            <v>20651.4</v>
          </cell>
          <cell r="AI268">
            <v>0</v>
          </cell>
          <cell r="AJ268">
            <v>-0.0560000000004948</v>
          </cell>
          <cell r="AK268">
            <v>215151.3</v>
          </cell>
          <cell r="AL268">
            <v>0</v>
          </cell>
          <cell r="AM268">
            <v>0</v>
          </cell>
          <cell r="AN268">
            <v>0</v>
          </cell>
          <cell r="AO268">
            <v>215151.244</v>
          </cell>
          <cell r="AP268">
            <v>15</v>
          </cell>
          <cell r="AQ268">
            <v>0</v>
          </cell>
          <cell r="AR268">
            <v>215151.244</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v>
          </cell>
          <cell r="AH274">
            <v>-20651.4</v>
          </cell>
          <cell r="AI274">
            <v>0</v>
          </cell>
          <cell r="AJ274">
            <v>3.63797880709171E-12</v>
          </cell>
          <cell r="AK274">
            <v>0</v>
          </cell>
          <cell r="AL274">
            <v>0</v>
          </cell>
          <cell r="AM274">
            <v>0</v>
          </cell>
          <cell r="AN274">
            <v>0</v>
          </cell>
          <cell r="AO274">
            <v>3.63797880709171E-12</v>
          </cell>
        </row>
        <row r="275">
          <cell r="U275">
            <v>0.0200000000186265</v>
          </cell>
          <cell r="X275">
            <v>0.0200000000186265</v>
          </cell>
          <cell r="Y275">
            <v>0</v>
          </cell>
          <cell r="AD275">
            <v>0.0200000000186265</v>
          </cell>
          <cell r="AG275">
            <v>-0.00700000000651926</v>
          </cell>
          <cell r="AH275">
            <v>0</v>
          </cell>
          <cell r="AI275">
            <v>0</v>
          </cell>
          <cell r="AJ275">
            <v>-0.00700000000651926</v>
          </cell>
          <cell r="AK275">
            <v>0</v>
          </cell>
          <cell r="AL275">
            <v>0</v>
          </cell>
          <cell r="AM275">
            <v>0</v>
          </cell>
          <cell r="AN275">
            <v>0</v>
          </cell>
          <cell r="AO275">
            <v>-0.00700000000651926</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-783337.4</v>
          </cell>
          <cell r="V281">
            <v>0</v>
          </cell>
          <cell r="W281">
            <v>4966170</v>
          </cell>
          <cell r="X281">
            <v>4182832.6</v>
          </cell>
          <cell r="Y281">
            <v>-217339</v>
          </cell>
          <cell r="Z281">
            <v>0</v>
          </cell>
          <cell r="AA281">
            <v>0</v>
          </cell>
          <cell r="AB281">
            <v>0</v>
          </cell>
          <cell r="AD281">
            <v>3965493.6</v>
          </cell>
          <cell r="AE281">
            <v>0</v>
          </cell>
          <cell r="AF281">
            <v>0</v>
          </cell>
          <cell r="AG281">
            <v>274168.09</v>
          </cell>
          <cell r="AH281">
            <v>0</v>
          </cell>
          <cell r="AI281">
            <v>-1738159.5</v>
          </cell>
          <cell r="AJ281">
            <v>-1463991.41</v>
          </cell>
          <cell r="AK281">
            <v>76068.6499999999</v>
          </cell>
          <cell r="AL281">
            <v>0</v>
          </cell>
          <cell r="AM281">
            <v>0</v>
          </cell>
          <cell r="AN281">
            <v>0</v>
          </cell>
          <cell r="AO281">
            <v>350236.74</v>
          </cell>
          <cell r="AQ281">
            <v>-3075983.4</v>
          </cell>
          <cell r="AR281">
            <v>1146924.247</v>
          </cell>
        </row>
        <row r="282">
          <cell r="AD282">
            <v>67016.84184</v>
          </cell>
          <cell r="AG282">
            <v>-274168.09</v>
          </cell>
          <cell r="AK282">
            <v>0</v>
          </cell>
        </row>
        <row r="283">
          <cell r="AO283">
            <v>1387922.76</v>
          </cell>
        </row>
        <row r="288">
          <cell r="U288">
            <v>-783337.4</v>
          </cell>
          <cell r="V288">
            <v>0</v>
          </cell>
          <cell r="W288">
            <v>4966170</v>
          </cell>
          <cell r="X288">
            <v>4182832.6</v>
          </cell>
          <cell r="Y288">
            <v>-217339</v>
          </cell>
          <cell r="Z288">
            <v>0</v>
          </cell>
          <cell r="AA288">
            <v>0</v>
          </cell>
          <cell r="AB288">
            <v>0</v>
          </cell>
          <cell r="AC288">
            <v>0</v>
          </cell>
          <cell r="AD288">
            <v>3965493.6</v>
          </cell>
          <cell r="AE288">
            <v>0</v>
          </cell>
          <cell r="AF288">
            <v>0</v>
          </cell>
          <cell r="AG288">
            <v>274168.09</v>
          </cell>
          <cell r="AH288">
            <v>0</v>
          </cell>
          <cell r="AI288">
            <v>-1738159.5</v>
          </cell>
          <cell r="AJ288">
            <v>-1463991.41</v>
          </cell>
          <cell r="AK288">
            <v>76068.6499999999</v>
          </cell>
          <cell r="AL288">
            <v>0</v>
          </cell>
          <cell r="AM288">
            <v>0</v>
          </cell>
          <cell r="AN288">
            <v>0</v>
          </cell>
          <cell r="AO288">
            <v>1738159.5</v>
          </cell>
          <cell r="AP288">
            <v>0</v>
          </cell>
          <cell r="AQ288">
            <v>-3075983.4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83003.2</v>
          </cell>
          <cell r="AH330">
            <v>0</v>
          </cell>
          <cell r="AI330">
            <v>0</v>
          </cell>
          <cell r="AJ330">
            <v>83003.2</v>
          </cell>
          <cell r="AK330">
            <v>0</v>
          </cell>
          <cell r="AL330">
            <v>0</v>
          </cell>
          <cell r="AM330">
            <v>0</v>
          </cell>
          <cell r="AN330">
            <v>0</v>
          </cell>
          <cell r="AO330">
            <v>83003.2</v>
          </cell>
          <cell r="AQ330">
            <v>0</v>
          </cell>
          <cell r="AR330">
            <v>83003.2</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-1612198.35</v>
          </cell>
          <cell r="AO344">
            <v>-1612198.35</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-1612198.35</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2.3283064365387E-10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-202186.95</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-311237.15</v>
          </cell>
          <cell r="AJ382">
            <v>-241237.15</v>
          </cell>
          <cell r="AK382">
            <v>241237.15</v>
          </cell>
          <cell r="AL382">
            <v>0</v>
          </cell>
          <cell r="AM382">
            <v>0</v>
          </cell>
          <cell r="AN382">
            <v>0</v>
          </cell>
          <cell r="AO382">
            <v>2.91038304567337E-11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416211.95</v>
          </cell>
        </row>
        <row r="384">
          <cell r="U384">
            <v>0</v>
          </cell>
          <cell r="X384">
            <v>0</v>
          </cell>
          <cell r="Y384">
            <v>-89485</v>
          </cell>
          <cell r="AD384">
            <v>-89485</v>
          </cell>
          <cell r="AG384">
            <v>0</v>
          </cell>
          <cell r="AH384">
            <v>0</v>
          </cell>
          <cell r="AI384">
            <v>0</v>
          </cell>
          <cell r="AJ384">
            <v>0</v>
          </cell>
          <cell r="AK384">
            <v>31319.75</v>
          </cell>
          <cell r="AL384">
            <v>0</v>
          </cell>
          <cell r="AM384">
            <v>0</v>
          </cell>
          <cell r="AN384">
            <v>0</v>
          </cell>
          <cell r="AO384">
            <v>31319.75</v>
          </cell>
          <cell r="AQ384">
            <v>0</v>
          </cell>
          <cell r="AR384">
            <v>31319.75</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-33465.6</v>
          </cell>
          <cell r="AH386">
            <v>0</v>
          </cell>
          <cell r="AI386">
            <v>0</v>
          </cell>
          <cell r="AJ386">
            <v>-33465.6</v>
          </cell>
          <cell r="AK386">
            <v>-0.35</v>
          </cell>
          <cell r="AL386">
            <v>0</v>
          </cell>
          <cell r="AM386">
            <v>0</v>
          </cell>
          <cell r="AO386">
            <v>-33465.95</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v>
          </cell>
          <cell r="AH390">
            <v>0</v>
          </cell>
          <cell r="AI390">
            <v>0</v>
          </cell>
          <cell r="AJ390">
            <v>624381.8</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-1212723.4</v>
          </cell>
          <cell r="AH391">
            <v>112700</v>
          </cell>
          <cell r="AI391">
            <v>0</v>
          </cell>
          <cell r="AJ391">
            <v>-1100023.4</v>
          </cell>
          <cell r="AK391">
            <v>277749.85</v>
          </cell>
          <cell r="AL391">
            <v>0</v>
          </cell>
          <cell r="AM391">
            <v>0</v>
          </cell>
          <cell r="AN391">
            <v>0</v>
          </cell>
          <cell r="AO391">
            <v>-822273.55</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15818.25</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v>
          </cell>
          <cell r="AH397">
            <v>0</v>
          </cell>
          <cell r="AI397">
            <v>0</v>
          </cell>
          <cell r="AJ397">
            <v>9952.95</v>
          </cell>
          <cell r="AK397">
            <v>0</v>
          </cell>
          <cell r="AL397">
            <v>0</v>
          </cell>
          <cell r="AM397">
            <v>0</v>
          </cell>
          <cell r="AN397">
            <v>0</v>
          </cell>
          <cell r="AO397">
            <v>9952.95</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v>
          </cell>
          <cell r="V404">
            <v>0</v>
          </cell>
          <cell r="W404">
            <v>0</v>
          </cell>
          <cell r="X404">
            <v>-11623875.62</v>
          </cell>
          <cell r="Y404">
            <v>-2726489</v>
          </cell>
          <cell r="Z404">
            <v>0</v>
          </cell>
          <cell r="AA404">
            <v>0</v>
          </cell>
          <cell r="AB404">
            <v>0</v>
          </cell>
          <cell r="AD404">
            <v>-14350364.62</v>
          </cell>
          <cell r="AE404">
            <v>0</v>
          </cell>
          <cell r="AF404">
            <v>0</v>
          </cell>
          <cell r="AG404">
            <v>4068356.467</v>
          </cell>
          <cell r="AH404">
            <v>0</v>
          </cell>
          <cell r="AI404">
            <v>0</v>
          </cell>
          <cell r="AJ404">
            <v>4068356.467</v>
          </cell>
          <cell r="AK404">
            <v>954271.15</v>
          </cell>
          <cell r="AL404">
            <v>0</v>
          </cell>
          <cell r="AM404">
            <v>0</v>
          </cell>
          <cell r="AN404">
            <v>0</v>
          </cell>
          <cell r="AO404">
            <v>5022627.617</v>
          </cell>
          <cell r="AQ404">
            <v>0</v>
          </cell>
          <cell r="AR404">
            <v>473428.9</v>
          </cell>
        </row>
        <row r="405">
          <cell r="AD405">
            <v>-242521.162078</v>
          </cell>
          <cell r="AG405">
            <v>-4068356.467</v>
          </cell>
        </row>
        <row r="406">
          <cell r="AO406">
            <v>-5022627.617</v>
          </cell>
        </row>
        <row r="411">
          <cell r="U411">
            <v>-11623875.62</v>
          </cell>
          <cell r="V411">
            <v>0</v>
          </cell>
          <cell r="W411">
            <v>0</v>
          </cell>
          <cell r="X411">
            <v>-11623875.62</v>
          </cell>
          <cell r="Y411">
            <v>-2726489</v>
          </cell>
          <cell r="Z411">
            <v>0</v>
          </cell>
          <cell r="AA411">
            <v>0</v>
          </cell>
          <cell r="AB411">
            <v>0</v>
          </cell>
          <cell r="AC411">
            <v>0</v>
          </cell>
          <cell r="AD411">
            <v>-14350364.62</v>
          </cell>
          <cell r="AE411">
            <v>0</v>
          </cell>
          <cell r="AF411">
            <v>0</v>
          </cell>
          <cell r="AG411">
            <v>4068356.467</v>
          </cell>
          <cell r="AH411">
            <v>0</v>
          </cell>
          <cell r="AI411">
            <v>0</v>
          </cell>
          <cell r="AJ411">
            <v>4068356.467</v>
          </cell>
          <cell r="AK411">
            <v>954271.15</v>
          </cell>
          <cell r="AL411">
            <v>0</v>
          </cell>
          <cell r="AM411">
            <v>0</v>
          </cell>
          <cell r="AN411">
            <v>0</v>
          </cell>
          <cell r="AO411">
            <v>9.31322574615479E-10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-236635.35</v>
          </cell>
          <cell r="AL435">
            <v>0</v>
          </cell>
          <cell r="AM435">
            <v>0</v>
          </cell>
          <cell r="AN435">
            <v>0</v>
          </cell>
          <cell r="AO435">
            <v>556224.2</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-236635.35</v>
          </cell>
          <cell r="AL443">
            <v>0</v>
          </cell>
          <cell r="AM443">
            <v>0</v>
          </cell>
          <cell r="AN443">
            <v>0</v>
          </cell>
          <cell r="AO443">
            <v>563600.8</v>
          </cell>
          <cell r="AQ443">
            <v>2126.6</v>
          </cell>
          <cell r="AR443">
            <v>5250</v>
          </cell>
        </row>
        <row r="444">
          <cell r="AD444">
            <v>-27213.8672</v>
          </cell>
          <cell r="AG444">
            <v>-800236.15</v>
          </cell>
        </row>
        <row r="445">
          <cell r="AO445">
            <v>-563600.8</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-236635.35</v>
          </cell>
          <cell r="AL450">
            <v>0</v>
          </cell>
          <cell r="AM450">
            <v>0</v>
          </cell>
          <cell r="AN450">
            <v>0</v>
          </cell>
          <cell r="AO450">
            <v>1.16415321826935E-10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v>
          </cell>
          <cell r="AH467">
            <v>0</v>
          </cell>
          <cell r="AI467">
            <v>0</v>
          </cell>
          <cell r="AJ467">
            <v>272446.65</v>
          </cell>
          <cell r="AK467">
            <v>0</v>
          </cell>
          <cell r="AL467">
            <v>0</v>
          </cell>
          <cell r="AM467">
            <v>0</v>
          </cell>
          <cell r="AN467">
            <v>0</v>
          </cell>
          <cell r="AO467">
            <v>272446.65</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-19754.7</v>
          </cell>
          <cell r="AL469">
            <v>0</v>
          </cell>
          <cell r="AM469">
            <v>0</v>
          </cell>
          <cell r="AN469">
            <v>0</v>
          </cell>
          <cell r="AO469">
            <v>-18947.6</v>
          </cell>
          <cell r="AQ469">
            <v>0</v>
          </cell>
          <cell r="AR469">
            <v>-18947.6</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-19754.7</v>
          </cell>
          <cell r="AL479">
            <v>0</v>
          </cell>
          <cell r="AM479">
            <v>0</v>
          </cell>
          <cell r="AN479">
            <v>0</v>
          </cell>
          <cell r="AO479">
            <v>253499.05</v>
          </cell>
          <cell r="AQ479">
            <v>0</v>
          </cell>
          <cell r="AR479">
            <v>-18947.6</v>
          </cell>
        </row>
        <row r="480">
          <cell r="AD480">
            <v>-12240.3827</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-19754.7</v>
          </cell>
          <cell r="AL488">
            <v>0</v>
          </cell>
          <cell r="AM488">
            <v>0</v>
          </cell>
          <cell r="AN488">
            <v>0</v>
          </cell>
          <cell r="AO488">
            <v>253499.05</v>
          </cell>
          <cell r="AQ488">
            <v>0</v>
          </cell>
          <cell r="AR488">
            <v>-18947.6</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-19754.7</v>
          </cell>
          <cell r="AL489">
            <v>0</v>
          </cell>
          <cell r="AM489">
            <v>0</v>
          </cell>
          <cell r="AN489">
            <v>0</v>
          </cell>
          <cell r="AO489">
            <v>253499.05</v>
          </cell>
          <cell r="AP489">
            <v>0</v>
          </cell>
          <cell r="AQ489">
            <v>0</v>
          </cell>
          <cell r="AR489">
            <v>-18947.6</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v>
          </cell>
          <cell r="AQ513">
            <v>2595.6</v>
          </cell>
          <cell r="AR513">
            <v>0</v>
          </cell>
        </row>
        <row r="514">
          <cell r="AG514">
            <v>-2182.6</v>
          </cell>
        </row>
        <row r="515">
          <cell r="AO515">
            <v>-4345.6</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9.09494701772928E-13</v>
          </cell>
          <cell r="AP520">
            <v>0</v>
          </cell>
          <cell r="AQ520">
            <v>2595.6</v>
          </cell>
          <cell r="AR520">
            <v>0</v>
          </cell>
        </row>
        <row r="521">
          <cell r="AD521">
            <v>-209.8304</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-2771.65</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v>
          </cell>
          <cell r="AH578">
            <v>0</v>
          </cell>
          <cell r="AI578">
            <v>0</v>
          </cell>
          <cell r="AJ578">
            <v>38250.8</v>
          </cell>
          <cell r="AK578">
            <v>0</v>
          </cell>
          <cell r="AN578">
            <v>0</v>
          </cell>
          <cell r="AO578">
            <v>38250.8</v>
          </cell>
          <cell r="AP578" t="e">
            <v>#REF!</v>
          </cell>
          <cell r="AQ578" t="e">
            <v>#REF!</v>
          </cell>
          <cell r="AR578" t="e">
            <v>#REF!</v>
          </cell>
        </row>
        <row r="579">
          <cell r="U579">
            <v>0.619999999995343</v>
          </cell>
          <cell r="X579">
            <v>0.619999999995343</v>
          </cell>
          <cell r="Y579">
            <v>0.380000000004657</v>
          </cell>
          <cell r="AD579">
            <v>1</v>
          </cell>
          <cell r="AE579" t="e">
            <v>#REF!</v>
          </cell>
          <cell r="AF579" t="e">
            <v>#REF!</v>
          </cell>
          <cell r="AG579">
            <v>-0.217000000004191</v>
          </cell>
          <cell r="AH579">
            <v>0</v>
          </cell>
          <cell r="AI579">
            <v>0</v>
          </cell>
          <cell r="AJ579">
            <v>-0.217000000004191</v>
          </cell>
          <cell r="AK579">
            <v>-0.13300000000163</v>
          </cell>
          <cell r="AN579">
            <v>0</v>
          </cell>
          <cell r="AO579">
            <v>-0.350000000005821</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v>
          </cell>
          <cell r="V587">
            <v>0</v>
          </cell>
          <cell r="W587">
            <v>0</v>
          </cell>
          <cell r="X587">
            <v>-14815688.38</v>
          </cell>
          <cell r="Y587">
            <v>30190.38</v>
          </cell>
          <cell r="Z587">
            <v>0</v>
          </cell>
          <cell r="AA587">
            <v>0</v>
          </cell>
          <cell r="AB587">
            <v>0</v>
          </cell>
          <cell r="AD587">
            <v>-14785498</v>
          </cell>
          <cell r="AE587" t="e">
            <v>#REF!</v>
          </cell>
          <cell r="AF587" t="e">
            <v>#REF!</v>
          </cell>
          <cell r="AG587">
            <v>5185490.933</v>
          </cell>
          <cell r="AH587">
            <v>0</v>
          </cell>
          <cell r="AI587">
            <v>0</v>
          </cell>
          <cell r="AJ587">
            <v>5185490.933</v>
          </cell>
          <cell r="AK587">
            <v>-10566.633</v>
          </cell>
          <cell r="AL587">
            <v>0</v>
          </cell>
          <cell r="AM587">
            <v>0</v>
          </cell>
          <cell r="AN587">
            <v>0</v>
          </cell>
          <cell r="AO587">
            <v>5174924.3</v>
          </cell>
          <cell r="AQ587" t="e">
            <v>#REF!</v>
          </cell>
          <cell r="AR587" t="e">
            <v>#REF!</v>
          </cell>
        </row>
        <row r="588">
          <cell r="AD588">
            <v>-249874.9162</v>
          </cell>
          <cell r="AE588" t="e">
            <v>#REF!</v>
          </cell>
          <cell r="AF588" t="e">
            <v>#REF!</v>
          </cell>
          <cell r="AG588">
            <v>-5185490.933</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v>
          </cell>
          <cell r="V594">
            <v>0</v>
          </cell>
          <cell r="W594">
            <v>0</v>
          </cell>
          <cell r="X594">
            <v>-14815688.38</v>
          </cell>
          <cell r="Y594">
            <v>30190.38</v>
          </cell>
          <cell r="Z594">
            <v>0</v>
          </cell>
          <cell r="AA594">
            <v>0</v>
          </cell>
          <cell r="AB594">
            <v>0</v>
          </cell>
          <cell r="AC594">
            <v>0</v>
          </cell>
          <cell r="AD594">
            <v>-14785498</v>
          </cell>
          <cell r="AE594" t="e">
            <v>#REF!</v>
          </cell>
          <cell r="AF594" t="e">
            <v>#REF!</v>
          </cell>
          <cell r="AG594">
            <v>5185490.933</v>
          </cell>
          <cell r="AH594">
            <v>0</v>
          </cell>
          <cell r="AI594">
            <v>0</v>
          </cell>
          <cell r="AJ594">
            <v>5185490.933</v>
          </cell>
          <cell r="AK594">
            <v>-10566.633</v>
          </cell>
          <cell r="AL594">
            <v>0</v>
          </cell>
          <cell r="AM594">
            <v>0</v>
          </cell>
          <cell r="AN594">
            <v>0</v>
          </cell>
          <cell r="AO594">
            <v>0</v>
          </cell>
          <cell r="AP594" t="e">
            <v>#REF!</v>
          </cell>
          <cell r="AQ594" t="e">
            <v>#REF!</v>
          </cell>
          <cell r="AR594" t="e">
            <v>#REF!</v>
          </cell>
        </row>
        <row r="595">
          <cell r="AD595">
            <v>-249874.9162</v>
          </cell>
        </row>
        <row r="597">
          <cell r="Y597">
            <v>510.217422</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2487.45</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5933.55</v>
          </cell>
          <cell r="AL614">
            <v>0</v>
          </cell>
          <cell r="AM614">
            <v>0</v>
          </cell>
          <cell r="AN614">
            <v>0</v>
          </cell>
          <cell r="AO614">
            <v>-1337923.3</v>
          </cell>
          <cell r="AQ614">
            <v>0</v>
          </cell>
          <cell r="AR614">
            <v>-1337923.3</v>
          </cell>
        </row>
        <row r="615">
          <cell r="U615">
            <v>-1</v>
          </cell>
          <cell r="X615">
            <v>-1</v>
          </cell>
          <cell r="Y615">
            <v>0</v>
          </cell>
          <cell r="AD615">
            <v>-1</v>
          </cell>
          <cell r="AG615">
            <v>0.350000000005821</v>
          </cell>
          <cell r="AH615">
            <v>0</v>
          </cell>
          <cell r="AI615">
            <v>0</v>
          </cell>
          <cell r="AJ615">
            <v>0.350000000005821</v>
          </cell>
          <cell r="AK615">
            <v>0</v>
          </cell>
          <cell r="AL615">
            <v>0</v>
          </cell>
          <cell r="AM615">
            <v>0</v>
          </cell>
          <cell r="AN615">
            <v>0</v>
          </cell>
          <cell r="AO615">
            <v>0.350000000005821</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v>
          </cell>
          <cell r="AH620">
            <v>0</v>
          </cell>
          <cell r="AI620">
            <v>0</v>
          </cell>
          <cell r="AJ620">
            <v>66895.85</v>
          </cell>
          <cell r="AK620">
            <v>0</v>
          </cell>
          <cell r="AL620">
            <v>0</v>
          </cell>
          <cell r="AM620">
            <v>0</v>
          </cell>
          <cell r="AN620">
            <v>0</v>
          </cell>
          <cell r="AO620">
            <v>66895.85</v>
          </cell>
          <cell r="AQ620">
            <v>0</v>
          </cell>
          <cell r="AR620">
            <v>66895.85</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779535.05</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8545434.8</v>
          </cell>
          <cell r="AH623">
            <v>0</v>
          </cell>
          <cell r="AI623">
            <v>0</v>
          </cell>
          <cell r="AJ623">
            <v>8545434.8</v>
          </cell>
          <cell r="AK623">
            <v>-520185.05</v>
          </cell>
          <cell r="AL623">
            <v>0</v>
          </cell>
          <cell r="AM623">
            <v>0</v>
          </cell>
          <cell r="AN623">
            <v>0</v>
          </cell>
          <cell r="AO623">
            <v>8025249.75</v>
          </cell>
          <cell r="AQ623">
            <v>0</v>
          </cell>
          <cell r="AR623">
            <v>8025249.75</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927308.55</v>
          </cell>
          <cell r="AL625">
            <v>0</v>
          </cell>
          <cell r="AM625">
            <v>0</v>
          </cell>
          <cell r="AN625">
            <v>0</v>
          </cell>
          <cell r="AO625">
            <v>1748685.05</v>
          </cell>
          <cell r="AQ625">
            <v>0</v>
          </cell>
          <cell r="AR625">
            <v>1748685.05</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-17329.9</v>
          </cell>
          <cell r="AL628">
            <v>0</v>
          </cell>
          <cell r="AM628">
            <v>0</v>
          </cell>
          <cell r="AN628">
            <v>0</v>
          </cell>
          <cell r="AO628">
            <v>-17329.9</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v>
          </cell>
          <cell r="AH636">
            <v>0</v>
          </cell>
          <cell r="AI636">
            <v>0</v>
          </cell>
          <cell r="AJ636">
            <v>-9345.7</v>
          </cell>
          <cell r="AK636">
            <v>0</v>
          </cell>
          <cell r="AL636">
            <v>0</v>
          </cell>
          <cell r="AM636">
            <v>0</v>
          </cell>
          <cell r="AN636">
            <v>0</v>
          </cell>
          <cell r="AO636">
            <v>-9345.7</v>
          </cell>
          <cell r="AQ636">
            <v>0</v>
          </cell>
          <cell r="AR636">
            <v>-9345.7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v>
          </cell>
          <cell r="AH644">
            <v>0</v>
          </cell>
          <cell r="AI644">
            <v>0</v>
          </cell>
          <cell r="AJ644">
            <v>-4095734.3</v>
          </cell>
          <cell r="AK644">
            <v>627144.7</v>
          </cell>
          <cell r="AL644">
            <v>0</v>
          </cell>
          <cell r="AM644">
            <v>0</v>
          </cell>
          <cell r="AN644">
            <v>0</v>
          </cell>
          <cell r="AO644">
            <v>-3468589.6</v>
          </cell>
          <cell r="AQ644">
            <v>0</v>
          </cell>
          <cell r="AR644">
            <v>-6151874.05</v>
          </cell>
        </row>
        <row r="645">
          <cell r="AG645">
            <v>4095733.6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v>
          </cell>
          <cell r="AH651">
            <v>0</v>
          </cell>
          <cell r="AI651">
            <v>0</v>
          </cell>
          <cell r="AJ651">
            <v>-4095734.3</v>
          </cell>
          <cell r="AK651">
            <v>627144.7</v>
          </cell>
          <cell r="AL651">
            <v>0</v>
          </cell>
          <cell r="AM651">
            <v>0</v>
          </cell>
          <cell r="AN651">
            <v>0</v>
          </cell>
          <cell r="AO651">
            <v>-0.699999998789281</v>
          </cell>
          <cell r="AP651">
            <v>0</v>
          </cell>
          <cell r="AQ651">
            <v>0</v>
          </cell>
          <cell r="AR651">
            <v>-6151874.05</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13986.35</v>
          </cell>
          <cell r="AL675">
            <v>0</v>
          </cell>
          <cell r="AM675">
            <v>0</v>
          </cell>
          <cell r="AN675">
            <v>0</v>
          </cell>
          <cell r="AO675">
            <v>-256505.2</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v>
          </cell>
          <cell r="AH680">
            <v>0</v>
          </cell>
          <cell r="AI680">
            <v>0</v>
          </cell>
          <cell r="AJ680">
            <v>4431130.9</v>
          </cell>
          <cell r="AK680">
            <v>0</v>
          </cell>
          <cell r="AL680">
            <v>0</v>
          </cell>
          <cell r="AM680">
            <v>0</v>
          </cell>
          <cell r="AN680">
            <v>0</v>
          </cell>
          <cell r="AO680">
            <v>4431130.9</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331506.35</v>
          </cell>
          <cell r="AH682">
            <v>0</v>
          </cell>
          <cell r="AI682">
            <v>0</v>
          </cell>
          <cell r="AJ682">
            <v>331506.35</v>
          </cell>
          <cell r="AK682">
            <v>0</v>
          </cell>
          <cell r="AL682">
            <v>0</v>
          </cell>
          <cell r="AM682">
            <v>0</v>
          </cell>
          <cell r="AN682">
            <v>0</v>
          </cell>
          <cell r="AO682">
            <v>331506.35</v>
          </cell>
        </row>
        <row r="683">
          <cell r="U683">
            <v>-1794737</v>
          </cell>
          <cell r="X683">
            <v>-1794737</v>
          </cell>
          <cell r="Y683">
            <v>0</v>
          </cell>
          <cell r="AD683">
            <v>-1794737</v>
          </cell>
          <cell r="AG683">
            <v>628157.95</v>
          </cell>
          <cell r="AH683">
            <v>0</v>
          </cell>
          <cell r="AI683">
            <v>0</v>
          </cell>
          <cell r="AJ683">
            <v>628157.95</v>
          </cell>
          <cell r="AK683">
            <v>0</v>
          </cell>
          <cell r="AL683">
            <v>0</v>
          </cell>
          <cell r="AM683">
            <v>0</v>
          </cell>
          <cell r="AN683">
            <v>0</v>
          </cell>
          <cell r="AO683">
            <v>628157.95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v>
          </cell>
          <cell r="AH686">
            <v>0</v>
          </cell>
          <cell r="AI686">
            <v>0</v>
          </cell>
          <cell r="AJ686">
            <v>9846210.15</v>
          </cell>
          <cell r="AK686">
            <v>13986.35</v>
          </cell>
          <cell r="AL686">
            <v>0</v>
          </cell>
          <cell r="AM686">
            <v>0</v>
          </cell>
          <cell r="AN686">
            <v>0</v>
          </cell>
          <cell r="AO686">
            <v>9860196.5</v>
          </cell>
          <cell r="AQ686">
            <v>-748815.2</v>
          </cell>
        </row>
        <row r="687">
          <cell r="AG687">
            <v>-9846210.15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v>
          </cell>
          <cell r="AH693">
            <v>0</v>
          </cell>
          <cell r="AI693">
            <v>0</v>
          </cell>
          <cell r="AJ693">
            <v>9846210.15</v>
          </cell>
          <cell r="AK693">
            <v>13986.35</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v>
          </cell>
          <cell r="AH714">
            <v>0</v>
          </cell>
          <cell r="AI714">
            <v>0</v>
          </cell>
          <cell r="AJ714">
            <v>-2353192.24</v>
          </cell>
          <cell r="AK714">
            <v>1636675.6</v>
          </cell>
          <cell r="AL714">
            <v>0</v>
          </cell>
          <cell r="AM714">
            <v>0</v>
          </cell>
          <cell r="AN714">
            <v>0</v>
          </cell>
          <cell r="AO714">
            <v>-716516.64</v>
          </cell>
          <cell r="AQ714">
            <v>0</v>
          </cell>
          <cell r="AR714">
            <v>-716516.64</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v>
          </cell>
          <cell r="AQ715">
            <v>0</v>
          </cell>
          <cell r="AR715">
            <v>-7982.44999999995</v>
          </cell>
        </row>
        <row r="716">
          <cell r="U716">
            <v>22807</v>
          </cell>
          <cell r="X716">
            <v>22807</v>
          </cell>
          <cell r="Y716">
            <v>163950</v>
          </cell>
          <cell r="AD716">
            <v>186757</v>
          </cell>
          <cell r="AG716">
            <v>-7982.45</v>
          </cell>
          <cell r="AH716">
            <v>0</v>
          </cell>
          <cell r="AI716">
            <v>0</v>
          </cell>
          <cell r="AJ716">
            <v>-7982.45</v>
          </cell>
          <cell r="AK716">
            <v>-57382.5</v>
          </cell>
          <cell r="AL716">
            <v>0</v>
          </cell>
          <cell r="AM716">
            <v>0</v>
          </cell>
          <cell r="AN716">
            <v>0</v>
          </cell>
          <cell r="AO716">
            <v>-65364.95</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v>
          </cell>
          <cell r="AH718">
            <v>0</v>
          </cell>
          <cell r="AI718">
            <v>0</v>
          </cell>
          <cell r="AJ718">
            <v>650179.43</v>
          </cell>
          <cell r="AK718">
            <v>0</v>
          </cell>
          <cell r="AL718">
            <v>0</v>
          </cell>
          <cell r="AM718">
            <v>0</v>
          </cell>
          <cell r="AN718">
            <v>0</v>
          </cell>
          <cell r="AO718">
            <v>650179.43</v>
          </cell>
        </row>
        <row r="719">
          <cell r="U719">
            <v>-17369798</v>
          </cell>
          <cell r="X719">
            <v>-17369798</v>
          </cell>
          <cell r="Y719">
            <v>0</v>
          </cell>
          <cell r="AD719">
            <v>-17369798</v>
          </cell>
          <cell r="AG719">
            <v>5943812.53</v>
          </cell>
          <cell r="AH719">
            <v>0</v>
          </cell>
          <cell r="AI719">
            <v>0</v>
          </cell>
          <cell r="AJ719">
            <v>5943812.53</v>
          </cell>
          <cell r="AK719">
            <v>0</v>
          </cell>
          <cell r="AL719">
            <v>0</v>
          </cell>
          <cell r="AM719">
            <v>0</v>
          </cell>
          <cell r="AN719">
            <v>0</v>
          </cell>
          <cell r="AO719">
            <v>5943812.53</v>
          </cell>
          <cell r="AQ719">
            <v>0</v>
          </cell>
          <cell r="AR719">
            <v>5943812.53</v>
          </cell>
        </row>
        <row r="720">
          <cell r="U720">
            <v>667351</v>
          </cell>
          <cell r="X720">
            <v>667351</v>
          </cell>
          <cell r="Y720">
            <v>-677285</v>
          </cell>
          <cell r="AD720">
            <v>-9934</v>
          </cell>
          <cell r="AG720">
            <v>-205601.81</v>
          </cell>
          <cell r="AH720">
            <v>0</v>
          </cell>
          <cell r="AI720">
            <v>0</v>
          </cell>
          <cell r="AJ720">
            <v>-205601.81</v>
          </cell>
          <cell r="AK720">
            <v>237049.75</v>
          </cell>
          <cell r="AL720">
            <v>0</v>
          </cell>
          <cell r="AM720">
            <v>0</v>
          </cell>
          <cell r="AN720">
            <v>0</v>
          </cell>
          <cell r="AO720">
            <v>31447.94</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419766.77</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57401.4400000001</v>
          </cell>
          <cell r="AH726">
            <v>0</v>
          </cell>
          <cell r="AI726">
            <v>0</v>
          </cell>
          <cell r="AJ726">
            <v>57401.4400000001</v>
          </cell>
          <cell r="AK726">
            <v>0</v>
          </cell>
          <cell r="AL726">
            <v>0</v>
          </cell>
          <cell r="AM726">
            <v>0</v>
          </cell>
          <cell r="AN726">
            <v>0</v>
          </cell>
          <cell r="AO726">
            <v>57401.4400000001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7890.05</v>
          </cell>
          <cell r="AL729">
            <v>0</v>
          </cell>
          <cell r="AM729">
            <v>0</v>
          </cell>
          <cell r="AN729">
            <v>0</v>
          </cell>
          <cell r="AO729">
            <v>55412.03</v>
          </cell>
        </row>
        <row r="730">
          <cell r="U730">
            <v>115098</v>
          </cell>
          <cell r="X730">
            <v>115098</v>
          </cell>
          <cell r="Y730">
            <v>0</v>
          </cell>
          <cell r="AD730">
            <v>115098</v>
          </cell>
          <cell r="AG730">
            <v>-40284.3</v>
          </cell>
          <cell r="AH730">
            <v>0</v>
          </cell>
          <cell r="AI730">
            <v>0</v>
          </cell>
          <cell r="AJ730">
            <v>-40284.3</v>
          </cell>
          <cell r="AK730">
            <v>0</v>
          </cell>
          <cell r="AL730">
            <v>0</v>
          </cell>
          <cell r="AM730">
            <v>0</v>
          </cell>
          <cell r="AN730">
            <v>0</v>
          </cell>
          <cell r="AO730">
            <v>-40284.3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-223153.7</v>
          </cell>
          <cell r="AL740">
            <v>0</v>
          </cell>
          <cell r="AM740">
            <v>0</v>
          </cell>
          <cell r="AN740">
            <v>0</v>
          </cell>
          <cell r="AO740">
            <v>-223153.7</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v>
          </cell>
          <cell r="AH746">
            <v>0</v>
          </cell>
          <cell r="AI746">
            <v>0</v>
          </cell>
          <cell r="AJ746">
            <v>14321207.99</v>
          </cell>
          <cell r="AK746">
            <v>-76231.7500000002</v>
          </cell>
          <cell r="AL746">
            <v>0</v>
          </cell>
          <cell r="AM746">
            <v>0</v>
          </cell>
          <cell r="AN746">
            <v>0</v>
          </cell>
          <cell r="AO746">
            <v>14244976.24</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v>
          </cell>
          <cell r="AH753">
            <v>0</v>
          </cell>
          <cell r="AI753">
            <v>0</v>
          </cell>
          <cell r="AJ753">
            <v>14321207.99</v>
          </cell>
          <cell r="AK753">
            <v>-76231.7500000002</v>
          </cell>
          <cell r="AL753">
            <v>0</v>
          </cell>
          <cell r="AM753">
            <v>0</v>
          </cell>
          <cell r="AN753">
            <v>0</v>
          </cell>
          <cell r="AO753">
            <v>-206555.260000002</v>
          </cell>
          <cell r="AP753">
            <v>0</v>
          </cell>
          <cell r="AQ753">
            <v>0</v>
          </cell>
          <cell r="AR753">
            <v>0</v>
          </cell>
        </row>
        <row r="763">
          <cell r="U763">
            <v>-29823606.32</v>
          </cell>
          <cell r="V763">
            <v>0</v>
          </cell>
          <cell r="W763">
            <v>4966170</v>
          </cell>
          <cell r="X763">
            <v>-24857436.32</v>
          </cell>
          <cell r="Y763">
            <v>-38990819.35</v>
          </cell>
          <cell r="Z763">
            <v>0</v>
          </cell>
          <cell r="AA763">
            <v>0</v>
          </cell>
          <cell r="AB763">
            <v>0</v>
          </cell>
          <cell r="AD763">
            <v>-63848255.67</v>
          </cell>
          <cell r="AE763" t="e">
            <v>#REF!</v>
          </cell>
          <cell r="AF763" t="e">
            <v>#REF!</v>
          </cell>
          <cell r="AG763">
            <v>10231706.252</v>
          </cell>
          <cell r="AH763">
            <v>0</v>
          </cell>
          <cell r="AI763">
            <v>-1738159.5</v>
          </cell>
          <cell r="AJ763">
            <v>8493546.75199998</v>
          </cell>
          <cell r="AK763">
            <v>13646786.7725</v>
          </cell>
          <cell r="AL763">
            <v>0</v>
          </cell>
          <cell r="AM763">
            <v>0</v>
          </cell>
          <cell r="AN763">
            <v>0</v>
          </cell>
          <cell r="AO763">
            <v>23878493.0245</v>
          </cell>
          <cell r="AQ763">
            <v>-12127876.6</v>
          </cell>
          <cell r="AR763">
            <v>-2029399.02550001</v>
          </cell>
        </row>
        <row r="764">
          <cell r="AG764">
            <v>-10438262.212</v>
          </cell>
          <cell r="AH764">
            <v>0</v>
          </cell>
          <cell r="AI764">
            <v>1738159.5</v>
          </cell>
          <cell r="AJ764">
            <v>-8700102.712</v>
          </cell>
          <cell r="AK764">
            <v>-13646786.7725</v>
          </cell>
          <cell r="AL764">
            <v>0</v>
          </cell>
          <cell r="AM764">
            <v>0</v>
          </cell>
          <cell r="AN764">
            <v>0</v>
          </cell>
          <cell r="AO764">
            <v>-22346889.4845</v>
          </cell>
        </row>
      </sheetData>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1110779.88</v>
          </cell>
          <cell r="G78">
            <v>2518668.55</v>
          </cell>
          <cell r="H78">
            <v>230659.34</v>
          </cell>
          <cell r="I78">
            <v>0</v>
          </cell>
          <cell r="J78">
            <v>0</v>
          </cell>
          <cell r="K78">
            <v>0</v>
          </cell>
          <cell r="L78">
            <v>0</v>
          </cell>
          <cell r="M78">
            <v>0</v>
          </cell>
          <cell r="N78">
            <v>3860107.77</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v>
          </cell>
          <cell r="G84">
            <v>0</v>
          </cell>
          <cell r="H84">
            <v>0</v>
          </cell>
          <cell r="I84">
            <v>0</v>
          </cell>
          <cell r="J84">
            <v>0</v>
          </cell>
          <cell r="K84">
            <v>0</v>
          </cell>
          <cell r="L84">
            <v>0</v>
          </cell>
          <cell r="M84">
            <v>0</v>
          </cell>
          <cell r="N84">
            <v>2665285.95</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293373.85</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279355.22</v>
          </cell>
          <cell r="D100">
            <v>0</v>
          </cell>
          <cell r="E100">
            <v>0</v>
          </cell>
          <cell r="F100">
            <v>0</v>
          </cell>
          <cell r="G100">
            <v>0</v>
          </cell>
          <cell r="H100">
            <v>0</v>
          </cell>
          <cell r="I100">
            <v>0</v>
          </cell>
          <cell r="J100">
            <v>0</v>
          </cell>
          <cell r="K100">
            <v>0</v>
          </cell>
          <cell r="L100">
            <v>0</v>
          </cell>
          <cell r="M100">
            <v>0</v>
          </cell>
          <cell r="N100">
            <v>279355.22</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357883.84</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337636.81</v>
          </cell>
          <cell r="D130">
            <v>2405336.98</v>
          </cell>
          <cell r="E130">
            <v>15511.14</v>
          </cell>
          <cell r="F130">
            <v>13893104.4</v>
          </cell>
          <cell r="G130">
            <v>2556446.84</v>
          </cell>
          <cell r="H130">
            <v>713300.63</v>
          </cell>
          <cell r="I130">
            <v>0</v>
          </cell>
          <cell r="J130">
            <v>6760750.18</v>
          </cell>
          <cell r="K130">
            <v>574045.39</v>
          </cell>
          <cell r="L130">
            <v>1469817.94</v>
          </cell>
          <cell r="M130">
            <v>613614.74</v>
          </cell>
          <cell r="N130">
            <v>30221494.67</v>
          </cell>
        </row>
        <row r="131">
          <cell r="N131">
            <v>30221494.67</v>
          </cell>
        </row>
      </sheetData>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0.0795</v>
          </cell>
        </row>
      </sheetData>
      <sheetData sheetId="10"/>
      <sheetData sheetId="11"/>
      <sheetData sheetId="12"/>
      <sheetData sheetId="1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Absolute</v>
          </cell>
        </row>
        <row r="11">
          <cell r="A11" t="str">
            <v>Current Assets</v>
          </cell>
          <cell r="D11" t="str">
            <v>(01.2007-12.2007)</v>
          </cell>
          <cell r="F11" t="str">
            <v>(01.2006-12.2006)</v>
          </cell>
          <cell r="H11" t="str">
            <v>     difference</v>
          </cell>
        </row>
        <row r="13">
          <cell r="A13">
            <v>131000</v>
          </cell>
          <cell r="C13" t="str">
            <v>Cash - General</v>
          </cell>
          <cell r="D13">
            <v>11045042.33</v>
          </cell>
          <cell r="F13">
            <v>5709496.99</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-435176.34</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4842305.81</v>
          </cell>
          <cell r="F19">
            <v>2300987.04</v>
          </cell>
          <cell r="H19">
            <v>2541318.77</v>
          </cell>
        </row>
        <row r="20">
          <cell r="A20" t="str">
            <v>Cash &amp; Cash Equivalents</v>
          </cell>
          <cell r="D20">
            <v>19019283.07</v>
          </cell>
          <cell r="F20">
            <v>12011266.98</v>
          </cell>
          <cell r="H20">
            <v>7008016.09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v>
          </cell>
        </row>
        <row r="26">
          <cell r="A26">
            <v>142070</v>
          </cell>
          <cell r="C26" t="str">
            <v>Customer Accounts Rec - Washington DC</v>
          </cell>
          <cell r="D26">
            <v>63119434.25</v>
          </cell>
          <cell r="F26">
            <v>55015825.68</v>
          </cell>
          <cell r="H26">
            <v>8103608.57</v>
          </cell>
        </row>
        <row r="27">
          <cell r="A27">
            <v>142120</v>
          </cell>
          <cell r="C27" t="str">
            <v>Customer Accounts Rec - MD</v>
          </cell>
          <cell r="D27">
            <v>102426140.21</v>
          </cell>
          <cell r="F27">
            <v>83940847.65</v>
          </cell>
          <cell r="H27">
            <v>18485292.56</v>
          </cell>
        </row>
        <row r="28">
          <cell r="A28">
            <v>142130</v>
          </cell>
          <cell r="C28" t="str">
            <v>Customer Accounts Rec - VA</v>
          </cell>
          <cell r="D28">
            <v>212450.29</v>
          </cell>
          <cell r="F28">
            <v>60748.84</v>
          </cell>
          <cell r="H28">
            <v>151701.45</v>
          </cell>
        </row>
        <row r="29">
          <cell r="A29">
            <v>142210</v>
          </cell>
          <cell r="C29" t="str">
            <v>AR-Supply Portion (all customers)</v>
          </cell>
          <cell r="D29">
            <v>79211441.29</v>
          </cell>
          <cell r="F29">
            <v>48801310.92</v>
          </cell>
          <cell r="H29">
            <v>30410130.37</v>
          </cell>
        </row>
        <row r="30">
          <cell r="A30">
            <v>142350</v>
          </cell>
          <cell r="C30" t="str">
            <v>Customer Accounts Rec-Cash Clearing-Was</v>
          </cell>
          <cell r="D30">
            <v>-2467294.62</v>
          </cell>
          <cell r="F30">
            <v>-2671785.8</v>
          </cell>
          <cell r="H30">
            <v>204491.18</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-182724.08</v>
          </cell>
        </row>
        <row r="34">
          <cell r="A34">
            <v>143100</v>
          </cell>
          <cell r="C34" t="str">
            <v>A/R - Employee Purchases</v>
          </cell>
          <cell r="D34">
            <v>116730</v>
          </cell>
          <cell r="F34">
            <v>86510.55</v>
          </cell>
          <cell r="H34">
            <v>30219.45</v>
          </cell>
        </row>
        <row r="35">
          <cell r="A35">
            <v>143118</v>
          </cell>
          <cell r="C35" t="str">
            <v>A/R - Tuition Aid Reimbursement - Forme</v>
          </cell>
          <cell r="D35">
            <v>40431.5</v>
          </cell>
          <cell r="F35">
            <v>79245.07</v>
          </cell>
          <cell r="H35">
            <v>-38813.57</v>
          </cell>
        </row>
        <row r="36">
          <cell r="A36">
            <v>143150</v>
          </cell>
          <cell r="C36" t="str">
            <v>Accounts Receivable - Asset Sales</v>
          </cell>
          <cell r="D36">
            <v>-58400</v>
          </cell>
          <cell r="F36">
            <v>-223421.8</v>
          </cell>
          <cell r="H36">
            <v>165021.8</v>
          </cell>
        </row>
        <row r="37">
          <cell r="A37">
            <v>143200</v>
          </cell>
          <cell r="C37" t="str">
            <v>A/R-PJM Interchange</v>
          </cell>
          <cell r="D37">
            <v>7345126.41</v>
          </cell>
          <cell r="F37">
            <v>5214418.15</v>
          </cell>
          <cell r="H37">
            <v>2130708.26</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35354518.69</v>
          </cell>
          <cell r="H39">
            <v>-35354518.69</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-25092.3100000001</v>
          </cell>
        </row>
        <row r="43">
          <cell r="A43">
            <v>143901</v>
          </cell>
          <cell r="C43" t="str">
            <v>Accounts Receivable Special Billing</v>
          </cell>
          <cell r="D43">
            <v>5632352.6</v>
          </cell>
          <cell r="F43">
            <v>8084245.1</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81900188.13</v>
          </cell>
          <cell r="F49">
            <v>82047538</v>
          </cell>
          <cell r="H49">
            <v>-147349.870000005</v>
          </cell>
        </row>
        <row r="50">
          <cell r="A50" t="str">
            <v>Accounts Receivable</v>
          </cell>
          <cell r="D50">
            <v>355994712.03</v>
          </cell>
          <cell r="F50">
            <v>335727707.38</v>
          </cell>
          <cell r="H50">
            <v>20267004.65</v>
          </cell>
        </row>
        <row r="51">
          <cell r="H51">
            <v>0</v>
          </cell>
        </row>
        <row r="52">
          <cell r="A52">
            <v>144000</v>
          </cell>
          <cell r="C52" t="str">
            <v>PROVISION FOR UNCOLLECTIBLE ACCOUNTS</v>
          </cell>
          <cell r="D52">
            <v>-12454382.81</v>
          </cell>
          <cell r="F52">
            <v>-7811119.76</v>
          </cell>
          <cell r="H52">
            <v>-4643263.05</v>
          </cell>
        </row>
        <row r="53">
          <cell r="A53">
            <v>144005</v>
          </cell>
          <cell r="C53" t="str">
            <v>Provision for Uncollectible Accounts -</v>
          </cell>
          <cell r="D53">
            <v>0</v>
          </cell>
          <cell r="F53">
            <v>-9600000</v>
          </cell>
          <cell r="H53">
            <v>9600000</v>
          </cell>
        </row>
        <row r="54">
          <cell r="A54" t="str">
            <v>Provision for Uncollectible</v>
          </cell>
          <cell r="D54">
            <v>-12454382.81</v>
          </cell>
          <cell r="F54">
            <v>-17411119.76</v>
          </cell>
          <cell r="H54">
            <v>4956736.95</v>
          </cell>
        </row>
        <row r="55">
          <cell r="H55">
            <v>0</v>
          </cell>
        </row>
        <row r="56">
          <cell r="A56">
            <v>146003</v>
          </cell>
          <cell r="C56" t="str">
            <v>I/C - Pepco/PES - Retail Access</v>
          </cell>
          <cell r="D56">
            <v>-47406133.21</v>
          </cell>
          <cell r="F56">
            <v>-29759563.56</v>
          </cell>
          <cell r="H56">
            <v>-17646569.65</v>
          </cell>
        </row>
        <row r="57">
          <cell r="A57">
            <v>146004</v>
          </cell>
          <cell r="C57" t="str">
            <v>I/C - Pepco/PES - Special Billing Contr</v>
          </cell>
          <cell r="D57">
            <v>-5703746.71</v>
          </cell>
          <cell r="F57">
            <v>-5610882.55</v>
          </cell>
          <cell r="H57">
            <v>-92864.1600000001</v>
          </cell>
        </row>
        <row r="58">
          <cell r="A58">
            <v>146506</v>
          </cell>
          <cell r="C58" t="str">
            <v>I/C-PEPCO / ACE   7000/1500</v>
          </cell>
          <cell r="D58">
            <v>-26828.63</v>
          </cell>
          <cell r="F58">
            <v>8226.22</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v>
          </cell>
          <cell r="H60">
            <v>4927903.67</v>
          </cell>
        </row>
        <row r="61">
          <cell r="A61">
            <v>146976</v>
          </cell>
          <cell r="C61" t="str">
            <v>I/C-PEPCO / PHISC  7000/9000</v>
          </cell>
          <cell r="D61">
            <v>-16922526.33</v>
          </cell>
          <cell r="F61">
            <v>-946266.44</v>
          </cell>
          <cell r="H61">
            <v>-15976259.89</v>
          </cell>
        </row>
        <row r="62">
          <cell r="A62">
            <v>146991</v>
          </cell>
          <cell r="C62" t="str">
            <v>I/C-PEPCO / CESI  7000/3000</v>
          </cell>
          <cell r="D62">
            <v>-5765201.65</v>
          </cell>
          <cell r="F62">
            <v>-4785938.86</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v>
          </cell>
          <cell r="F64">
            <v>-46026976.28</v>
          </cell>
          <cell r="H64">
            <v>-29765547.45</v>
          </cell>
        </row>
        <row r="65">
          <cell r="H65">
            <v>0</v>
          </cell>
        </row>
        <row r="66">
          <cell r="A66">
            <v>154000</v>
          </cell>
          <cell r="C66" t="str">
            <v>Material &amp; Operating Supplies - General</v>
          </cell>
          <cell r="D66">
            <v>41652362.78</v>
          </cell>
          <cell r="F66">
            <v>39168388</v>
          </cell>
          <cell r="H66">
            <v>2483974.78</v>
          </cell>
        </row>
        <row r="67">
          <cell r="A67">
            <v>154080</v>
          </cell>
          <cell r="C67" t="str">
            <v>Inventory - Blocked Stock</v>
          </cell>
          <cell r="D67">
            <v>-10635.91</v>
          </cell>
          <cell r="F67">
            <v>-24557.54</v>
          </cell>
          <cell r="H67">
            <v>13921.63</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v>
          </cell>
        </row>
        <row r="70">
          <cell r="A70" t="str">
            <v>Inventories - Fuel, Materials and Supplies</v>
          </cell>
          <cell r="D70">
            <v>45393970.81</v>
          </cell>
          <cell r="F70">
            <v>42774740.03</v>
          </cell>
          <cell r="H70">
            <v>2619230.78</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101541.04</v>
          </cell>
        </row>
        <row r="79">
          <cell r="A79">
            <v>165100</v>
          </cell>
          <cell r="C79" t="str">
            <v>Prepayments - Other Taxes</v>
          </cell>
          <cell r="D79">
            <v>9423132.76</v>
          </cell>
          <cell r="F79">
            <v>7038981.71</v>
          </cell>
          <cell r="H79">
            <v>2384151.05</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611169.58</v>
          </cell>
          <cell r="H81">
            <v>0.0300000000279397</v>
          </cell>
        </row>
        <row r="82">
          <cell r="A82">
            <v>165406</v>
          </cell>
          <cell r="C82" t="str">
            <v>Prepayments-Postage General</v>
          </cell>
          <cell r="D82">
            <v>156507.72</v>
          </cell>
          <cell r="F82">
            <v>82091.04</v>
          </cell>
          <cell r="H82">
            <v>74416.68</v>
          </cell>
        </row>
        <row r="83">
          <cell r="A83">
            <v>165410</v>
          </cell>
          <cell r="C83" t="str">
            <v>Prepayments - Income Taxes</v>
          </cell>
          <cell r="D83">
            <v>93394193.82</v>
          </cell>
          <cell r="F83">
            <v>66543602.05</v>
          </cell>
          <cell r="H83">
            <v>26850591.77</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92113939.36</v>
          </cell>
          <cell r="H87">
            <v>16367025.39</v>
          </cell>
        </row>
        <row r="88">
          <cell r="H88">
            <v>0</v>
          </cell>
        </row>
        <row r="89">
          <cell r="A89" t="str">
            <v>Total</v>
          </cell>
          <cell r="D89">
            <v>441846031.12</v>
          </cell>
          <cell r="F89">
            <v>419189557.71</v>
          </cell>
          <cell r="H89">
            <v>22656473.41</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v>
          </cell>
          <cell r="F94">
            <v>4773812.83</v>
          </cell>
          <cell r="H94">
            <v>-414208.6</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60598059.61</v>
          </cell>
          <cell r="F97">
            <v>34854093.31</v>
          </cell>
          <cell r="H97">
            <v>25743966.3</v>
          </cell>
        </row>
        <row r="98">
          <cell r="A98">
            <v>182506</v>
          </cell>
          <cell r="C98" t="str">
            <v>Other Reg Assets - Generation Procureme</v>
          </cell>
          <cell r="D98">
            <v>2203539.8</v>
          </cell>
          <cell r="F98">
            <v>0</v>
          </cell>
          <cell r="H98">
            <v>2203539.8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34348789.54</v>
          </cell>
          <cell r="F100">
            <v>31688699.82</v>
          </cell>
          <cell r="H100">
            <v>2660089.72</v>
          </cell>
        </row>
        <row r="101">
          <cell r="A101">
            <v>182520</v>
          </cell>
          <cell r="C101" t="str">
            <v>Other Regulatory Assets - MD SOS Energy</v>
          </cell>
          <cell r="D101">
            <v>10153513.44</v>
          </cell>
          <cell r="F101">
            <v>2421395</v>
          </cell>
          <cell r="H101">
            <v>7732118.44</v>
          </cell>
        </row>
        <row r="102">
          <cell r="A102">
            <v>182521</v>
          </cell>
          <cell r="C102" t="str">
            <v>Other Regulatory Assets - MD SOS Transm</v>
          </cell>
          <cell r="D102">
            <v>1136579.16</v>
          </cell>
          <cell r="F102">
            <v>0</v>
          </cell>
          <cell r="H102">
            <v>1136579.16</v>
          </cell>
        </row>
        <row r="103">
          <cell r="A103">
            <v>182522</v>
          </cell>
          <cell r="C103" t="str">
            <v>Other Reg Assets - MD SOS Administrativ</v>
          </cell>
          <cell r="D103">
            <v>3310696.14</v>
          </cell>
          <cell r="F103">
            <v>5036083.25</v>
          </cell>
          <cell r="H103">
            <v>-1725387.11</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5896867.85</v>
          </cell>
          <cell r="F105">
            <v>4038943.95</v>
          </cell>
          <cell r="H105">
            <v>1857923.9</v>
          </cell>
        </row>
        <row r="106">
          <cell r="A106">
            <v>182531</v>
          </cell>
          <cell r="C106" t="str">
            <v>Other Regulatory Assets - Phase-In Cred</v>
          </cell>
          <cell r="D106">
            <v>1436166.65</v>
          </cell>
          <cell r="F106">
            <v>1292760.59</v>
          </cell>
          <cell r="H106">
            <v>143406.06</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v>
          </cell>
          <cell r="H109">
            <v>-324196.98</v>
          </cell>
        </row>
        <row r="110">
          <cell r="A110">
            <v>189300</v>
          </cell>
          <cell r="C110" t="str">
            <v>Unamortized Loss - Pollution Bonds</v>
          </cell>
          <cell r="D110">
            <v>300945.71</v>
          </cell>
          <cell r="F110">
            <v>319609.01</v>
          </cell>
          <cell r="H110">
            <v>-18663.3</v>
          </cell>
        </row>
        <row r="111">
          <cell r="A111">
            <v>189400</v>
          </cell>
          <cell r="C111" t="str">
            <v>Unamortized Loss - First Mortgage Bonds</v>
          </cell>
          <cell r="D111">
            <v>34304369.88</v>
          </cell>
          <cell r="F111">
            <v>36822654.73</v>
          </cell>
          <cell r="H111">
            <v>-2518284.84999999</v>
          </cell>
        </row>
        <row r="112">
          <cell r="A112" t="str">
            <v>Regulatory Assets</v>
          </cell>
          <cell r="D112">
            <v>178545732.73</v>
          </cell>
          <cell r="F112">
            <v>127676805.17</v>
          </cell>
          <cell r="H112">
            <v>50868927.56</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v>
          </cell>
          <cell r="F120">
            <v>0</v>
          </cell>
          <cell r="H120">
            <v>6782564.58</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8547737.87</v>
          </cell>
          <cell r="F122">
            <v>0</v>
          </cell>
          <cell r="H122">
            <v>8547737.87</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27477065.56</v>
          </cell>
          <cell r="F125">
            <v>0</v>
          </cell>
          <cell r="H125">
            <v>27477065.56</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25401653.33</v>
          </cell>
          <cell r="H128">
            <v>-2671966.67</v>
          </cell>
        </row>
        <row r="129">
          <cell r="A129">
            <v>128117</v>
          </cell>
          <cell r="C129" t="str">
            <v>Other Special Funds - Deferred Comp - T</v>
          </cell>
          <cell r="D129">
            <v>1844383.28</v>
          </cell>
          <cell r="F129">
            <v>1755660.82</v>
          </cell>
          <cell r="H129">
            <v>88722.46</v>
          </cell>
        </row>
        <row r="130">
          <cell r="A130">
            <v>128118</v>
          </cell>
          <cell r="C130" t="str">
            <v>Other Special Funds - Deferred Comp PHI</v>
          </cell>
          <cell r="D130">
            <v>1904493.09</v>
          </cell>
          <cell r="F130">
            <v>1812784.29</v>
          </cell>
          <cell r="H130">
            <v>91708.8</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417337589.15</v>
          </cell>
          <cell r="F132">
            <v>0</v>
          </cell>
          <cell r="H132">
            <v>417337589.15</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9503187.79</v>
          </cell>
          <cell r="F134">
            <v>6508526.83</v>
          </cell>
          <cell r="H134">
            <v>2994660.96</v>
          </cell>
        </row>
        <row r="135">
          <cell r="A135">
            <v>181300</v>
          </cell>
          <cell r="C135" t="str">
            <v>Unamortized Debt Expense - Other</v>
          </cell>
          <cell r="D135">
            <v>1969958.44</v>
          </cell>
          <cell r="F135">
            <v>2080908.48</v>
          </cell>
          <cell r="H135">
            <v>-110950.04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163545.75</v>
          </cell>
        </row>
        <row r="138">
          <cell r="A138">
            <v>184200</v>
          </cell>
          <cell r="C138" t="str">
            <v>Clearing supplier discounts (Net method</v>
          </cell>
          <cell r="D138">
            <v>310.22</v>
          </cell>
          <cell r="F138">
            <v>1341.88</v>
          </cell>
          <cell r="H138">
            <v>-1031.66</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v>
          </cell>
          <cell r="H140">
            <v>-64120.5300000003</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v>
          </cell>
        </row>
        <row r="143">
          <cell r="A143">
            <v>186250</v>
          </cell>
          <cell r="C143" t="str">
            <v>Misc Deferred Debits-Officer's Life Ins</v>
          </cell>
          <cell r="D143">
            <v>17678372.5</v>
          </cell>
          <cell r="F143">
            <v>17229050.4</v>
          </cell>
          <cell r="H143">
            <v>449322.100000001</v>
          </cell>
        </row>
        <row r="144">
          <cell r="A144">
            <v>186251</v>
          </cell>
          <cell r="C144" t="str">
            <v>Misc Deferred Debits-COLI Plan</v>
          </cell>
          <cell r="D144">
            <v>68066968.67</v>
          </cell>
          <cell r="F144">
            <v>63508037.57</v>
          </cell>
          <cell r="H144">
            <v>4558931.1</v>
          </cell>
        </row>
        <row r="145">
          <cell r="A145">
            <v>186611</v>
          </cell>
          <cell r="C145" t="str">
            <v>Construction Related</v>
          </cell>
          <cell r="D145">
            <v>10554786.44</v>
          </cell>
          <cell r="F145">
            <v>12701448</v>
          </cell>
          <cell r="H145">
            <v>-2146661.56</v>
          </cell>
        </row>
        <row r="146">
          <cell r="A146">
            <v>186878</v>
          </cell>
          <cell r="C146" t="str">
            <v>Misc Def Debits - Property Sales - Curr</v>
          </cell>
          <cell r="D146">
            <v>1377869.78</v>
          </cell>
          <cell r="F146">
            <v>10134.28</v>
          </cell>
          <cell r="H146">
            <v>1367735.5</v>
          </cell>
        </row>
        <row r="147">
          <cell r="A147">
            <v>242413</v>
          </cell>
          <cell r="C147" t="str">
            <v>Loans against Life Insurance Contract I</v>
          </cell>
          <cell r="D147">
            <v>-45433872.87</v>
          </cell>
          <cell r="F147">
            <v>-42585029.03</v>
          </cell>
          <cell r="H147">
            <v>-2848843.84</v>
          </cell>
        </row>
        <row r="148">
          <cell r="A148" t="str">
            <v>Other</v>
          </cell>
          <cell r="D148">
            <v>510605061.36</v>
          </cell>
          <cell r="F148">
            <v>128597466.31</v>
          </cell>
          <cell r="H148">
            <v>382007595.05</v>
          </cell>
        </row>
        <row r="149">
          <cell r="H149">
            <v>0</v>
          </cell>
        </row>
        <row r="150">
          <cell r="A150" t="str">
            <v>Total</v>
          </cell>
          <cell r="D150">
            <v>1020890222.11</v>
          </cell>
          <cell r="F150">
            <v>416347356.76</v>
          </cell>
          <cell r="H150">
            <v>604542865.35</v>
          </cell>
        </row>
        <row r="151">
          <cell r="H151">
            <v>0</v>
          </cell>
        </row>
        <row r="152">
          <cell r="A152" t="str">
            <v>Property, Plant, and Equipment</v>
          </cell>
          <cell r="H152">
            <v>0</v>
          </cell>
        </row>
        <row r="153">
          <cell r="H153">
            <v>0</v>
          </cell>
        </row>
        <row r="154">
          <cell r="A154">
            <v>101010</v>
          </cell>
          <cell r="C154" t="str">
            <v>Plant In Service-Electric</v>
          </cell>
          <cell r="D154">
            <v>4824561534.4</v>
          </cell>
          <cell r="F154">
            <v>4667804352.4</v>
          </cell>
          <cell r="H154">
            <v>156757182</v>
          </cell>
        </row>
        <row r="155">
          <cell r="A155">
            <v>101100</v>
          </cell>
          <cell r="C155" t="str">
            <v>Property under Capital Lease (Manual)</v>
          </cell>
          <cell r="D155">
            <v>154553474.36</v>
          </cell>
          <cell r="F155">
            <v>154553474.36</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81053192.94</v>
          </cell>
          <cell r="F157">
            <v>79721084.47</v>
          </cell>
          <cell r="H157">
            <v>1332108.47</v>
          </cell>
        </row>
        <row r="158">
          <cell r="A158">
            <v>101900</v>
          </cell>
          <cell r="C158" t="str">
            <v>Plant In Service-Electric Fair Value Re</v>
          </cell>
          <cell r="D158">
            <v>-8749395.37</v>
          </cell>
          <cell r="F158">
            <v>0</v>
          </cell>
          <cell r="H158">
            <v>-8749395.37</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170509524.07</v>
          </cell>
          <cell r="H160">
            <v>-170509524.07</v>
          </cell>
        </row>
        <row r="161">
          <cell r="A161">
            <v>107100</v>
          </cell>
          <cell r="C161" t="str">
            <v>Assets Under Construction Accruals</v>
          </cell>
          <cell r="D161">
            <v>1715874.79</v>
          </cell>
          <cell r="F161">
            <v>496432.69</v>
          </cell>
          <cell r="H161">
            <v>1219442.1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v>
          </cell>
        </row>
        <row r="164">
          <cell r="A164">
            <v>107302</v>
          </cell>
          <cell r="C164" t="str">
            <v>Asset Under Construction - Emergency Op</v>
          </cell>
          <cell r="D164">
            <v>122192</v>
          </cell>
          <cell r="F164">
            <v>2121686.01</v>
          </cell>
          <cell r="H164">
            <v>-1999494.01</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80220040.19</v>
          </cell>
          <cell r="F166">
            <v>80220040.19</v>
          </cell>
          <cell r="H166">
            <v>0</v>
          </cell>
        </row>
        <row r="167">
          <cell r="A167" t="str">
            <v>Property, Plant and Equipment</v>
          </cell>
          <cell r="D167">
            <v>5368892552.11</v>
          </cell>
          <cell r="F167">
            <v>5157567069.79</v>
          </cell>
          <cell r="H167">
            <v>211325482.32</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-19217814.11</v>
          </cell>
          <cell r="F170">
            <v>-13924730.62</v>
          </cell>
          <cell r="H170">
            <v>-5293083.49</v>
          </cell>
        </row>
        <row r="171">
          <cell r="A171">
            <v>108010</v>
          </cell>
          <cell r="C171" t="str">
            <v>Accumulated Depreciation-Electric</v>
          </cell>
          <cell r="D171">
            <v>-2286231935.94</v>
          </cell>
          <cell r="F171">
            <v>-2144214320.84</v>
          </cell>
          <cell r="H171">
            <v>-142017615.1</v>
          </cell>
        </row>
        <row r="172">
          <cell r="A172">
            <v>108011</v>
          </cell>
          <cell r="C172" t="str">
            <v>Accumulated Cost of Removal - Electric</v>
          </cell>
          <cell r="D172">
            <v>52406000.89</v>
          </cell>
          <cell r="F172">
            <v>41679028.06</v>
          </cell>
          <cell r="H172">
            <v>10726972.83</v>
          </cell>
        </row>
        <row r="173">
          <cell r="A173">
            <v>108012</v>
          </cell>
          <cell r="C173" t="str">
            <v>Accumulated Gains and Losses - Electric</v>
          </cell>
          <cell r="D173">
            <v>28411884.66</v>
          </cell>
          <cell r="F173">
            <v>18442766.74</v>
          </cell>
          <cell r="H173">
            <v>9969117.92</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v>
          </cell>
          <cell r="F176">
            <v>-5726734.48</v>
          </cell>
          <cell r="H176">
            <v>-996507.35</v>
          </cell>
        </row>
        <row r="177">
          <cell r="A177">
            <v>108200</v>
          </cell>
          <cell r="C177" t="str">
            <v>Accum Depreciation - Adjustments</v>
          </cell>
          <cell r="D177">
            <v>20567985.78</v>
          </cell>
          <cell r="F177">
            <v>0</v>
          </cell>
          <cell r="H177">
            <v>20567985.78</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-68463444.94</v>
          </cell>
          <cell r="F179">
            <v>-59554901.47</v>
          </cell>
          <cell r="H179">
            <v>-8908543.47</v>
          </cell>
        </row>
        <row r="180">
          <cell r="A180">
            <v>111640</v>
          </cell>
          <cell r="C180" t="str">
            <v>Acc Amort - General Plant</v>
          </cell>
          <cell r="D180">
            <v>-3639491.79</v>
          </cell>
          <cell r="F180">
            <v>-3216887.07</v>
          </cell>
          <cell r="H180">
            <v>-422604.72</v>
          </cell>
        </row>
        <row r="181">
          <cell r="A181">
            <v>122000</v>
          </cell>
          <cell r="C181" t="str">
            <v>Acc Depr &amp; Amort of Nonutility Property</v>
          </cell>
          <cell r="D181">
            <v>-63568706.52</v>
          </cell>
          <cell r="F181">
            <v>-63489537.52</v>
          </cell>
          <cell r="H181">
            <v>-79169</v>
          </cell>
        </row>
        <row r="182">
          <cell r="A182" t="str">
            <v>Accumulated Depreciation &amp; Amortization</v>
          </cell>
          <cell r="D182">
            <v>-2274393277.53</v>
          </cell>
          <cell r="F182">
            <v>-2162486634.46</v>
          </cell>
          <cell r="H182">
            <v>-111906643.07</v>
          </cell>
        </row>
        <row r="183">
          <cell r="H183">
            <v>0</v>
          </cell>
        </row>
        <row r="184">
          <cell r="A184" t="str">
            <v>Total</v>
          </cell>
          <cell r="D184">
            <v>3094499274.58</v>
          </cell>
          <cell r="F184">
            <v>2995080435.33</v>
          </cell>
          <cell r="H184">
            <v>99418839.25</v>
          </cell>
        </row>
        <row r="185">
          <cell r="H185">
            <v>0</v>
          </cell>
        </row>
        <row r="186">
          <cell r="A186" t="str">
            <v>Total Assets</v>
          </cell>
          <cell r="D186">
            <v>4557235527.81</v>
          </cell>
          <cell r="F186">
            <v>3830617349.8</v>
          </cell>
          <cell r="H186">
            <v>726618178.01</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-83988911.19</v>
          </cell>
          <cell r="F205">
            <v>-67073684.32</v>
          </cell>
          <cell r="H205">
            <v>-16915226.87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v>
          </cell>
          <cell r="F210">
            <v>351044.55</v>
          </cell>
          <cell r="H210">
            <v>-96285712.48</v>
          </cell>
        </row>
        <row r="211">
          <cell r="A211" t="str">
            <v>Money Pool Lendings</v>
          </cell>
          <cell r="D211">
            <v>-95934667.93</v>
          </cell>
          <cell r="F211">
            <v>351044.55</v>
          </cell>
          <cell r="H211">
            <v>-96285712.48</v>
          </cell>
        </row>
        <row r="212">
          <cell r="H212">
            <v>0</v>
          </cell>
        </row>
        <row r="213">
          <cell r="A213">
            <v>184100</v>
          </cell>
          <cell r="C213" t="str">
            <v>Clearing-Goods Received/Invoice Receive</v>
          </cell>
          <cell r="D213">
            <v>-2151751.84</v>
          </cell>
          <cell r="F213">
            <v>-1562144.08</v>
          </cell>
          <cell r="H213">
            <v>-589607.76</v>
          </cell>
        </row>
        <row r="214">
          <cell r="A214">
            <v>232000</v>
          </cell>
          <cell r="C214" t="str">
            <v>Accounts Payable Reconciliation - Gener</v>
          </cell>
          <cell r="D214">
            <v>-12809923.83</v>
          </cell>
          <cell r="F214">
            <v>-25734120.56</v>
          </cell>
          <cell r="H214">
            <v>12924196.73</v>
          </cell>
        </row>
        <row r="215">
          <cell r="A215">
            <v>232004</v>
          </cell>
          <cell r="C215" t="str">
            <v>Cashed Checks - A/P</v>
          </cell>
          <cell r="D215">
            <v>-285026.8</v>
          </cell>
          <cell r="F215">
            <v>4684940.72</v>
          </cell>
          <cell r="H215">
            <v>-4969967.52</v>
          </cell>
        </row>
        <row r="216">
          <cell r="A216">
            <v>232005</v>
          </cell>
          <cell r="C216" t="str">
            <v>Outstanding Checks-A/P Wires</v>
          </cell>
          <cell r="D216">
            <v>-0.01</v>
          </cell>
          <cell r="F216">
            <v>0</v>
          </cell>
          <cell r="H216">
            <v>-0.01</v>
          </cell>
        </row>
        <row r="217">
          <cell r="A217">
            <v>232008</v>
          </cell>
          <cell r="C217" t="str">
            <v>Outstanding Checks-Customer Refund</v>
          </cell>
          <cell r="D217">
            <v>-28876.64</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v>
          </cell>
          <cell r="H219">
            <v>5790293.64</v>
          </cell>
        </row>
        <row r="220">
          <cell r="A220">
            <v>232020</v>
          </cell>
          <cell r="C220" t="str">
            <v>Outstanding Checks-Customer Refund-Bank</v>
          </cell>
          <cell r="D220">
            <v>-1968149.84</v>
          </cell>
          <cell r="F220">
            <v>-152598.39</v>
          </cell>
          <cell r="H220">
            <v>-1815551.45</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-6674.43</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-0.07</v>
          </cell>
          <cell r="F226">
            <v>-0.06</v>
          </cell>
          <cell r="H226">
            <v>-0.01</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v>
          </cell>
          <cell r="H228">
            <v>-12743637.99</v>
          </cell>
        </row>
        <row r="229">
          <cell r="A229">
            <v>232430</v>
          </cell>
          <cell r="C229" t="str">
            <v>Accounts Payable Accrual - Purchased Po</v>
          </cell>
          <cell r="D229">
            <v>-99159425.42</v>
          </cell>
          <cell r="F229">
            <v>-89389133.9</v>
          </cell>
          <cell r="H229">
            <v>-9770291.52</v>
          </cell>
        </row>
        <row r="230">
          <cell r="A230">
            <v>232455</v>
          </cell>
          <cell r="C230" t="str">
            <v>Accounts Payable-Quarterly Accruals</v>
          </cell>
          <cell r="D230">
            <v>0</v>
          </cell>
          <cell r="F230">
            <v>-19569706.65</v>
          </cell>
          <cell r="H230">
            <v>19569706.65</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-132022.52</v>
          </cell>
          <cell r="F232">
            <v>-219823.52</v>
          </cell>
          <cell r="H232">
            <v>87801</v>
          </cell>
        </row>
        <row r="233">
          <cell r="A233">
            <v>232502</v>
          </cell>
          <cell r="C233" t="str">
            <v>Accounts Payable-Accrued Payroll</v>
          </cell>
          <cell r="D233">
            <v>-1745571.27</v>
          </cell>
          <cell r="F233">
            <v>-1762722.67</v>
          </cell>
          <cell r="H233">
            <v>17151.3999999999</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v>
          </cell>
        </row>
        <row r="237">
          <cell r="A237">
            <v>232645</v>
          </cell>
          <cell r="C237" t="str">
            <v>AP-P/R Deduct Pay South</v>
          </cell>
          <cell r="D237">
            <v>-206.68</v>
          </cell>
          <cell r="F237">
            <v>0</v>
          </cell>
          <cell r="H237">
            <v>-206.68</v>
          </cell>
        </row>
        <row r="238">
          <cell r="A238">
            <v>232650</v>
          </cell>
          <cell r="C238" t="str">
            <v>Accounts Payable - Third Party Supplier</v>
          </cell>
          <cell r="D238">
            <v>-37527196.79</v>
          </cell>
          <cell r="F238">
            <v>-21111649.82</v>
          </cell>
          <cell r="H238">
            <v>-16415546.97</v>
          </cell>
        </row>
        <row r="239">
          <cell r="A239">
            <v>232655</v>
          </cell>
          <cell r="C239" t="str">
            <v>Retail Customer Accounts - Credits</v>
          </cell>
          <cell r="D239">
            <v>-12342548.58</v>
          </cell>
          <cell r="F239">
            <v>-12073188.57</v>
          </cell>
          <cell r="H239">
            <v>-269360.01</v>
          </cell>
        </row>
        <row r="240">
          <cell r="A240" t="str">
            <v>Accounts Payable</v>
          </cell>
          <cell r="D240">
            <v>-201721278.81</v>
          </cell>
          <cell r="F240">
            <v>-180062207.42</v>
          </cell>
          <cell r="H240">
            <v>-21659071.39</v>
          </cell>
        </row>
        <row r="241">
          <cell r="H241">
            <v>0</v>
          </cell>
        </row>
        <row r="242">
          <cell r="A242">
            <v>236200</v>
          </cell>
          <cell r="C242" t="str">
            <v>State Income Taxes Accrued - Current</v>
          </cell>
          <cell r="D242">
            <v>-50439827.65</v>
          </cell>
          <cell r="F242">
            <v>-34409366.77</v>
          </cell>
          <cell r="H242">
            <v>-16030460.88</v>
          </cell>
        </row>
        <row r="243">
          <cell r="A243">
            <v>236250</v>
          </cell>
          <cell r="C243" t="str">
            <v>Taxes Accrued - Taxes other than income</v>
          </cell>
          <cell r="D243">
            <v>-39625267.73</v>
          </cell>
          <cell r="F243">
            <v>-38429537.72</v>
          </cell>
          <cell r="H243">
            <v>-1195730.01</v>
          </cell>
        </row>
        <row r="244">
          <cell r="A244" t="str">
            <v>Taxes Accrued</v>
          </cell>
          <cell r="D244">
            <v>-90065095.38</v>
          </cell>
          <cell r="F244">
            <v>-72838904.49</v>
          </cell>
          <cell r="H244">
            <v>-17226190.89</v>
          </cell>
        </row>
        <row r="245">
          <cell r="H245">
            <v>0</v>
          </cell>
        </row>
        <row r="246">
          <cell r="A246">
            <v>237100</v>
          </cell>
          <cell r="C246" t="str">
            <v>Interest Accrued - Customer Deposits</v>
          </cell>
          <cell r="D246">
            <v>-4800745.7</v>
          </cell>
          <cell r="F246">
            <v>-3861687.27</v>
          </cell>
          <cell r="H246">
            <v>-939058.43</v>
          </cell>
        </row>
        <row r="247">
          <cell r="A247">
            <v>237110</v>
          </cell>
          <cell r="C247" t="str">
            <v>Interest Accrued - Customer Deposits -</v>
          </cell>
          <cell r="D247">
            <v>-26321.83</v>
          </cell>
          <cell r="F247">
            <v>-27755.67</v>
          </cell>
          <cell r="H247">
            <v>1433.84</v>
          </cell>
        </row>
        <row r="248">
          <cell r="A248">
            <v>237200</v>
          </cell>
          <cell r="C248" t="str">
            <v>Interest Accrued - First Mortage Bonds</v>
          </cell>
          <cell r="D248">
            <v>-10177119.46</v>
          </cell>
          <cell r="F248">
            <v>-10454897.23</v>
          </cell>
          <cell r="H248">
            <v>277777.77</v>
          </cell>
        </row>
        <row r="249">
          <cell r="A249">
            <v>237400</v>
          </cell>
          <cell r="C249" t="str">
            <v>Interest Accrued - Other</v>
          </cell>
          <cell r="D249">
            <v>-432554.66</v>
          </cell>
          <cell r="F249">
            <v>-178250.03</v>
          </cell>
          <cell r="H249">
            <v>-254304.63</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-16938840.2</v>
          </cell>
          <cell r="H252">
            <v>-109308.530000001</v>
          </cell>
        </row>
        <row r="253">
          <cell r="H253">
            <v>0</v>
          </cell>
        </row>
        <row r="254">
          <cell r="A254">
            <v>243000</v>
          </cell>
          <cell r="C254" t="str">
            <v>Obligations under Capital Lease - Gener</v>
          </cell>
          <cell r="D254">
            <v>-5952680.07</v>
          </cell>
          <cell r="F254">
            <v>-5494854.27</v>
          </cell>
          <cell r="H254">
            <v>-457825.800000001</v>
          </cell>
        </row>
        <row r="255">
          <cell r="A255" t="str">
            <v>Current Portion of Capital Lease Obligation</v>
          </cell>
          <cell r="D255">
            <v>-5952680.07</v>
          </cell>
          <cell r="F255">
            <v>-5494854.27</v>
          </cell>
          <cell r="H255">
            <v>-457825.800000001</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v>
          </cell>
          <cell r="F258">
            <v>0</v>
          </cell>
          <cell r="H258">
            <v>-13968542.38</v>
          </cell>
        </row>
        <row r="259">
          <cell r="A259" t="str">
            <v>Interest &amp; Tax Liab-Uncertain Tax Positions</v>
          </cell>
          <cell r="D259">
            <v>-67827826.38</v>
          </cell>
          <cell r="F259">
            <v>0</v>
          </cell>
          <cell r="H259">
            <v>-67827826.38</v>
          </cell>
        </row>
        <row r="260">
          <cell r="H260">
            <v>0</v>
          </cell>
        </row>
        <row r="261">
          <cell r="A261">
            <v>235120</v>
          </cell>
          <cell r="C261" t="str">
            <v>Customer Deposits - MD</v>
          </cell>
          <cell r="D261">
            <v>-17716309.61</v>
          </cell>
          <cell r="F261">
            <v>-15221506.88</v>
          </cell>
          <cell r="H261">
            <v>-2494802.73</v>
          </cell>
        </row>
        <row r="262">
          <cell r="A262">
            <v>235140</v>
          </cell>
          <cell r="C262" t="str">
            <v>Customer Deposits - Washington DC</v>
          </cell>
          <cell r="D262">
            <v>-15977464.01</v>
          </cell>
          <cell r="F262">
            <v>-14515760.49</v>
          </cell>
          <cell r="H262">
            <v>-1461703.52</v>
          </cell>
        </row>
        <row r="263">
          <cell r="A263">
            <v>235160</v>
          </cell>
          <cell r="C263" t="str">
            <v>Customer Deposits - Inactive</v>
          </cell>
          <cell r="D263">
            <v>-164591.29</v>
          </cell>
          <cell r="F263">
            <v>-158855.59</v>
          </cell>
          <cell r="H263">
            <v>-5735.70000000001</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v>
          </cell>
          <cell r="H266">
            <v>-83895.99</v>
          </cell>
        </row>
        <row r="267">
          <cell r="A267">
            <v>241300</v>
          </cell>
          <cell r="C267" t="str">
            <v>Maryland Sales Tax Payable</v>
          </cell>
          <cell r="D267">
            <v>-1279147.72</v>
          </cell>
          <cell r="F267">
            <v>-1206294.13</v>
          </cell>
          <cell r="H267">
            <v>-72853.5900000001</v>
          </cell>
        </row>
        <row r="268">
          <cell r="A268">
            <v>241335</v>
          </cell>
          <cell r="C268" t="str">
            <v>Gross Receipts Tax Payable</v>
          </cell>
          <cell r="D268">
            <v>-722664.03</v>
          </cell>
          <cell r="F268">
            <v>0</v>
          </cell>
          <cell r="H268">
            <v>-722664.03</v>
          </cell>
        </row>
        <row r="269">
          <cell r="A269">
            <v>241340</v>
          </cell>
          <cell r="C269" t="str">
            <v>G/R Tax Payable-Washington DC</v>
          </cell>
          <cell r="D269">
            <v>-7261247.89</v>
          </cell>
          <cell r="F269">
            <v>-11386591.02</v>
          </cell>
          <cell r="H269">
            <v>4125343.13</v>
          </cell>
        </row>
        <row r="270">
          <cell r="A270">
            <v>241365</v>
          </cell>
          <cell r="C270" t="str">
            <v>Washington DC Sales Tax Payable</v>
          </cell>
          <cell r="D270">
            <v>-1381638.18</v>
          </cell>
          <cell r="F270">
            <v>-1059179.91</v>
          </cell>
          <cell r="H270">
            <v>-322458.27</v>
          </cell>
        </row>
        <row r="271">
          <cell r="A271">
            <v>241375</v>
          </cell>
          <cell r="C271" t="str">
            <v>Sales Taxes Payable</v>
          </cell>
          <cell r="D271">
            <v>73329.61</v>
          </cell>
          <cell r="F271">
            <v>-201292.1</v>
          </cell>
          <cell r="H271">
            <v>274621.71</v>
          </cell>
        </row>
        <row r="272">
          <cell r="A272">
            <v>241750</v>
          </cell>
          <cell r="C272" t="str">
            <v>PG County Energy Tax Payable</v>
          </cell>
          <cell r="D272">
            <v>-7320778.85</v>
          </cell>
          <cell r="F272">
            <v>-5938644.07</v>
          </cell>
          <cell r="H272">
            <v>-1382134.78</v>
          </cell>
        </row>
        <row r="273">
          <cell r="A273">
            <v>242000</v>
          </cell>
          <cell r="C273" t="str">
            <v>Accrued Liab-General</v>
          </cell>
          <cell r="D273">
            <v>-892127.59</v>
          </cell>
          <cell r="F273">
            <v>-72914309.22</v>
          </cell>
          <cell r="H273">
            <v>72022181.63</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40249.99</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v>
          </cell>
          <cell r="H277">
            <v>-188779.92</v>
          </cell>
        </row>
        <row r="278">
          <cell r="A278">
            <v>242202</v>
          </cell>
          <cell r="C278" t="str">
            <v>Accrued Liabilities - Workers Comp - Cu</v>
          </cell>
          <cell r="D278">
            <v>-4607990.21</v>
          </cell>
          <cell r="F278">
            <v>-4989976.37</v>
          </cell>
          <cell r="H278">
            <v>381986.16</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v>
          </cell>
        </row>
        <row r="281">
          <cell r="A281">
            <v>242209</v>
          </cell>
          <cell r="C281" t="str">
            <v>Accrued Liabilities - Surviving Spouse</v>
          </cell>
          <cell r="D281">
            <v>-68128.32</v>
          </cell>
          <cell r="F281">
            <v>0</v>
          </cell>
          <cell r="H281">
            <v>-68128.32</v>
          </cell>
        </row>
        <row r="282">
          <cell r="A282">
            <v>242300</v>
          </cell>
          <cell r="C282" t="str">
            <v>Accrued Liab-Unclaimed Monies</v>
          </cell>
          <cell r="D282">
            <v>-738880.57</v>
          </cell>
          <cell r="F282">
            <v>-622422.66</v>
          </cell>
          <cell r="H282">
            <v>-116457.91</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v>
          </cell>
          <cell r="F284">
            <v>0</v>
          </cell>
          <cell r="H284">
            <v>-2364572.99</v>
          </cell>
        </row>
        <row r="285">
          <cell r="A285">
            <v>242415</v>
          </cell>
          <cell r="C285" t="str">
            <v>Accrued Severance</v>
          </cell>
          <cell r="D285">
            <v>-20234.07</v>
          </cell>
          <cell r="F285">
            <v>-1479294.18</v>
          </cell>
          <cell r="H285">
            <v>1459060.11</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28136.06</v>
          </cell>
        </row>
        <row r="290">
          <cell r="A290">
            <v>242466</v>
          </cell>
          <cell r="C290" t="str">
            <v>Accrued Liability - Prime Rate Deferred</v>
          </cell>
          <cell r="D290">
            <v>-1191.12</v>
          </cell>
          <cell r="F290">
            <v>-5329.06</v>
          </cell>
          <cell r="H290">
            <v>4137.94</v>
          </cell>
        </row>
        <row r="291">
          <cell r="A291">
            <v>242467</v>
          </cell>
          <cell r="C291" t="str">
            <v>Accrued Liability - Executive</v>
          </cell>
          <cell r="D291">
            <v>-77566.29</v>
          </cell>
          <cell r="F291">
            <v>0</v>
          </cell>
          <cell r="H291">
            <v>-77566.29</v>
          </cell>
        </row>
        <row r="292">
          <cell r="A292">
            <v>242497</v>
          </cell>
          <cell r="C292" t="str">
            <v>Accrued Liab-Sick Pay Carryover</v>
          </cell>
          <cell r="D292">
            <v>-6491635.5</v>
          </cell>
          <cell r="F292">
            <v>-6102686.34</v>
          </cell>
          <cell r="H292">
            <v>-388949.16</v>
          </cell>
        </row>
        <row r="293">
          <cell r="A293">
            <v>242498</v>
          </cell>
          <cell r="C293" t="str">
            <v>Accrued Liab-Vacation</v>
          </cell>
          <cell r="D293">
            <v>-8910628.68</v>
          </cell>
          <cell r="F293">
            <v>-8977717.77</v>
          </cell>
          <cell r="H293">
            <v>67089.0899999999</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-109072.24</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-88903954.41</v>
          </cell>
          <cell r="F301">
            <v>-153570397.53</v>
          </cell>
          <cell r="H301">
            <v>64666443.12</v>
          </cell>
        </row>
        <row r="302">
          <cell r="H302">
            <v>0</v>
          </cell>
        </row>
        <row r="303">
          <cell r="A303" t="str">
            <v>Total</v>
          </cell>
          <cell r="D303">
            <v>-779442562.9</v>
          </cell>
          <cell r="F303">
            <v>-705627843.68</v>
          </cell>
          <cell r="H303">
            <v>-73814719.22</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-12519204.7</v>
          </cell>
          <cell r="H310">
            <v>11606734.99</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v>
          </cell>
          <cell r="F315">
            <v>-3598988.88</v>
          </cell>
          <cell r="H315">
            <v>-3125822.02</v>
          </cell>
        </row>
        <row r="316">
          <cell r="A316">
            <v>254900</v>
          </cell>
          <cell r="C316" t="str">
            <v>SFAS109-Regulatory Liability Electric</v>
          </cell>
          <cell r="D316">
            <v>-21351956.25</v>
          </cell>
          <cell r="F316">
            <v>-29931145.23</v>
          </cell>
          <cell r="H316">
            <v>8579188.98</v>
          </cell>
        </row>
        <row r="317">
          <cell r="A317" t="str">
            <v>Regulatory Liabilities</v>
          </cell>
          <cell r="D317">
            <v>-542466327.77</v>
          </cell>
          <cell r="F317">
            <v>-146761694.44</v>
          </cell>
          <cell r="H317">
            <v>-395704633.33</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180179403.85</v>
          </cell>
          <cell r="F320">
            <v>160135613.75</v>
          </cell>
          <cell r="H320">
            <v>20043790.1</v>
          </cell>
        </row>
        <row r="321">
          <cell r="A321">
            <v>190200</v>
          </cell>
          <cell r="C321" t="str">
            <v>Def Inc Tx-Acc State Def Inc Tax</v>
          </cell>
          <cell r="D321">
            <v>29813096.76</v>
          </cell>
          <cell r="F321">
            <v>24756794.38</v>
          </cell>
          <cell r="H321">
            <v>5056302.38</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-6284924.35</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-651821030.91</v>
          </cell>
          <cell r="F325">
            <v>-638459778.74</v>
          </cell>
          <cell r="H325">
            <v>-13361252.17</v>
          </cell>
        </row>
        <row r="326">
          <cell r="A326">
            <v>282200</v>
          </cell>
          <cell r="C326" t="str">
            <v>Def Inc Tx - Property - State Def Inc T</v>
          </cell>
          <cell r="D326">
            <v>-82132945.48</v>
          </cell>
          <cell r="F326">
            <v>-86651572.48</v>
          </cell>
          <cell r="H326">
            <v>4518627</v>
          </cell>
        </row>
        <row r="327">
          <cell r="A327">
            <v>283100</v>
          </cell>
          <cell r="C327" t="str">
            <v>Def Inc Tax-Other-Fed Def Inc Tax</v>
          </cell>
          <cell r="D327">
            <v>-96125984.05</v>
          </cell>
          <cell r="F327">
            <v>-104099069.86</v>
          </cell>
          <cell r="H327">
            <v>7973085.81</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-12507526.94</v>
          </cell>
          <cell r="F329">
            <v>-13550916.48</v>
          </cell>
          <cell r="H329">
            <v>1043389.54</v>
          </cell>
        </row>
        <row r="330">
          <cell r="A330" t="str">
            <v>Deferred Income Taxes</v>
          </cell>
          <cell r="D330">
            <v>-619192903.7</v>
          </cell>
          <cell r="F330">
            <v>-636249839.43</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v>
          </cell>
          <cell r="F339">
            <v>0</v>
          </cell>
          <cell r="H339">
            <v>-104822715.04</v>
          </cell>
        </row>
        <row r="340">
          <cell r="A340">
            <v>283760</v>
          </cell>
          <cell r="C340" t="str">
            <v>State Income Tax Payable-Non-current</v>
          </cell>
          <cell r="D340">
            <v>-24175915.79</v>
          </cell>
          <cell r="F340">
            <v>0</v>
          </cell>
          <cell r="H340">
            <v>-24175915.79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-22480988.79</v>
          </cell>
          <cell r="F343">
            <v>-19872171.11</v>
          </cell>
          <cell r="H343">
            <v>-2608817.68</v>
          </cell>
        </row>
        <row r="344">
          <cell r="A344">
            <v>242218</v>
          </cell>
          <cell r="C344" t="str">
            <v>Accrued Liabilities - Disability - Long</v>
          </cell>
          <cell r="D344">
            <v>-9672665.6</v>
          </cell>
          <cell r="F344">
            <v>-10479383.97</v>
          </cell>
          <cell r="H344">
            <v>806718.370000001</v>
          </cell>
        </row>
        <row r="345">
          <cell r="A345">
            <v>242219</v>
          </cell>
          <cell r="C345" t="str">
            <v>Accrued Liabilities - Surviving Spouse</v>
          </cell>
          <cell r="D345">
            <v>-665385.68</v>
          </cell>
          <cell r="F345">
            <v>0</v>
          </cell>
          <cell r="H345">
            <v>-665385.68</v>
          </cell>
        </row>
        <row r="346">
          <cell r="A346">
            <v>242410</v>
          </cell>
          <cell r="C346" t="str">
            <v>Acc Liab - Deffered Comp-Old Plans</v>
          </cell>
          <cell r="D346">
            <v>0</v>
          </cell>
          <cell r="F346">
            <v>-18886044.15</v>
          </cell>
          <cell r="H346">
            <v>18886044.15</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71185.7599999998</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-57351015.61</v>
          </cell>
          <cell r="F351">
            <v>-69320331.79</v>
          </cell>
          <cell r="H351">
            <v>11969316.18</v>
          </cell>
        </row>
        <row r="352">
          <cell r="A352">
            <v>253000</v>
          </cell>
          <cell r="C352" t="str">
            <v>Deferred Credits-General</v>
          </cell>
          <cell r="D352">
            <v>-1026282.3</v>
          </cell>
          <cell r="F352">
            <v>-1023299.89</v>
          </cell>
          <cell r="H352">
            <v>-2982.41000000003</v>
          </cell>
        </row>
        <row r="353">
          <cell r="A353">
            <v>253020</v>
          </cell>
          <cell r="C353" t="str">
            <v>Deferred Credit-Customer Deposits-Spec</v>
          </cell>
          <cell r="D353">
            <v>-55200.03</v>
          </cell>
          <cell r="F353">
            <v>-75299.85</v>
          </cell>
          <cell r="H353">
            <v>20099.82</v>
          </cell>
        </row>
        <row r="354">
          <cell r="A354">
            <v>253021</v>
          </cell>
          <cell r="C354" t="str">
            <v>Deferred Credit-Customer Deposits-Spec</v>
          </cell>
          <cell r="D354">
            <v>-3038085.4</v>
          </cell>
          <cell r="F354">
            <v>-918205.7</v>
          </cell>
          <cell r="H354">
            <v>-2119879.7</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v>
          </cell>
          <cell r="F356">
            <v>-49399.65</v>
          </cell>
          <cell r="H356">
            <v>22001.41</v>
          </cell>
        </row>
        <row r="357">
          <cell r="A357">
            <v>253307</v>
          </cell>
          <cell r="C357" t="str">
            <v>Acc Liab - Deffered Comp LT -Old Plans</v>
          </cell>
          <cell r="D357">
            <v>-18678940.56</v>
          </cell>
          <cell r="F357">
            <v>0</v>
          </cell>
          <cell r="H357">
            <v>-18678940.56</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v>
          </cell>
        </row>
        <row r="363">
          <cell r="H363">
            <v>0</v>
          </cell>
        </row>
        <row r="364">
          <cell r="A364" t="str">
            <v>Total</v>
          </cell>
          <cell r="D364">
            <v>-1430620714.21</v>
          </cell>
          <cell r="F364">
            <v>-932890945.59</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2101919.05</v>
          </cell>
          <cell r="F370">
            <v>1825500.41</v>
          </cell>
          <cell r="H370">
            <v>276418.64</v>
          </cell>
        </row>
        <row r="371">
          <cell r="A371" t="str">
            <v>Long-term Debt</v>
          </cell>
          <cell r="D371">
            <v>-1111698080.95</v>
          </cell>
          <cell r="F371">
            <v>-989974499.59</v>
          </cell>
          <cell r="H371">
            <v>-121723581.36</v>
          </cell>
        </row>
        <row r="372">
          <cell r="H372">
            <v>0</v>
          </cell>
        </row>
        <row r="373">
          <cell r="A373">
            <v>227000</v>
          </cell>
          <cell r="C373" t="str">
            <v>Obligations under Capital Lease - Noncu</v>
          </cell>
          <cell r="D373">
            <v>-105179418.7</v>
          </cell>
          <cell r="F373">
            <v>-110930327.96</v>
          </cell>
          <cell r="H373">
            <v>5750909.25999999</v>
          </cell>
        </row>
        <row r="374">
          <cell r="A374" t="str">
            <v>Long-term Capital Lease Obligation</v>
          </cell>
          <cell r="D374">
            <v>-105179418.7</v>
          </cell>
          <cell r="F374">
            <v>-110930327.96</v>
          </cell>
          <cell r="H374">
            <v>5750909.25999999</v>
          </cell>
        </row>
        <row r="375">
          <cell r="H375">
            <v>0</v>
          </cell>
        </row>
        <row r="376">
          <cell r="A376" t="str">
            <v>Long-term Debt</v>
          </cell>
          <cell r="D376">
            <v>-1216877499.65</v>
          </cell>
          <cell r="F376">
            <v>-1100904827.55</v>
          </cell>
          <cell r="H376">
            <v>-115972672.1</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v>
          </cell>
          <cell r="F386">
            <v>-24639705.92</v>
          </cell>
          <cell r="H386">
            <v>-1881436</v>
          </cell>
        </row>
        <row r="387">
          <cell r="A387" t="str">
            <v>Additional P.I.C. Common</v>
          </cell>
          <cell r="D387">
            <v>-533405881.83</v>
          </cell>
          <cell r="F387">
            <v>-531524445.83</v>
          </cell>
          <cell r="H387">
            <v>-1881436</v>
          </cell>
        </row>
        <row r="388">
          <cell r="H388">
            <v>0</v>
          </cell>
        </row>
        <row r="389">
          <cell r="A389">
            <v>216000</v>
          </cell>
          <cell r="C389" t="str">
            <v>Unappropriated Retained Earnings - Gene</v>
          </cell>
          <cell r="D389">
            <v>-557829996.02</v>
          </cell>
          <cell r="F389">
            <v>-574325376.19</v>
          </cell>
          <cell r="H389">
            <v>16495380.1700001</v>
          </cell>
        </row>
        <row r="390">
          <cell r="A390">
            <v>216200</v>
          </cell>
          <cell r="C390" t="str">
            <v>Dividends Declared-Common Stock</v>
          </cell>
          <cell r="D390">
            <v>86000000</v>
          </cell>
          <cell r="F390">
            <v>99000000</v>
          </cell>
          <cell r="H390">
            <v>-13000000</v>
          </cell>
        </row>
        <row r="391">
          <cell r="A391" t="str">
            <v>Retained Earnings</v>
          </cell>
          <cell r="D391">
            <v>-471829996.02</v>
          </cell>
          <cell r="F391">
            <v>-475325376.19</v>
          </cell>
          <cell r="H391">
            <v>3495380.17000002</v>
          </cell>
        </row>
        <row r="392">
          <cell r="H392">
            <v>0</v>
          </cell>
        </row>
        <row r="393">
          <cell r="A393" t="str">
            <v>Total</v>
          </cell>
          <cell r="D393">
            <v>-1005235878.85</v>
          </cell>
          <cell r="F393">
            <v>-1006849823.02</v>
          </cell>
          <cell r="H393">
            <v>1613944.16999996</v>
          </cell>
        </row>
        <row r="394">
          <cell r="H394">
            <v>0</v>
          </cell>
        </row>
        <row r="395">
          <cell r="A395" t="str">
            <v>Profit for the Period</v>
          </cell>
          <cell r="D395">
            <v>-125058872.2</v>
          </cell>
          <cell r="F395">
            <v>-84343909.96</v>
          </cell>
          <cell r="H395">
            <v>-40714962.24</v>
          </cell>
        </row>
        <row r="396">
          <cell r="H396">
            <v>0</v>
          </cell>
        </row>
        <row r="397">
          <cell r="A397" t="str">
            <v>Total Capitalization &amp; Liabilities</v>
          </cell>
          <cell r="D397">
            <v>-4557235527.81</v>
          </cell>
          <cell r="F397">
            <v>-3830617349.8</v>
          </cell>
          <cell r="H397">
            <v>-726618178.01</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v>
          </cell>
          <cell r="H414">
            <v>-182472773.13</v>
          </cell>
        </row>
        <row r="415">
          <cell r="A415">
            <v>511150</v>
          </cell>
          <cell r="C415" t="str">
            <v>Rev-Residential Electric-Administrative</v>
          </cell>
          <cell r="D415">
            <v>13365583.81</v>
          </cell>
          <cell r="F415">
            <v>13498807.96</v>
          </cell>
          <cell r="H415">
            <v>-133224.15</v>
          </cell>
        </row>
        <row r="416">
          <cell r="A416">
            <v>511175</v>
          </cell>
          <cell r="C416" t="str">
            <v>Rev-Residential-Procurement Cost Adjust</v>
          </cell>
          <cell r="D416">
            <v>-19012212.44</v>
          </cell>
          <cell r="F416">
            <v>-22673628.57</v>
          </cell>
          <cell r="H416">
            <v>3661416.13</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v>
          </cell>
          <cell r="H421">
            <v>192284.4</v>
          </cell>
        </row>
        <row r="422">
          <cell r="A422">
            <v>512100</v>
          </cell>
          <cell r="C422" t="str">
            <v>Rev-Comm Elec - Secondary</v>
          </cell>
          <cell r="D422">
            <v>-997054934.6</v>
          </cell>
          <cell r="F422">
            <v>-1232725890.55</v>
          </cell>
          <cell r="H422">
            <v>235670955.95</v>
          </cell>
        </row>
        <row r="423">
          <cell r="A423">
            <v>512150</v>
          </cell>
          <cell r="C423" t="str">
            <v>Rev-Comm Electric-Administrative Credit</v>
          </cell>
          <cell r="D423">
            <v>8481860.42</v>
          </cell>
          <cell r="F423">
            <v>28937308.02</v>
          </cell>
          <cell r="H423">
            <v>-20455447.6</v>
          </cell>
        </row>
        <row r="424">
          <cell r="A424">
            <v>512175</v>
          </cell>
          <cell r="C424" t="str">
            <v>Rev-Commercial-Procurement Cost Adjustm</v>
          </cell>
          <cell r="D424">
            <v>5948951.06</v>
          </cell>
          <cell r="F424">
            <v>-10400126.97</v>
          </cell>
          <cell r="H424">
            <v>16349078.03</v>
          </cell>
        </row>
        <row r="425">
          <cell r="A425">
            <v>512200</v>
          </cell>
          <cell r="C425" t="str">
            <v>Rev-Comm Elec - Primary</v>
          </cell>
          <cell r="D425">
            <v>-1606.44</v>
          </cell>
          <cell r="F425">
            <v>-8096.3</v>
          </cell>
          <cell r="H425">
            <v>6489.86</v>
          </cell>
        </row>
        <row r="426">
          <cell r="A426">
            <v>512400</v>
          </cell>
          <cell r="C426" t="str">
            <v>Rev-Comm Elec Unbilled</v>
          </cell>
          <cell r="D426">
            <v>5670277</v>
          </cell>
          <cell r="F426">
            <v>14210774.29</v>
          </cell>
          <cell r="H426">
            <v>-8540497.29</v>
          </cell>
        </row>
        <row r="427">
          <cell r="A427">
            <v>512450</v>
          </cell>
          <cell r="C427" t="str">
            <v>Rev-Comm Elec-Administrative Credit - U</v>
          </cell>
          <cell r="D427">
            <v>-197154</v>
          </cell>
          <cell r="F427">
            <v>-229689.98</v>
          </cell>
          <cell r="H427">
            <v>32535.98</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-6103022.35</v>
          </cell>
          <cell r="F429">
            <v>-5341458.39</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v>
          </cell>
          <cell r="F432">
            <v>-6945036.91</v>
          </cell>
          <cell r="H432">
            <v>-258542.87</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v>
          </cell>
          <cell r="F435">
            <v>-639007.08</v>
          </cell>
          <cell r="H435">
            <v>-17354046.11</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-2350538.89</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v>
          </cell>
          <cell r="F440">
            <v>-93397448.27</v>
          </cell>
          <cell r="H440">
            <v>2906734.50999999</v>
          </cell>
        </row>
        <row r="441">
          <cell r="A441">
            <v>516217</v>
          </cell>
          <cell r="C441" t="str">
            <v>Rev-System-Auction Revenue Rights</v>
          </cell>
          <cell r="D441">
            <v>-311802.3</v>
          </cell>
          <cell r="F441">
            <v>0</v>
          </cell>
          <cell r="H441">
            <v>-311802.3</v>
          </cell>
        </row>
        <row r="442">
          <cell r="A442">
            <v>516218</v>
          </cell>
          <cell r="C442" t="str">
            <v>Rev-System-Capacity</v>
          </cell>
          <cell r="D442">
            <v>-7257243.48</v>
          </cell>
          <cell r="F442">
            <v>0</v>
          </cell>
          <cell r="H442">
            <v>-7257243.48</v>
          </cell>
        </row>
        <row r="443">
          <cell r="A443">
            <v>518100</v>
          </cell>
          <cell r="C443" t="str">
            <v>Rev-Unbilled Elec</v>
          </cell>
          <cell r="D443">
            <v>0</v>
          </cell>
          <cell r="F443">
            <v>36013</v>
          </cell>
          <cell r="H443">
            <v>-36013</v>
          </cell>
        </row>
        <row r="444">
          <cell r="A444">
            <v>519100</v>
          </cell>
          <cell r="C444" t="str">
            <v>Rev-Late Payments - Elec</v>
          </cell>
          <cell r="D444">
            <v>-6722850.09</v>
          </cell>
          <cell r="F444">
            <v>-5563146.05</v>
          </cell>
          <cell r="H444">
            <v>-1159704.04</v>
          </cell>
        </row>
        <row r="445">
          <cell r="A445">
            <v>519500</v>
          </cell>
          <cell r="C445" t="str">
            <v>Rev-Misc Service Revenue - Electric</v>
          </cell>
          <cell r="D445">
            <v>-764396.41</v>
          </cell>
          <cell r="F445">
            <v>-867662.06</v>
          </cell>
          <cell r="H445">
            <v>103265.65</v>
          </cell>
        </row>
        <row r="446">
          <cell r="A446">
            <v>520100</v>
          </cell>
          <cell r="C446" t="str">
            <v>Rev-Rent Electric/Gas</v>
          </cell>
          <cell r="D446">
            <v>-13097456.53</v>
          </cell>
          <cell r="F446">
            <v>-12153865.91</v>
          </cell>
          <cell r="H446">
            <v>-943590.619999999</v>
          </cell>
        </row>
        <row r="447">
          <cell r="A447">
            <v>520500</v>
          </cell>
          <cell r="C447" t="str">
            <v>Rev-Other Rev Electric</v>
          </cell>
          <cell r="D447">
            <v>-4490038.98</v>
          </cell>
          <cell r="F447">
            <v>-1436225.08</v>
          </cell>
          <cell r="H447">
            <v>-3053813.9</v>
          </cell>
        </row>
        <row r="448">
          <cell r="A448">
            <v>520510</v>
          </cell>
          <cell r="C448" t="str">
            <v>Rev-Scheduling, System Control &amp; Dispat</v>
          </cell>
          <cell r="D448">
            <v>-626625.81</v>
          </cell>
          <cell r="F448">
            <v>-600860.35</v>
          </cell>
          <cell r="H448">
            <v>-25765.4600000001</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-1100295.32</v>
          </cell>
        </row>
        <row r="451">
          <cell r="A451">
            <v>520520</v>
          </cell>
          <cell r="C451" t="str">
            <v>Rev-Transmission Service - Non-firm</v>
          </cell>
          <cell r="D451">
            <v>-354292.08</v>
          </cell>
          <cell r="F451">
            <v>-669419.59</v>
          </cell>
          <cell r="H451">
            <v>315127.51</v>
          </cell>
        </row>
        <row r="452">
          <cell r="A452">
            <v>633500</v>
          </cell>
          <cell r="C452" t="str">
            <v>Revenue-Property Claims Billed-Electric</v>
          </cell>
          <cell r="D452">
            <v>-3083495.81</v>
          </cell>
          <cell r="F452">
            <v>-3273177.93</v>
          </cell>
          <cell r="H452">
            <v>189682.12</v>
          </cell>
        </row>
        <row r="453">
          <cell r="A453">
            <v>633535</v>
          </cell>
          <cell r="C453" t="str">
            <v>Revenue-Other Accounts Receivable Bille</v>
          </cell>
          <cell r="D453">
            <v>-2135439.4</v>
          </cell>
          <cell r="F453">
            <v>-3974784.08</v>
          </cell>
          <cell r="H453">
            <v>1839344.68</v>
          </cell>
        </row>
        <row r="454">
          <cell r="A454">
            <v>633570</v>
          </cell>
          <cell r="C454" t="str">
            <v>Revenue-Settlements-Special Billing-Ele</v>
          </cell>
          <cell r="D454">
            <v>195026.81</v>
          </cell>
          <cell r="F454">
            <v>17630.15</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v>
          </cell>
        </row>
        <row r="457">
          <cell r="A457">
            <v>633635</v>
          </cell>
          <cell r="C457" t="str">
            <v>Revenue-Other Accounts Receivable Unbil</v>
          </cell>
          <cell r="D457">
            <v>-329211.09</v>
          </cell>
          <cell r="F457">
            <v>544453.93</v>
          </cell>
          <cell r="H457">
            <v>-873665.02</v>
          </cell>
        </row>
        <row r="458">
          <cell r="A458">
            <v>633660</v>
          </cell>
          <cell r="C458" t="str">
            <v>Revenue-Sales Slips</v>
          </cell>
          <cell r="D458">
            <v>-2570339.77</v>
          </cell>
          <cell r="F458">
            <v>-2183634.78</v>
          </cell>
          <cell r="H458">
            <v>-386704.99</v>
          </cell>
        </row>
        <row r="459">
          <cell r="A459">
            <v>751315</v>
          </cell>
          <cell r="C459" t="str">
            <v>Administrative Credit - MD SOS</v>
          </cell>
          <cell r="D459">
            <v>4103688.26</v>
          </cell>
          <cell r="F459">
            <v>-4703396.94</v>
          </cell>
          <cell r="H459">
            <v>8807085.2</v>
          </cell>
        </row>
        <row r="460">
          <cell r="A460" t="str">
            <v>Regulated Electric Revenue</v>
          </cell>
          <cell r="D460">
            <v>-2199065741.48</v>
          </cell>
          <cell r="F460">
            <v>-2214937984.76</v>
          </cell>
          <cell r="H460">
            <v>15872243.2800002</v>
          </cell>
        </row>
        <row r="461">
          <cell r="A461" t="str">
            <v>Total Utility Revenue</v>
          </cell>
          <cell r="D461">
            <v>-2199065741.48</v>
          </cell>
          <cell r="F461">
            <v>-2214937984.76</v>
          </cell>
          <cell r="H461">
            <v>15872243.2800002</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v>
          </cell>
        </row>
        <row r="468">
          <cell r="A468" t="str">
            <v>Total Competitive Operations</v>
          </cell>
          <cell r="D468">
            <v>-1647328</v>
          </cell>
          <cell r="F468">
            <v>-1525571.18</v>
          </cell>
          <cell r="H468">
            <v>-121756.82</v>
          </cell>
        </row>
        <row r="469">
          <cell r="H469">
            <v>0</v>
          </cell>
        </row>
        <row r="470">
          <cell r="A470">
            <v>400100</v>
          </cell>
          <cell r="C470" t="str">
            <v>Inter Company-Revenues</v>
          </cell>
          <cell r="D470">
            <v>-140772.87</v>
          </cell>
          <cell r="F470">
            <v>-48036.29</v>
          </cell>
          <cell r="H470">
            <v>-92736.58</v>
          </cell>
        </row>
        <row r="471">
          <cell r="A471">
            <v>420100</v>
          </cell>
          <cell r="C471" t="str">
            <v>Intra Company-Co Use Revenue</v>
          </cell>
          <cell r="D471">
            <v>0</v>
          </cell>
          <cell r="F471">
            <v>-78818.72</v>
          </cell>
          <cell r="H471">
            <v>78818.72</v>
          </cell>
        </row>
        <row r="472">
          <cell r="A472">
            <v>420101</v>
          </cell>
          <cell r="C472" t="str">
            <v>Inter Company-Lease Revenue-Buildings</v>
          </cell>
          <cell r="D472">
            <v>-2685781.28</v>
          </cell>
          <cell r="F472">
            <v>-1884970.15</v>
          </cell>
          <cell r="H472">
            <v>-800811.13</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-146087.33</v>
          </cell>
          <cell r="H474">
            <v>75586.08</v>
          </cell>
        </row>
        <row r="475">
          <cell r="A475" t="str">
            <v>Inter Company Revenues</v>
          </cell>
          <cell r="D475">
            <v>-3745772.4</v>
          </cell>
          <cell r="F475">
            <v>-3006629.49</v>
          </cell>
          <cell r="H475">
            <v>-739142.91</v>
          </cell>
        </row>
        <row r="476">
          <cell r="A476">
            <v>420201</v>
          </cell>
          <cell r="C476" t="str">
            <v>Inter Company-Lease Expense-Buildings</v>
          </cell>
          <cell r="D476">
            <v>3577934.93</v>
          </cell>
          <cell r="F476">
            <v>5093547.5</v>
          </cell>
          <cell r="H476">
            <v>-1515612.57</v>
          </cell>
        </row>
        <row r="477">
          <cell r="A477">
            <v>427260</v>
          </cell>
          <cell r="C477" t="str">
            <v>I/C Power Purchases-Pepco/CESI</v>
          </cell>
          <cell r="D477">
            <v>63321121.09</v>
          </cell>
          <cell r="F477">
            <v>35645455.44</v>
          </cell>
          <cell r="H477">
            <v>27675665.65</v>
          </cell>
        </row>
        <row r="478">
          <cell r="A478" t="str">
            <v>Inter Company Expenses</v>
          </cell>
          <cell r="D478">
            <v>66899056.02</v>
          </cell>
          <cell r="F478">
            <v>40739002.94</v>
          </cell>
          <cell r="H478">
            <v>26160053.08</v>
          </cell>
        </row>
        <row r="479">
          <cell r="A479" t="str">
            <v>Total Inter Company</v>
          </cell>
          <cell r="D479">
            <v>63153283.62</v>
          </cell>
          <cell r="F479">
            <v>37732373.45</v>
          </cell>
          <cell r="H479">
            <v>25420910.17</v>
          </cell>
        </row>
        <row r="480">
          <cell r="H480">
            <v>0</v>
          </cell>
        </row>
        <row r="481">
          <cell r="A481" t="str">
            <v>Total Operating Revenue</v>
          </cell>
          <cell r="D481">
            <v>-2137559785.86</v>
          </cell>
          <cell r="F481">
            <v>-2178731182.49</v>
          </cell>
          <cell r="H481">
            <v>41171396.6299999</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v>
          </cell>
        </row>
        <row r="490">
          <cell r="A490">
            <v>751010</v>
          </cell>
          <cell r="C490" t="str">
            <v>Purchased Power - System Marketers</v>
          </cell>
          <cell r="D490">
            <v>1093930517.8</v>
          </cell>
          <cell r="F490">
            <v>1158804056.16</v>
          </cell>
          <cell r="H490">
            <v>-64873538.3600001</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v>
          </cell>
          <cell r="F492">
            <v>30604498.36</v>
          </cell>
          <cell r="H492">
            <v>-8225633.22</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v>
          </cell>
          <cell r="F497">
            <v>999995.78</v>
          </cell>
          <cell r="H497">
            <v>10938931.85</v>
          </cell>
        </row>
        <row r="498">
          <cell r="A498">
            <v>751026</v>
          </cell>
          <cell r="C498" t="str">
            <v>Purchased Power-Sys Network Transmissio</v>
          </cell>
          <cell r="D498">
            <v>39064418.81</v>
          </cell>
          <cell r="F498">
            <v>50808629.1</v>
          </cell>
          <cell r="H498">
            <v>-11744210.29</v>
          </cell>
        </row>
        <row r="499">
          <cell r="A499">
            <v>751250</v>
          </cell>
          <cell r="C499" t="str">
            <v>Deferred Purchased Power Expense - SOS</v>
          </cell>
          <cell r="D499">
            <v>-13231305.18</v>
          </cell>
          <cell r="F499">
            <v>14409925.2</v>
          </cell>
          <cell r="H499">
            <v>-27641230.38</v>
          </cell>
        </row>
        <row r="500">
          <cell r="A500">
            <v>751251</v>
          </cell>
          <cell r="C500" t="str">
            <v>Deferred Transmission Expenses - SOS</v>
          </cell>
          <cell r="D500">
            <v>1217257.05</v>
          </cell>
          <cell r="F500">
            <v>2042653.23</v>
          </cell>
          <cell r="H500">
            <v>-825396.18</v>
          </cell>
        </row>
        <row r="501">
          <cell r="A501" t="str">
            <v>Regulated Electric Fuel &amp; Purchased Power</v>
          </cell>
          <cell r="D501">
            <v>1162659067.2</v>
          </cell>
          <cell r="F501">
            <v>1263565821.83</v>
          </cell>
          <cell r="H501">
            <v>-100906754.63</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19839990.86</v>
          </cell>
          <cell r="F507">
            <v>503715.87</v>
          </cell>
          <cell r="H507">
            <v>19336274.99</v>
          </cell>
        </row>
        <row r="508">
          <cell r="A508" t="str">
            <v>Purchased Capacity</v>
          </cell>
          <cell r="D508">
            <v>19841395.39</v>
          </cell>
          <cell r="F508">
            <v>506309.87</v>
          </cell>
          <cell r="H508">
            <v>19335085.52</v>
          </cell>
        </row>
        <row r="509">
          <cell r="A509" t="str">
            <v>Total Fuel and Purchased Energy</v>
          </cell>
          <cell r="D509">
            <v>1182503817.51</v>
          </cell>
          <cell r="F509">
            <v>1264090330.61</v>
          </cell>
          <cell r="H509">
            <v>-81586513.0999999</v>
          </cell>
        </row>
        <row r="510">
          <cell r="H510">
            <v>0</v>
          </cell>
        </row>
        <row r="511">
          <cell r="A511">
            <v>710005</v>
          </cell>
          <cell r="C511" t="str">
            <v>Salaries-Base Wages</v>
          </cell>
          <cell r="D511">
            <v>90346550.36</v>
          </cell>
          <cell r="F511">
            <v>92449873.9</v>
          </cell>
          <cell r="H511">
            <v>-2103323.54000001</v>
          </cell>
        </row>
        <row r="512">
          <cell r="A512">
            <v>710010</v>
          </cell>
          <cell r="C512" t="str">
            <v>Salaries-Overtime</v>
          </cell>
          <cell r="D512">
            <v>17572231.23</v>
          </cell>
          <cell r="F512">
            <v>13062258.6</v>
          </cell>
          <cell r="H512">
            <v>4509972.63</v>
          </cell>
        </row>
        <row r="513">
          <cell r="A513">
            <v>710015</v>
          </cell>
          <cell r="C513" t="str">
            <v>Salaries-Meal Allowance</v>
          </cell>
          <cell r="D513">
            <v>636359.12</v>
          </cell>
          <cell r="F513">
            <v>460996.03</v>
          </cell>
          <cell r="H513">
            <v>175363.09</v>
          </cell>
        </row>
        <row r="514">
          <cell r="A514">
            <v>710016</v>
          </cell>
          <cell r="C514" t="str">
            <v>Salaries-Auto Allowance</v>
          </cell>
          <cell r="D514">
            <v>184071.28</v>
          </cell>
          <cell r="F514">
            <v>191055.52</v>
          </cell>
          <cell r="H514">
            <v>-6984.23999999999</v>
          </cell>
        </row>
        <row r="515">
          <cell r="A515">
            <v>710017</v>
          </cell>
          <cell r="C515" t="str">
            <v>Salaries-Vehicle Commuting Fee</v>
          </cell>
          <cell r="D515">
            <v>-54766.07</v>
          </cell>
          <cell r="F515">
            <v>-51065.89</v>
          </cell>
          <cell r="H515">
            <v>-3700.18</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v>
          </cell>
        </row>
        <row r="518">
          <cell r="A518">
            <v>710030</v>
          </cell>
          <cell r="C518" t="str">
            <v>Salaries-Other</v>
          </cell>
          <cell r="D518">
            <v>63998.32</v>
          </cell>
          <cell r="F518">
            <v>-65005.12</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577581.08</v>
          </cell>
          <cell r="F523">
            <v>681823.24</v>
          </cell>
          <cell r="H523">
            <v>-104242.16</v>
          </cell>
        </row>
        <row r="524">
          <cell r="A524">
            <v>710060</v>
          </cell>
          <cell r="C524" t="str">
            <v>Salaries-Incentive-AIP / MVIP</v>
          </cell>
          <cell r="D524">
            <v>1933404.47</v>
          </cell>
          <cell r="F524">
            <v>-864740</v>
          </cell>
          <cell r="H524">
            <v>2798144.47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5549689.18</v>
          </cell>
          <cell r="F528">
            <v>2296111.51</v>
          </cell>
          <cell r="H528">
            <v>3253577.67</v>
          </cell>
        </row>
        <row r="529">
          <cell r="A529" t="str">
            <v>Salary</v>
          </cell>
          <cell r="D529">
            <v>117056608.98</v>
          </cell>
          <cell r="F529">
            <v>109936978.5</v>
          </cell>
          <cell r="H529">
            <v>7119630.48</v>
          </cell>
        </row>
        <row r="530">
          <cell r="A530">
            <v>720005</v>
          </cell>
          <cell r="C530" t="str">
            <v>Benefits-FICA / Medicare</v>
          </cell>
          <cell r="D530">
            <v>8153682.57</v>
          </cell>
          <cell r="F530">
            <v>8133246.28</v>
          </cell>
          <cell r="H530">
            <v>20436.29</v>
          </cell>
        </row>
        <row r="531">
          <cell r="A531">
            <v>720010</v>
          </cell>
          <cell r="C531" t="str">
            <v>Benefit-Federal Unemployment Insurance</v>
          </cell>
          <cell r="D531">
            <v>85091.77</v>
          </cell>
          <cell r="F531">
            <v>86801.21</v>
          </cell>
          <cell r="H531">
            <v>-1709.44</v>
          </cell>
        </row>
        <row r="532">
          <cell r="A532">
            <v>720015</v>
          </cell>
          <cell r="C532" t="str">
            <v>Benefit-State Unemployment Insurance</v>
          </cell>
          <cell r="D532">
            <v>152388.46</v>
          </cell>
          <cell r="F532">
            <v>189344.55</v>
          </cell>
          <cell r="H532">
            <v>-36956.09</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v>
          </cell>
        </row>
        <row r="537">
          <cell r="A537">
            <v>721025</v>
          </cell>
          <cell r="C537" t="str">
            <v>Benefit-Workmens Comp</v>
          </cell>
          <cell r="D537">
            <v>5868702.71</v>
          </cell>
          <cell r="F537">
            <v>5474363.56</v>
          </cell>
          <cell r="H537">
            <v>394339.15</v>
          </cell>
        </row>
        <row r="538">
          <cell r="A538">
            <v>721030</v>
          </cell>
          <cell r="C538" t="str">
            <v>Benefit-Savings &amp; Thrift</v>
          </cell>
          <cell r="D538">
            <v>2305100.19</v>
          </cell>
          <cell r="F538">
            <v>2387610.26</v>
          </cell>
          <cell r="H538">
            <v>-82510.0699999998</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574880.83</v>
          </cell>
          <cell r="F544">
            <v>615457.29</v>
          </cell>
          <cell r="H544">
            <v>-40576.4600000001</v>
          </cell>
        </row>
        <row r="545">
          <cell r="A545">
            <v>721075</v>
          </cell>
          <cell r="C545" t="str">
            <v>Benefit-Spending Accounts</v>
          </cell>
          <cell r="D545">
            <v>31992.06</v>
          </cell>
          <cell r="F545">
            <v>60531.02</v>
          </cell>
          <cell r="H545">
            <v>-28538.96</v>
          </cell>
        </row>
        <row r="546">
          <cell r="A546">
            <v>721080</v>
          </cell>
          <cell r="C546" t="str">
            <v>Benefit-Employee Association</v>
          </cell>
          <cell r="D546">
            <v>131435</v>
          </cell>
          <cell r="F546">
            <v>109902.21</v>
          </cell>
          <cell r="H546">
            <v>21532.79</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v>
          </cell>
          <cell r="H549">
            <v>-5902.7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v>
          </cell>
          <cell r="H551">
            <v>-2187426.62</v>
          </cell>
        </row>
        <row r="552">
          <cell r="A552">
            <v>721096</v>
          </cell>
          <cell r="C552" t="str">
            <v>Benefit-Allocated from Total Corporate</v>
          </cell>
          <cell r="D552">
            <v>15256699.42</v>
          </cell>
          <cell r="F552">
            <v>16067438.15</v>
          </cell>
          <cell r="H552">
            <v>-810738.73</v>
          </cell>
        </row>
        <row r="553">
          <cell r="A553">
            <v>721098</v>
          </cell>
          <cell r="C553" t="str">
            <v>Benefit-Employee Contributions</v>
          </cell>
          <cell r="D553">
            <v>-1789075.85</v>
          </cell>
          <cell r="F553">
            <v>-1676147.46</v>
          </cell>
          <cell r="H553">
            <v>-112928.39</v>
          </cell>
        </row>
        <row r="554">
          <cell r="A554">
            <v>721099</v>
          </cell>
          <cell r="C554" t="str">
            <v>Benefit-Offset of Actual Expenses</v>
          </cell>
          <cell r="D554">
            <v>-33179002.38</v>
          </cell>
          <cell r="F554">
            <v>-33897960.15</v>
          </cell>
          <cell r="H554">
            <v>718957.77</v>
          </cell>
        </row>
        <row r="555">
          <cell r="A555">
            <v>722000</v>
          </cell>
          <cell r="C555" t="str">
            <v>Benefit-Accrued Expenses</v>
          </cell>
          <cell r="D555">
            <v>33677952.72</v>
          </cell>
          <cell r="F555">
            <v>33639960.15</v>
          </cell>
          <cell r="H555">
            <v>37992.5700000003</v>
          </cell>
        </row>
        <row r="556">
          <cell r="A556">
            <v>723000</v>
          </cell>
          <cell r="C556" t="str">
            <v>Benefit-Other</v>
          </cell>
          <cell r="D556">
            <v>116636.7</v>
          </cell>
          <cell r="F556">
            <v>-849287.3</v>
          </cell>
          <cell r="H556">
            <v>965924</v>
          </cell>
        </row>
        <row r="557">
          <cell r="A557" t="str">
            <v>Benefits</v>
          </cell>
          <cell r="D557">
            <v>54852071.08</v>
          </cell>
          <cell r="F557">
            <v>66000071.14</v>
          </cell>
          <cell r="H557">
            <v>-11148000.06</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25109669.22</v>
          </cell>
          <cell r="H559">
            <v>-11032170.3</v>
          </cell>
        </row>
        <row r="560">
          <cell r="A560">
            <v>730008</v>
          </cell>
          <cell r="C560" t="str">
            <v>Material Expense-Fabrication Shop</v>
          </cell>
          <cell r="D560">
            <v>-1400159.29</v>
          </cell>
          <cell r="F560">
            <v>-989796.24</v>
          </cell>
          <cell r="H560">
            <v>-410363.05</v>
          </cell>
        </row>
        <row r="561">
          <cell r="A561">
            <v>730010</v>
          </cell>
          <cell r="C561" t="str">
            <v>Material Expense-Nonstock</v>
          </cell>
          <cell r="D561">
            <v>5588094.67</v>
          </cell>
          <cell r="F561">
            <v>7847532.1</v>
          </cell>
          <cell r="H561">
            <v>-2259437.43</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1561.97</v>
          </cell>
        </row>
        <row r="567">
          <cell r="A567">
            <v>730035</v>
          </cell>
          <cell r="C567" t="str">
            <v>Material Expense-Consignment-PEPCO</v>
          </cell>
          <cell r="D567">
            <v>529990.57</v>
          </cell>
          <cell r="F567">
            <v>375772.47</v>
          </cell>
          <cell r="H567">
            <v>154218.1</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v>
          </cell>
          <cell r="F570">
            <v>42319495.62</v>
          </cell>
          <cell r="H570">
            <v>16187508.48</v>
          </cell>
        </row>
        <row r="571">
          <cell r="A571">
            <v>730060</v>
          </cell>
          <cell r="C571" t="str">
            <v>Pepco-Material Expense-Direct Ship (4M)</v>
          </cell>
          <cell r="D571">
            <v>0</v>
          </cell>
          <cell r="F571">
            <v>4614136.31</v>
          </cell>
          <cell r="H571">
            <v>-4614136.31</v>
          </cell>
        </row>
        <row r="572">
          <cell r="A572">
            <v>731005</v>
          </cell>
          <cell r="C572" t="str">
            <v>Material-Scrapped</v>
          </cell>
          <cell r="D572">
            <v>1562332.95</v>
          </cell>
          <cell r="F572">
            <v>1225723.18</v>
          </cell>
          <cell r="H572">
            <v>336609.77</v>
          </cell>
        </row>
        <row r="573">
          <cell r="A573">
            <v>731006</v>
          </cell>
          <cell r="C573" t="str">
            <v>Material-Returned to Storeroom</v>
          </cell>
          <cell r="D573">
            <v>-8834344.01</v>
          </cell>
          <cell r="F573">
            <v>-6206397.11</v>
          </cell>
          <cell r="H573">
            <v>-2627946.9</v>
          </cell>
        </row>
        <row r="574">
          <cell r="A574">
            <v>731007</v>
          </cell>
          <cell r="C574" t="str">
            <v>Material-Scrap Material</v>
          </cell>
          <cell r="D574">
            <v>-2607913.71</v>
          </cell>
          <cell r="F574">
            <v>-2462656.22</v>
          </cell>
          <cell r="H574">
            <v>-145257.49</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v>
          </cell>
          <cell r="H577">
            <v>187102.17</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71331561.99</v>
          </cell>
          <cell r="F581">
            <v>73264084.85</v>
          </cell>
          <cell r="H581">
            <v>-1932522.86</v>
          </cell>
        </row>
        <row r="582">
          <cell r="A582">
            <v>760005</v>
          </cell>
          <cell r="C582" t="str">
            <v>Contractor-Professional and Consulting</v>
          </cell>
          <cell r="D582">
            <v>11006650.05</v>
          </cell>
          <cell r="F582">
            <v>10237074.99</v>
          </cell>
          <cell r="H582">
            <v>769575.060000001</v>
          </cell>
        </row>
        <row r="583">
          <cell r="A583">
            <v>760010</v>
          </cell>
          <cell r="C583" t="str">
            <v>Contractor-Other Services</v>
          </cell>
          <cell r="D583">
            <v>22730702.65</v>
          </cell>
          <cell r="F583">
            <v>21645742.86</v>
          </cell>
          <cell r="H583">
            <v>1084959.79</v>
          </cell>
        </row>
        <row r="584">
          <cell r="A584">
            <v>760015</v>
          </cell>
          <cell r="C584" t="str">
            <v>Contractor-Temporary Employment</v>
          </cell>
          <cell r="D584">
            <v>1661367.41</v>
          </cell>
          <cell r="F584">
            <v>1541749.23</v>
          </cell>
          <cell r="H584">
            <v>119618.18</v>
          </cell>
        </row>
        <row r="585">
          <cell r="A585">
            <v>760020</v>
          </cell>
          <cell r="C585" t="str">
            <v>Contractor-Maintenance</v>
          </cell>
          <cell r="D585">
            <v>4149349.98</v>
          </cell>
          <cell r="F585">
            <v>4612908.85</v>
          </cell>
          <cell r="H585">
            <v>-463558.87</v>
          </cell>
        </row>
        <row r="586">
          <cell r="A586">
            <v>760025</v>
          </cell>
          <cell r="C586" t="str">
            <v>Contractor-Training</v>
          </cell>
          <cell r="D586">
            <v>292290.44</v>
          </cell>
          <cell r="F586">
            <v>330276.05</v>
          </cell>
          <cell r="H586">
            <v>-37985.61</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93952740.63</v>
          </cell>
          <cell r="F588">
            <v>72305379.12</v>
          </cell>
          <cell r="H588">
            <v>21647361.51</v>
          </cell>
        </row>
        <row r="589">
          <cell r="A589">
            <v>760041</v>
          </cell>
          <cell r="C589" t="str">
            <v>Contractor-External Craft Skills</v>
          </cell>
          <cell r="D589">
            <v>17059529.06</v>
          </cell>
          <cell r="F589">
            <v>16784625.86</v>
          </cell>
          <cell r="H589">
            <v>274903.199999999</v>
          </cell>
        </row>
        <row r="590">
          <cell r="A590">
            <v>760042</v>
          </cell>
          <cell r="C590" t="str">
            <v>Contractor-Design for Construction</v>
          </cell>
          <cell r="D590">
            <v>1560750.91</v>
          </cell>
          <cell r="F590">
            <v>1331822.15</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-165237.48</v>
          </cell>
        </row>
        <row r="593">
          <cell r="A593">
            <v>760105</v>
          </cell>
          <cell r="C593" t="str">
            <v>Contractor-Legal Other</v>
          </cell>
          <cell r="D593">
            <v>51577.39</v>
          </cell>
          <cell r="F593">
            <v>-90453.65</v>
          </cell>
          <cell r="H593">
            <v>142031.04</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133400.58</v>
          </cell>
          <cell r="F600">
            <v>235663.39</v>
          </cell>
          <cell r="H600">
            <v>-102262.81</v>
          </cell>
        </row>
        <row r="601">
          <cell r="A601">
            <v>771005</v>
          </cell>
          <cell r="C601" t="str">
            <v>Leases-Equipment and Computers</v>
          </cell>
          <cell r="D601">
            <v>358642.31</v>
          </cell>
          <cell r="F601">
            <v>480533.4</v>
          </cell>
          <cell r="H601">
            <v>-121891.09</v>
          </cell>
        </row>
        <row r="602">
          <cell r="A602">
            <v>771010</v>
          </cell>
          <cell r="C602" t="str">
            <v>Leases-Vehicle</v>
          </cell>
          <cell r="D602">
            <v>2774569.05</v>
          </cell>
          <cell r="F602">
            <v>2908846.88</v>
          </cell>
          <cell r="H602">
            <v>-134277.83</v>
          </cell>
        </row>
        <row r="603">
          <cell r="A603" t="str">
            <v>Rents</v>
          </cell>
          <cell r="D603">
            <v>19300750</v>
          </cell>
          <cell r="F603">
            <v>19103500.6</v>
          </cell>
          <cell r="H603">
            <v>197249.399999999</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-3243529.43</v>
          </cell>
        </row>
        <row r="607">
          <cell r="A607">
            <v>772020</v>
          </cell>
          <cell r="C607" t="str">
            <v>Claims-General Liability</v>
          </cell>
          <cell r="D607">
            <v>1109116.42</v>
          </cell>
          <cell r="F607">
            <v>249026.8</v>
          </cell>
          <cell r="H607">
            <v>860089.62</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v>
          </cell>
        </row>
        <row r="611">
          <cell r="A611">
            <v>790010</v>
          </cell>
          <cell r="C611" t="str">
            <v>Travel-Expenses</v>
          </cell>
          <cell r="D611">
            <v>363891.34</v>
          </cell>
          <cell r="F611">
            <v>285847.84</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61534.87</v>
          </cell>
        </row>
        <row r="616">
          <cell r="A616">
            <v>791005</v>
          </cell>
          <cell r="C616" t="str">
            <v>General -Registration Fees</v>
          </cell>
          <cell r="D616">
            <v>102581.09</v>
          </cell>
          <cell r="F616">
            <v>109059.22</v>
          </cell>
          <cell r="H616">
            <v>-6478.13</v>
          </cell>
        </row>
        <row r="617">
          <cell r="A617">
            <v>791010</v>
          </cell>
          <cell r="C617" t="str">
            <v>Training-Materials and Other</v>
          </cell>
          <cell r="D617">
            <v>50838.09</v>
          </cell>
          <cell r="F617">
            <v>53734.95</v>
          </cell>
          <cell r="H617">
            <v>-2896.86</v>
          </cell>
        </row>
        <row r="618">
          <cell r="A618" t="str">
            <v>Training</v>
          </cell>
          <cell r="D618">
            <v>153419.18</v>
          </cell>
          <cell r="F618">
            <v>162794.17</v>
          </cell>
          <cell r="H618">
            <v>-9374.99000000002</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15159130.79</v>
          </cell>
          <cell r="F624">
            <v>10998736.84</v>
          </cell>
          <cell r="H624">
            <v>4160393.95</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3916761.7</v>
          </cell>
        </row>
        <row r="628">
          <cell r="A628">
            <v>530150</v>
          </cell>
          <cell r="C628" t="str">
            <v>Gain on Claim Settlement</v>
          </cell>
          <cell r="D628">
            <v>-33440422.74</v>
          </cell>
          <cell r="F628">
            <v>0</v>
          </cell>
          <cell r="H628">
            <v>-33440422.74</v>
          </cell>
        </row>
        <row r="629">
          <cell r="A629" t="str">
            <v>Gain on Claim Settlement</v>
          </cell>
          <cell r="D629">
            <v>-33440422.74</v>
          </cell>
          <cell r="F629">
            <v>0</v>
          </cell>
          <cell r="H629">
            <v>-33440422.74</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6179.42</v>
          </cell>
        </row>
        <row r="633">
          <cell r="A633">
            <v>751032</v>
          </cell>
          <cell r="C633" t="str">
            <v>PJM - LT Reliability Planning &amp; Standar</v>
          </cell>
          <cell r="D633">
            <v>8593.98</v>
          </cell>
          <cell r="F633">
            <v>2586.43</v>
          </cell>
          <cell r="H633">
            <v>6007.55</v>
          </cell>
        </row>
        <row r="634">
          <cell r="A634">
            <v>751033</v>
          </cell>
          <cell r="C634" t="str">
            <v>PJM - Market Facilitation, Monitoring &amp;</v>
          </cell>
          <cell r="D634">
            <v>26354.03</v>
          </cell>
          <cell r="F634">
            <v>16362.95</v>
          </cell>
          <cell r="H634">
            <v>9991.08</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v>
          </cell>
        </row>
        <row r="638">
          <cell r="A638">
            <v>793010</v>
          </cell>
          <cell r="C638" t="str">
            <v>Donations-Nondeductible</v>
          </cell>
          <cell r="D638">
            <v>162652.05</v>
          </cell>
          <cell r="F638">
            <v>177533.97</v>
          </cell>
          <cell r="H638">
            <v>-14881.92</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v>
          </cell>
        </row>
        <row r="641">
          <cell r="A641">
            <v>794020</v>
          </cell>
          <cell r="C641" t="str">
            <v>General-Utilities</v>
          </cell>
          <cell r="D641">
            <v>60906.82</v>
          </cell>
          <cell r="F641">
            <v>33755.23</v>
          </cell>
          <cell r="H641">
            <v>27151.59</v>
          </cell>
        </row>
        <row r="642">
          <cell r="A642">
            <v>794035</v>
          </cell>
          <cell r="C642" t="str">
            <v>General-Fees and Licenses</v>
          </cell>
          <cell r="D642">
            <v>5758350.11</v>
          </cell>
          <cell r="F642">
            <v>2198018.32</v>
          </cell>
          <cell r="H642">
            <v>3560331.79</v>
          </cell>
        </row>
        <row r="643">
          <cell r="A643">
            <v>794038</v>
          </cell>
          <cell r="C643" t="str">
            <v>Bank Fees</v>
          </cell>
          <cell r="D643">
            <v>1017451.49</v>
          </cell>
          <cell r="F643">
            <v>1036973.23</v>
          </cell>
          <cell r="H643">
            <v>-19521.74</v>
          </cell>
        </row>
        <row r="644">
          <cell r="A644">
            <v>794040</v>
          </cell>
          <cell r="C644" t="str">
            <v>General-Postage</v>
          </cell>
          <cell r="D644">
            <v>3185205.99</v>
          </cell>
          <cell r="F644">
            <v>3225187.79</v>
          </cell>
          <cell r="H644">
            <v>-39981.7999999998</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v>
          </cell>
        </row>
        <row r="647">
          <cell r="A647">
            <v>795010</v>
          </cell>
          <cell r="C647" t="str">
            <v>General-Meals</v>
          </cell>
          <cell r="D647">
            <v>394462.67</v>
          </cell>
          <cell r="F647">
            <v>311257.34</v>
          </cell>
          <cell r="H647">
            <v>83205.33</v>
          </cell>
        </row>
        <row r="648">
          <cell r="A648">
            <v>795012</v>
          </cell>
          <cell r="C648" t="str">
            <v>General-Entertainment</v>
          </cell>
          <cell r="D648">
            <v>256689.3</v>
          </cell>
          <cell r="F648">
            <v>292193.68</v>
          </cell>
          <cell r="H648">
            <v>-35504.38</v>
          </cell>
        </row>
        <row r="649">
          <cell r="A649">
            <v>795015</v>
          </cell>
          <cell r="C649" t="str">
            <v>General-Office Supplies and Expense</v>
          </cell>
          <cell r="D649">
            <v>761885.95</v>
          </cell>
          <cell r="F649">
            <v>787527.34</v>
          </cell>
          <cell r="H649">
            <v>-25641.39</v>
          </cell>
        </row>
        <row r="650">
          <cell r="A650">
            <v>795016</v>
          </cell>
          <cell r="C650" t="str">
            <v>General-Telephone</v>
          </cell>
          <cell r="D650">
            <v>624763.57</v>
          </cell>
          <cell r="F650">
            <v>573755.56</v>
          </cell>
          <cell r="H650">
            <v>51008.0099999999</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v>
          </cell>
        </row>
        <row r="653">
          <cell r="A653">
            <v>795019</v>
          </cell>
          <cell r="C653" t="str">
            <v>General-Noncash Employee Small Gifts</v>
          </cell>
          <cell r="D653">
            <v>8673.54</v>
          </cell>
          <cell r="F653">
            <v>7246.52</v>
          </cell>
          <cell r="H653">
            <v>1427.02</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11588766.04</v>
          </cell>
          <cell r="H658">
            <v>2548311.89</v>
          </cell>
        </row>
        <row r="659">
          <cell r="A659">
            <v>783500</v>
          </cell>
          <cell r="C659" t="str">
            <v>CIAC-Taxable</v>
          </cell>
          <cell r="D659">
            <v>-20045809.42</v>
          </cell>
          <cell r="F659">
            <v>-17189776.91</v>
          </cell>
          <cell r="H659">
            <v>-2856032.51</v>
          </cell>
        </row>
        <row r="660">
          <cell r="A660">
            <v>783510</v>
          </cell>
          <cell r="C660" t="str">
            <v>CIAC-Non Taxable</v>
          </cell>
          <cell r="D660">
            <v>-3907864.63</v>
          </cell>
          <cell r="F660">
            <v>-4570961.81</v>
          </cell>
          <cell r="H660">
            <v>663097.18</v>
          </cell>
        </row>
        <row r="661">
          <cell r="A661">
            <v>783520</v>
          </cell>
          <cell r="C661" t="str">
            <v>CIAC-Nonstandard Taxable</v>
          </cell>
          <cell r="D661">
            <v>-1339817</v>
          </cell>
          <cell r="F661">
            <v>-2865743.33</v>
          </cell>
          <cell r="H661">
            <v>1525926.33</v>
          </cell>
        </row>
        <row r="662">
          <cell r="A662">
            <v>783600</v>
          </cell>
          <cell r="C662" t="str">
            <v>AFUDC to Projects</v>
          </cell>
          <cell r="D662">
            <v>8020186.01</v>
          </cell>
          <cell r="F662">
            <v>4027941.67</v>
          </cell>
          <cell r="H662">
            <v>3992244.34</v>
          </cell>
        </row>
        <row r="663">
          <cell r="A663">
            <v>783700</v>
          </cell>
          <cell r="C663" t="str">
            <v>Salvage</v>
          </cell>
          <cell r="D663">
            <v>-252494.93</v>
          </cell>
          <cell r="F663">
            <v>-246969.56</v>
          </cell>
          <cell r="H663">
            <v>-5525.37</v>
          </cell>
        </row>
        <row r="664">
          <cell r="A664">
            <v>783800</v>
          </cell>
          <cell r="C664" t="str">
            <v>Reimbursed Costs</v>
          </cell>
          <cell r="D664">
            <v>-15579950.28</v>
          </cell>
          <cell r="F664">
            <v>-632213.17</v>
          </cell>
          <cell r="H664">
            <v>-14947737.11</v>
          </cell>
        </row>
        <row r="665">
          <cell r="A665">
            <v>783999</v>
          </cell>
          <cell r="C665" t="str">
            <v>Costs Transferred</v>
          </cell>
          <cell r="D665">
            <v>-105307.37</v>
          </cell>
          <cell r="F665">
            <v>-506495.09</v>
          </cell>
          <cell r="H665">
            <v>401187.72</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6643300.38</v>
          </cell>
          <cell r="F668">
            <v>-294462.67</v>
          </cell>
          <cell r="H668">
            <v>6937763.05</v>
          </cell>
        </row>
        <row r="669">
          <cell r="A669">
            <v>800025</v>
          </cell>
          <cell r="C669" t="str">
            <v>Transfer-Facility Costs</v>
          </cell>
          <cell r="D669">
            <v>0</v>
          </cell>
          <cell r="F669">
            <v>-0.03</v>
          </cell>
          <cell r="H669">
            <v>0.03</v>
          </cell>
        </row>
        <row r="670">
          <cell r="A670" t="str">
            <v>Costs Transferred</v>
          </cell>
          <cell r="D670">
            <v>-24139023.27</v>
          </cell>
          <cell r="F670">
            <v>-22342360.9</v>
          </cell>
          <cell r="H670">
            <v>-1796662.37</v>
          </cell>
        </row>
        <row r="671">
          <cell r="A671">
            <v>783000</v>
          </cell>
          <cell r="C671" t="str">
            <v>Settlement-Assets</v>
          </cell>
          <cell r="D671">
            <v>-272972396.81</v>
          </cell>
          <cell r="F671">
            <v>-240053022.35</v>
          </cell>
          <cell r="H671">
            <v>-32919374.46</v>
          </cell>
        </row>
        <row r="672">
          <cell r="A672">
            <v>783005</v>
          </cell>
          <cell r="C672" t="str">
            <v>Settlement-CIAC</v>
          </cell>
          <cell r="D672">
            <v>25294435.05</v>
          </cell>
          <cell r="F672">
            <v>24623538.05</v>
          </cell>
          <cell r="H672">
            <v>670897</v>
          </cell>
        </row>
        <row r="673">
          <cell r="A673">
            <v>783010</v>
          </cell>
          <cell r="C673" t="str">
            <v>Settlement-AFUDC</v>
          </cell>
          <cell r="D673">
            <v>-8020186.01</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5525.37</v>
          </cell>
        </row>
        <row r="676">
          <cell r="A676">
            <v>783100</v>
          </cell>
          <cell r="C676" t="str">
            <v>Settlement-Deferred Costs</v>
          </cell>
          <cell r="D676">
            <v>-2582524.91</v>
          </cell>
          <cell r="F676">
            <v>-23443278.36</v>
          </cell>
          <cell r="H676">
            <v>20860753.45</v>
          </cell>
        </row>
        <row r="677">
          <cell r="A677">
            <v>796010</v>
          </cell>
          <cell r="C677" t="str">
            <v>Business Transformation Costs</v>
          </cell>
          <cell r="D677">
            <v>-1290546.81</v>
          </cell>
          <cell r="F677">
            <v>0</v>
          </cell>
          <cell r="H677">
            <v>-1290546.81</v>
          </cell>
        </row>
        <row r="678">
          <cell r="A678" t="str">
            <v>Capitalized Costs</v>
          </cell>
          <cell r="D678">
            <v>-260200948.92</v>
          </cell>
          <cell r="F678">
            <v>-242208689.64</v>
          </cell>
          <cell r="H678">
            <v>-17992259.28</v>
          </cell>
        </row>
        <row r="679">
          <cell r="A679">
            <v>798502</v>
          </cell>
          <cell r="C679" t="str">
            <v>Direct Charge Debit</v>
          </cell>
          <cell r="D679">
            <v>96510830.8</v>
          </cell>
          <cell r="F679">
            <v>97141526.28</v>
          </cell>
          <cell r="H679">
            <v>-630695.480000004</v>
          </cell>
        </row>
        <row r="680">
          <cell r="A680">
            <v>798503</v>
          </cell>
          <cell r="C680" t="str">
            <v>Direct Charge Credit</v>
          </cell>
          <cell r="D680">
            <v>-52901210.77</v>
          </cell>
          <cell r="F680">
            <v>-57139012.02</v>
          </cell>
          <cell r="H680">
            <v>4237801.25</v>
          </cell>
        </row>
        <row r="681">
          <cell r="A681">
            <v>798504</v>
          </cell>
          <cell r="C681" t="str">
            <v>Assessment Debit</v>
          </cell>
          <cell r="D681">
            <v>132848422.27</v>
          </cell>
          <cell r="F681">
            <v>123458452.13</v>
          </cell>
          <cell r="H681">
            <v>9389970.14</v>
          </cell>
        </row>
        <row r="682">
          <cell r="A682">
            <v>798505</v>
          </cell>
          <cell r="C682" t="str">
            <v>Assessment Credit</v>
          </cell>
          <cell r="D682">
            <v>-48594461.49</v>
          </cell>
          <cell r="F682">
            <v>-49826576.11</v>
          </cell>
          <cell r="H682">
            <v>1232114.62</v>
          </cell>
        </row>
        <row r="683">
          <cell r="A683">
            <v>798506</v>
          </cell>
          <cell r="C683" t="str">
            <v>Overhead Debit</v>
          </cell>
          <cell r="D683">
            <v>816197.78</v>
          </cell>
          <cell r="F683">
            <v>697584.69</v>
          </cell>
          <cell r="H683">
            <v>118613.09</v>
          </cell>
        </row>
        <row r="684">
          <cell r="A684">
            <v>798507</v>
          </cell>
          <cell r="C684" t="str">
            <v>Overhead Credit</v>
          </cell>
          <cell r="D684">
            <v>-816197.78</v>
          </cell>
          <cell r="F684">
            <v>-697584.69</v>
          </cell>
          <cell r="H684">
            <v>-118613.09</v>
          </cell>
        </row>
        <row r="685">
          <cell r="A685">
            <v>798508</v>
          </cell>
          <cell r="C685" t="str">
            <v>Order Settlmt Debit</v>
          </cell>
          <cell r="D685">
            <v>37043253.89</v>
          </cell>
          <cell r="F685">
            <v>38998134.45</v>
          </cell>
          <cell r="H685">
            <v>-1954880.56</v>
          </cell>
        </row>
        <row r="686">
          <cell r="A686">
            <v>798509</v>
          </cell>
          <cell r="C686" t="str">
            <v>Order Settlmt Credit</v>
          </cell>
          <cell r="D686">
            <v>-37043253.89</v>
          </cell>
          <cell r="F686">
            <v>-38998134.45</v>
          </cell>
          <cell r="H686">
            <v>1954880.56</v>
          </cell>
        </row>
        <row r="687">
          <cell r="A687" t="str">
            <v>Business Area Clearing</v>
          </cell>
          <cell r="D687">
            <v>127863580.81</v>
          </cell>
          <cell r="F687">
            <v>113634390.28</v>
          </cell>
          <cell r="H687">
            <v>14229190.53</v>
          </cell>
        </row>
        <row r="688">
          <cell r="A688" t="str">
            <v>Total Operation and Maintenance</v>
          </cell>
          <cell r="D688">
            <v>265942519.19</v>
          </cell>
          <cell r="F688">
            <v>275227934.13</v>
          </cell>
          <cell r="H688">
            <v>-9285414.94</v>
          </cell>
        </row>
        <row r="689">
          <cell r="H689">
            <v>0</v>
          </cell>
        </row>
        <row r="690">
          <cell r="A690">
            <v>780005</v>
          </cell>
          <cell r="C690" t="str">
            <v>Amortization-General</v>
          </cell>
          <cell r="D690">
            <v>427606.8</v>
          </cell>
          <cell r="F690">
            <v>427486</v>
          </cell>
          <cell r="H690">
            <v>120.799999999988</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v>
          </cell>
          <cell r="F693">
            <v>9299323.7</v>
          </cell>
          <cell r="H693">
            <v>-390780.229999999</v>
          </cell>
        </row>
        <row r="694">
          <cell r="A694">
            <v>781005</v>
          </cell>
          <cell r="C694" t="str">
            <v>Depreciation-Regulated</v>
          </cell>
          <cell r="D694">
            <v>141814145.03</v>
          </cell>
          <cell r="F694">
            <v>156380197.88</v>
          </cell>
          <cell r="H694">
            <v>-14566052.85</v>
          </cell>
        </row>
        <row r="695">
          <cell r="A695">
            <v>781010</v>
          </cell>
          <cell r="C695" t="str">
            <v>Depreciation-Unregulated</v>
          </cell>
          <cell r="D695">
            <v>79169</v>
          </cell>
          <cell r="F695">
            <v>79169</v>
          </cell>
          <cell r="H695">
            <v>0</v>
          </cell>
        </row>
        <row r="696">
          <cell r="A696" t="str">
            <v>Depreciation and Amortization</v>
          </cell>
          <cell r="D696">
            <v>151379714.07</v>
          </cell>
          <cell r="F696">
            <v>166186176.58</v>
          </cell>
          <cell r="H696">
            <v>-14806462.51</v>
          </cell>
        </row>
        <row r="697">
          <cell r="H697">
            <v>0</v>
          </cell>
        </row>
        <row r="698">
          <cell r="A698">
            <v>797020</v>
          </cell>
          <cell r="C698" t="str">
            <v>Taxes-Other than Income Taxes</v>
          </cell>
          <cell r="D698">
            <v>143419250</v>
          </cell>
          <cell r="F698">
            <v>127769102.12</v>
          </cell>
          <cell r="H698">
            <v>15650147.88</v>
          </cell>
        </row>
        <row r="699">
          <cell r="A699">
            <v>797022</v>
          </cell>
          <cell r="C699" t="str">
            <v>Property Tax Expense</v>
          </cell>
          <cell r="D699">
            <v>37730794.85</v>
          </cell>
          <cell r="F699">
            <v>36733024.14</v>
          </cell>
          <cell r="H699">
            <v>997770.710000001</v>
          </cell>
        </row>
        <row r="700">
          <cell r="A700">
            <v>797025</v>
          </cell>
          <cell r="C700" t="str">
            <v>Taxes-Gross Receipts Tax</v>
          </cell>
          <cell r="D700">
            <v>108384558.26</v>
          </cell>
          <cell r="F700">
            <v>108608082.38</v>
          </cell>
          <cell r="H700">
            <v>-223524.11999999</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289523515.26</v>
          </cell>
          <cell r="F703">
            <v>273112234.32</v>
          </cell>
          <cell r="H703">
            <v>16411280.94</v>
          </cell>
        </row>
        <row r="704">
          <cell r="H704">
            <v>0</v>
          </cell>
        </row>
        <row r="705">
          <cell r="A705" t="str">
            <v>Total Operating Expenses</v>
          </cell>
          <cell r="D705">
            <v>1889349566.03</v>
          </cell>
          <cell r="F705">
            <v>1978616675.64</v>
          </cell>
          <cell r="H705">
            <v>-89267109.6100001</v>
          </cell>
        </row>
        <row r="706">
          <cell r="A706" t="str">
            <v>Income from Operations</v>
          </cell>
          <cell r="D706">
            <v>-248210219.83</v>
          </cell>
          <cell r="F706">
            <v>-200114506.85</v>
          </cell>
          <cell r="H706">
            <v>-48095712.98</v>
          </cell>
        </row>
        <row r="707">
          <cell r="H707">
            <v>0</v>
          </cell>
        </row>
        <row r="708">
          <cell r="A708" t="str">
            <v>Other Income and Expense</v>
          </cell>
          <cell r="H708">
            <v>0</v>
          </cell>
        </row>
        <row r="709">
          <cell r="H709">
            <v>0</v>
          </cell>
        </row>
        <row r="710">
          <cell r="A710">
            <v>640000</v>
          </cell>
          <cell r="C710" t="str">
            <v>Interest and Dividend Income</v>
          </cell>
          <cell r="D710">
            <v>-9372366.08</v>
          </cell>
          <cell r="F710">
            <v>-4212726.02</v>
          </cell>
          <cell r="H710">
            <v>-5159640.06</v>
          </cell>
        </row>
        <row r="711">
          <cell r="A711" t="str">
            <v>Interest and Dividend Income</v>
          </cell>
          <cell r="D711">
            <v>-9372366.08</v>
          </cell>
          <cell r="F711">
            <v>-4212726.02</v>
          </cell>
          <cell r="H711">
            <v>-5159640.06</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62202179.41</v>
          </cell>
          <cell r="F716">
            <v>68670749.61</v>
          </cell>
          <cell r="H716">
            <v>-6468570.2</v>
          </cell>
        </row>
        <row r="717">
          <cell r="A717">
            <v>782010</v>
          </cell>
          <cell r="C717" t="str">
            <v>Interest-Other</v>
          </cell>
          <cell r="D717">
            <v>12513445.21</v>
          </cell>
          <cell r="F717">
            <v>3400081.15</v>
          </cell>
          <cell r="H717">
            <v>9113364.06</v>
          </cell>
        </row>
        <row r="718">
          <cell r="A718">
            <v>782015</v>
          </cell>
          <cell r="C718" t="str">
            <v>Amortization of Debt Discount (L/T Debt</v>
          </cell>
          <cell r="D718">
            <v>1127557.35</v>
          </cell>
          <cell r="F718">
            <v>1122173.36</v>
          </cell>
          <cell r="H718">
            <v>5383.98999999999</v>
          </cell>
        </row>
        <row r="719">
          <cell r="A719">
            <v>782016</v>
          </cell>
          <cell r="C719" t="str">
            <v>Amortization of Debt Discount (S/T Debt</v>
          </cell>
          <cell r="D719">
            <v>3689094.93</v>
          </cell>
          <cell r="F719">
            <v>822840.59</v>
          </cell>
          <cell r="H719">
            <v>2866254.34</v>
          </cell>
        </row>
        <row r="720">
          <cell r="A720">
            <v>782017</v>
          </cell>
          <cell r="C720" t="str">
            <v>Amortization of Debt Issuance Costs - M</v>
          </cell>
          <cell r="D720">
            <v>100076.3</v>
          </cell>
          <cell r="F720">
            <v>120308.89</v>
          </cell>
          <cell r="H720">
            <v>-20232.59</v>
          </cell>
        </row>
        <row r="721">
          <cell r="A721">
            <v>782020</v>
          </cell>
          <cell r="C721" t="str">
            <v>Amortization of Reacquired Debt</v>
          </cell>
          <cell r="D721">
            <v>2861145.13</v>
          </cell>
          <cell r="F721">
            <v>2823817.92</v>
          </cell>
          <cell r="H721">
            <v>37327.21</v>
          </cell>
        </row>
        <row r="722">
          <cell r="A722" t="str">
            <v>Interest Expense</v>
          </cell>
          <cell r="D722">
            <v>82538199.72</v>
          </cell>
          <cell r="F722">
            <v>76963325.1</v>
          </cell>
          <cell r="H722">
            <v>5574874.62</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81745634.22</v>
          </cell>
          <cell r="F729">
            <v>73993539.62</v>
          </cell>
          <cell r="H729">
            <v>7752094.59999999</v>
          </cell>
        </row>
        <row r="730">
          <cell r="H730">
            <v>0</v>
          </cell>
        </row>
        <row r="731">
          <cell r="A731" t="str">
            <v>Various Other Income and Expense</v>
          </cell>
          <cell r="H731">
            <v>0</v>
          </cell>
        </row>
        <row r="732">
          <cell r="H732">
            <v>0</v>
          </cell>
        </row>
        <row r="733">
          <cell r="A733">
            <v>620000</v>
          </cell>
          <cell r="C733" t="str">
            <v>Miscellaneous Nonoperating Income</v>
          </cell>
          <cell r="D733">
            <v>-6797820.13</v>
          </cell>
          <cell r="F733">
            <v>-7741830.23</v>
          </cell>
          <cell r="H733">
            <v>944010.100000001</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-7895876.26</v>
          </cell>
          <cell r="F736">
            <v>-9670436.65</v>
          </cell>
          <cell r="H736">
            <v>1774560.39</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v>
          </cell>
        </row>
        <row r="740">
          <cell r="A740" t="str">
            <v>AFUDC</v>
          </cell>
          <cell r="D740">
            <v>-3287877.97</v>
          </cell>
          <cell r="F740">
            <v>-2567269.27</v>
          </cell>
          <cell r="H740">
            <v>-720608.7</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v>
          </cell>
          <cell r="F743">
            <v>-12424264.62</v>
          </cell>
          <cell r="H743">
            <v>880595.729999999</v>
          </cell>
        </row>
        <row r="744">
          <cell r="H744">
            <v>0</v>
          </cell>
        </row>
        <row r="745">
          <cell r="A745" t="str">
            <v>Total Other Income and Expense</v>
          </cell>
          <cell r="D745">
            <v>60829599.25</v>
          </cell>
          <cell r="F745">
            <v>57356548.98</v>
          </cell>
          <cell r="H745">
            <v>3473050.27</v>
          </cell>
        </row>
        <row r="746">
          <cell r="A746" t="str">
            <v>Income Before Preferred Div and Income Taxes</v>
          </cell>
          <cell r="D746">
            <v>-187380620.58</v>
          </cell>
          <cell r="F746">
            <v>-142757957.87</v>
          </cell>
          <cell r="H746">
            <v>-44622662.71</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v>
          </cell>
          <cell r="F754">
            <v>-141742957.09</v>
          </cell>
          <cell r="H754">
            <v>-45637663.49</v>
          </cell>
        </row>
        <row r="755">
          <cell r="H755">
            <v>0</v>
          </cell>
        </row>
        <row r="756">
          <cell r="A756">
            <v>797010</v>
          </cell>
          <cell r="C756" t="str">
            <v>Taxes-Federal Income Tax</v>
          </cell>
          <cell r="D756">
            <v>70657213.29</v>
          </cell>
          <cell r="F756">
            <v>15339334.5</v>
          </cell>
          <cell r="H756">
            <v>55317878.79</v>
          </cell>
        </row>
        <row r="757">
          <cell r="A757">
            <v>797015</v>
          </cell>
          <cell r="C757" t="str">
            <v>Taxes-State Inc Tax</v>
          </cell>
          <cell r="D757">
            <v>16122195.64</v>
          </cell>
          <cell r="F757">
            <v>1683823.43</v>
          </cell>
          <cell r="H757">
            <v>14438372.21</v>
          </cell>
        </row>
        <row r="758">
          <cell r="A758">
            <v>797035</v>
          </cell>
          <cell r="C758" t="str">
            <v>Taxes-Deferred Federal Income Taxes</v>
          </cell>
          <cell r="D758">
            <v>57236901.14</v>
          </cell>
          <cell r="F758">
            <v>124158904.9</v>
          </cell>
          <cell r="H758">
            <v>-66922003.76</v>
          </cell>
        </row>
        <row r="759">
          <cell r="A759">
            <v>797037</v>
          </cell>
          <cell r="C759" t="str">
            <v>Taxes-Deferred Federal Income Taxes - C</v>
          </cell>
          <cell r="D759">
            <v>-64293152.93</v>
          </cell>
          <cell r="F759">
            <v>-88256184.98</v>
          </cell>
          <cell r="H759">
            <v>23963032.05</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-14678739.29</v>
          </cell>
          <cell r="F761">
            <v>-28349709.49</v>
          </cell>
          <cell r="H761">
            <v>13670970.2</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v>
          </cell>
          <cell r="F765">
            <v>-2347112</v>
          </cell>
          <cell r="H765">
            <v>12827260.05</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v>
          </cell>
          <cell r="F768">
            <v>57399047.13</v>
          </cell>
          <cell r="H768">
            <v>4922701.25</v>
          </cell>
        </row>
        <row r="769">
          <cell r="H769">
            <v>0</v>
          </cell>
        </row>
        <row r="770">
          <cell r="A770" t="str">
            <v>Net Profit or Loss</v>
          </cell>
          <cell r="D770">
            <v>125058872.2</v>
          </cell>
          <cell r="F770">
            <v>84343909.96</v>
          </cell>
          <cell r="H770">
            <v>40714962.24</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2049032467.47308</v>
          </cell>
        </row>
        <row r="91">
          <cell r="D91">
            <v>423353722.911538</v>
          </cell>
        </row>
        <row r="92">
          <cell r="D92">
            <v>910926053.316923</v>
          </cell>
        </row>
        <row r="93">
          <cell r="D93">
            <v>343716216.375385</v>
          </cell>
        </row>
        <row r="106">
          <cell r="D106">
            <v>0</v>
          </cell>
        </row>
        <row r="107">
          <cell r="D107">
            <v>-1312115276.455</v>
          </cell>
        </row>
        <row r="108">
          <cell r="D108">
            <v>-920695444.445</v>
          </cell>
        </row>
        <row r="109">
          <cell r="D109">
            <v>357815973.535</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31588965.3150122</v>
          </cell>
        </row>
        <row r="247">
          <cell r="I247">
            <v>0</v>
          </cell>
        </row>
        <row r="248">
          <cell r="I248">
            <v>0</v>
          </cell>
        </row>
        <row r="249">
          <cell r="I249">
            <v>0</v>
          </cell>
        </row>
        <row r="280">
          <cell r="D280">
            <v>0.35</v>
          </cell>
        </row>
        <row r="281">
          <cell r="D281">
            <v>0.065</v>
          </cell>
        </row>
        <row r="282">
          <cell r="D282">
            <v>0</v>
          </cell>
        </row>
      </sheetData>
      <sheetData sheetId="1">
        <row r="7">
          <cell r="K7" t="str">
            <v>For the 12 months ended 12/31/11</v>
          </cell>
        </row>
        <row r="10">
          <cell r="D10" t="str">
            <v>Entergy Texas, Inc.</v>
          </cell>
        </row>
        <row r="26">
          <cell r="I26">
            <v>3521595.83333333</v>
          </cell>
        </row>
        <row r="89">
          <cell r="D89">
            <v>898951627.176923</v>
          </cell>
        </row>
        <row r="90">
          <cell r="D90">
            <v>852370423.914615</v>
          </cell>
        </row>
        <row r="91">
          <cell r="D91">
            <v>1258228537.03231</v>
          </cell>
        </row>
        <row r="92">
          <cell r="D92">
            <v>243683842.003846</v>
          </cell>
        </row>
        <row r="97">
          <cell r="D97">
            <v>581864765.98</v>
          </cell>
        </row>
        <row r="98">
          <cell r="D98">
            <v>253404466.33</v>
          </cell>
        </row>
        <row r="99">
          <cell r="D99">
            <v>276874742.81</v>
          </cell>
        </row>
        <row r="100">
          <cell r="D100">
            <v>127362573.13</v>
          </cell>
        </row>
        <row r="113">
          <cell r="D113">
            <v>-12048.04</v>
          </cell>
        </row>
        <row r="114">
          <cell r="D114">
            <v>-613908920.535</v>
          </cell>
        </row>
        <row r="115">
          <cell r="D115">
            <v>-469513464.805</v>
          </cell>
        </row>
        <row r="116">
          <cell r="D116">
            <v>237510767.49</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13395.2978536</v>
          </cell>
        </row>
        <row r="233">
          <cell r="I233">
            <v>1858303.89076923</v>
          </cell>
        </row>
        <row r="234">
          <cell r="I234">
            <v>13036121.7484615</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v>
          </cell>
        </row>
        <row r="325">
          <cell r="D325">
            <v>0.35</v>
          </cell>
        </row>
        <row r="326">
          <cell r="D326">
            <v>0</v>
          </cell>
        </row>
        <row r="327">
          <cell r="D327">
            <v>0</v>
          </cell>
        </row>
      </sheetData>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0.08172328277462</v>
          </cell>
          <cell r="C39">
            <v>0.0816407935322996</v>
          </cell>
        </row>
      </sheetData>
      <sheetData sheetId="5"/>
      <sheetData sheetId="6"/>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-19685.26</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47571059.06</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v>
          </cell>
        </row>
        <row r="8">
          <cell r="A8" t="str">
            <v>409104</v>
          </cell>
          <cell r="C8" t="str">
            <v>FIT SBU Effective Tax Rate</v>
          </cell>
          <cell r="E8">
            <v>0</v>
          </cell>
          <cell r="F8">
            <v>0</v>
          </cell>
          <cell r="G8">
            <v>0</v>
          </cell>
          <cell r="H8">
            <v>19635875.76</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-18284100.31</v>
          </cell>
          <cell r="K15">
            <v>-316943.57</v>
          </cell>
          <cell r="L15">
            <v>-151462.57</v>
          </cell>
          <cell r="M15">
            <v>3534707.62</v>
          </cell>
          <cell r="N15">
            <v>-175.06</v>
          </cell>
          <cell r="O15">
            <v>-273.6</v>
          </cell>
          <cell r="P15">
            <v>-3575438.75</v>
          </cell>
          <cell r="Q15">
            <v>0</v>
          </cell>
          <cell r="R15">
            <v>0</v>
          </cell>
          <cell r="S15">
            <v>-5035933.85</v>
          </cell>
          <cell r="T15">
            <v>0</v>
          </cell>
          <cell r="U15">
            <v>0</v>
          </cell>
          <cell r="V15">
            <v>-54902.28</v>
          </cell>
          <cell r="W15">
            <v>0</v>
          </cell>
          <cell r="X15">
            <v>0</v>
          </cell>
          <cell r="Y15">
            <v>-6451.17</v>
          </cell>
          <cell r="Z15">
            <v>223058.15</v>
          </cell>
          <cell r="AA15">
            <v>-982271.35</v>
          </cell>
          <cell r="AB15">
            <v>-6556454.17</v>
          </cell>
          <cell r="AC15">
            <v>800405.23</v>
          </cell>
          <cell r="AD15">
            <v>277832.16</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v>
          </cell>
          <cell r="F28">
            <v>0</v>
          </cell>
          <cell r="G28">
            <v>-105349.34</v>
          </cell>
          <cell r="H28">
            <v>0</v>
          </cell>
          <cell r="I28">
            <v>-18355.17</v>
          </cell>
          <cell r="J28">
            <v>12192793</v>
          </cell>
          <cell r="K28">
            <v>-6985.16</v>
          </cell>
          <cell r="L28">
            <v>0</v>
          </cell>
          <cell r="M28">
            <v>11062462.46</v>
          </cell>
          <cell r="N28">
            <v>0</v>
          </cell>
          <cell r="O28">
            <v>0</v>
          </cell>
          <cell r="P28">
            <v>3574530.62</v>
          </cell>
          <cell r="Q28">
            <v>-163083.55</v>
          </cell>
          <cell r="R28">
            <v>1431872</v>
          </cell>
          <cell r="S28">
            <v>4261769.51</v>
          </cell>
          <cell r="T28">
            <v>0</v>
          </cell>
          <cell r="U28">
            <v>0</v>
          </cell>
          <cell r="V28">
            <v>0</v>
          </cell>
          <cell r="W28">
            <v>0</v>
          </cell>
          <cell r="X28">
            <v>0</v>
          </cell>
          <cell r="Y28">
            <v>0</v>
          </cell>
          <cell r="Z28">
            <v>0</v>
          </cell>
          <cell r="AA28">
            <v>2077907.3</v>
          </cell>
          <cell r="AB28">
            <v>6567594.2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v>
          </cell>
          <cell r="H37">
            <v>19606053.55</v>
          </cell>
          <cell r="I37">
            <v>-554970.76</v>
          </cell>
          <cell r="J37">
            <v>3578134.42</v>
          </cell>
          <cell r="K37">
            <v>-361273.73</v>
          </cell>
          <cell r="L37">
            <v>-151462.57</v>
          </cell>
          <cell r="M37">
            <v>-662489.949999999</v>
          </cell>
          <cell r="N37">
            <v>-662511.06</v>
          </cell>
          <cell r="O37">
            <v>-273.6</v>
          </cell>
          <cell r="P37">
            <v>-908.129999999888</v>
          </cell>
          <cell r="Q37">
            <v>-163083.55</v>
          </cell>
          <cell r="R37">
            <v>1431872</v>
          </cell>
          <cell r="S37">
            <v>-783736.34</v>
          </cell>
          <cell r="T37">
            <v>624542</v>
          </cell>
          <cell r="U37">
            <v>5784.57</v>
          </cell>
          <cell r="V37">
            <v>-54902.28</v>
          </cell>
          <cell r="W37">
            <v>21322899.64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-19685.26</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Total Operating Revenues</v>
          </cell>
          <cell r="D20">
            <v>2716</v>
          </cell>
          <cell r="E20">
            <v>10</v>
          </cell>
          <cell r="F20">
            <v>0</v>
          </cell>
          <cell r="G20">
            <v>0</v>
          </cell>
          <cell r="I20">
            <v>2726</v>
          </cell>
          <cell r="L20" t="str">
            <v>   Total Operating Revenues</v>
          </cell>
          <cell r="N20">
            <v>3465</v>
          </cell>
          <cell r="P20">
            <v>0</v>
          </cell>
          <cell r="R20">
            <v>0</v>
          </cell>
          <cell r="T20">
            <v>3465</v>
          </cell>
          <cell r="W20" t="str">
            <v>   Total Operating Revenues</v>
          </cell>
          <cell r="Y20">
            <v>2726</v>
          </cell>
          <cell r="AA20">
            <v>3465</v>
          </cell>
          <cell r="AB20">
            <v>3</v>
          </cell>
          <cell r="AD20">
            <v>0</v>
          </cell>
          <cell r="AF20">
            <v>-14.047</v>
          </cell>
          <cell r="AH20">
            <v>6179.953</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v>
          </cell>
          <cell r="AH26">
            <v>61.8624987368569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Total Operating Expenses</v>
          </cell>
          <cell r="D28">
            <v>2052</v>
          </cell>
          <cell r="E28">
            <v>16</v>
          </cell>
          <cell r="F28">
            <v>-5</v>
          </cell>
          <cell r="G28">
            <v>0</v>
          </cell>
          <cell r="I28">
            <v>2063</v>
          </cell>
          <cell r="L28" t="str">
            <v>   Total Operating Expenses</v>
          </cell>
          <cell r="N28">
            <v>2836</v>
          </cell>
          <cell r="P28">
            <v>0</v>
          </cell>
          <cell r="R28">
            <v>0</v>
          </cell>
          <cell r="T28">
            <v>2836</v>
          </cell>
          <cell r="W28" t="str">
            <v>   Total Operating Expenses</v>
          </cell>
          <cell r="Y28">
            <v>2063</v>
          </cell>
          <cell r="AA28">
            <v>2836</v>
          </cell>
          <cell r="AB28">
            <v>0</v>
          </cell>
          <cell r="AD28">
            <v>-45</v>
          </cell>
          <cell r="AF28">
            <v>-41.2845012631431</v>
          </cell>
          <cell r="AH28">
            <v>4812.71549873686</v>
          </cell>
        </row>
        <row r="29">
          <cell r="A29" t="str">
            <v>Operating Income </v>
          </cell>
          <cell r="D29">
            <v>664</v>
          </cell>
          <cell r="E29">
            <v>-6</v>
          </cell>
          <cell r="F29">
            <v>5</v>
          </cell>
          <cell r="G29">
            <v>0</v>
          </cell>
          <cell r="I29">
            <v>663</v>
          </cell>
          <cell r="K29" t="str">
            <v>Operating Income </v>
          </cell>
          <cell r="N29">
            <v>629</v>
          </cell>
          <cell r="P29">
            <v>0</v>
          </cell>
          <cell r="R29">
            <v>0</v>
          </cell>
          <cell r="T29">
            <v>629</v>
          </cell>
          <cell r="V29" t="str">
            <v>Operating Income </v>
          </cell>
          <cell r="Y29">
            <v>663</v>
          </cell>
          <cell r="AA29">
            <v>629</v>
          </cell>
          <cell r="AB29">
            <v>3</v>
          </cell>
          <cell r="AD29">
            <v>45</v>
          </cell>
          <cell r="AF29">
            <v>27.2375012631431</v>
          </cell>
          <cell r="AH29">
            <v>1367.23750126314</v>
          </cell>
        </row>
        <row r="30">
          <cell r="A30" t="str">
            <v>Other Income and Deductions</v>
          </cell>
          <cell r="K30" t="str">
            <v>Other Income and Deductions</v>
          </cell>
          <cell r="V30" t="str">
            <v>Other Income and Deductions</v>
          </cell>
        </row>
        <row r="31">
          <cell r="B31" t="str">
            <v>Interest Expense</v>
          </cell>
          <cell r="D31">
            <v>-220</v>
          </cell>
          <cell r="G31">
            <v>-11.7619267956667</v>
          </cell>
          <cell r="I31">
            <v>-231.761926795667</v>
          </cell>
          <cell r="L31" t="str">
            <v>Interest Expense</v>
          </cell>
          <cell r="N31">
            <v>-270</v>
          </cell>
          <cell r="P31">
            <v>0</v>
          </cell>
          <cell r="R31">
            <v>0</v>
          </cell>
          <cell r="T31">
            <v>-270</v>
          </cell>
          <cell r="W31" t="str">
            <v>Interest Expense</v>
          </cell>
          <cell r="Y31">
            <v>-231.761926795667</v>
          </cell>
          <cell r="AA31">
            <v>-270</v>
          </cell>
          <cell r="AF31">
            <v>-11</v>
          </cell>
          <cell r="AH31">
            <v>-512.761926795667</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Total Other Income and Deductions</v>
          </cell>
          <cell r="D34">
            <v>-201</v>
          </cell>
          <cell r="E34">
            <v>6</v>
          </cell>
          <cell r="F34">
            <v>0</v>
          </cell>
          <cell r="G34">
            <v>-11.7619267956667</v>
          </cell>
          <cell r="I34">
            <v>-206.761926795667</v>
          </cell>
          <cell r="L34" t="str">
            <v>   Total Other Income and Deductions</v>
          </cell>
          <cell r="N34">
            <v>-184</v>
          </cell>
          <cell r="P34">
            <v>0</v>
          </cell>
          <cell r="R34">
            <v>0</v>
          </cell>
          <cell r="T34">
            <v>-184</v>
          </cell>
          <cell r="W34" t="str">
            <v>   Total Other Income and Deductions</v>
          </cell>
          <cell r="Y34">
            <v>-206.761926795667</v>
          </cell>
          <cell r="AA34">
            <v>-184</v>
          </cell>
          <cell r="AB34">
            <v>-3</v>
          </cell>
          <cell r="AD34">
            <v>0</v>
          </cell>
          <cell r="AF34">
            <v>-16</v>
          </cell>
          <cell r="AH34">
            <v>-409.761926795667</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-11.7619267956667</v>
          </cell>
          <cell r="I37">
            <v>456.238073204333</v>
          </cell>
          <cell r="K37" t="str">
            <v>and Extraordinary Item</v>
          </cell>
          <cell r="N37">
            <v>445</v>
          </cell>
          <cell r="P37">
            <v>0</v>
          </cell>
          <cell r="R37">
            <v>0</v>
          </cell>
          <cell r="T37">
            <v>445</v>
          </cell>
          <cell r="V37" t="str">
            <v>and Extraordinary Item</v>
          </cell>
          <cell r="Y37">
            <v>456.238073204333</v>
          </cell>
          <cell r="AA37">
            <v>445</v>
          </cell>
          <cell r="AB37">
            <v>0</v>
          </cell>
          <cell r="AD37">
            <v>45</v>
          </cell>
          <cell r="AF37">
            <v>11.2375012631431</v>
          </cell>
          <cell r="AH37">
            <v>957.475574467476</v>
          </cell>
        </row>
        <row r="38">
          <cell r="A38" t="str">
            <v> </v>
          </cell>
          <cell r="K38" t="str">
            <v> </v>
          </cell>
          <cell r="V38" t="str">
            <v> </v>
          </cell>
        </row>
        <row r="39">
          <cell r="A39" t="str">
            <v>Income Tax Expense </v>
          </cell>
          <cell r="D39">
            <v>174</v>
          </cell>
          <cell r="F39">
            <v>2</v>
          </cell>
          <cell r="G39">
            <v>-4.70477071826667</v>
          </cell>
          <cell r="I39">
            <v>171.295229281733</v>
          </cell>
          <cell r="K39" t="str">
            <v>Income Tax Expense </v>
          </cell>
          <cell r="N39">
            <v>102</v>
          </cell>
          <cell r="P39">
            <v>0</v>
          </cell>
          <cell r="R39">
            <v>0</v>
          </cell>
          <cell r="T39">
            <v>102</v>
          </cell>
          <cell r="V39" t="str">
            <v>Income Tax Expense </v>
          </cell>
          <cell r="Y39">
            <v>171.295229281733</v>
          </cell>
          <cell r="AA39">
            <v>102</v>
          </cell>
          <cell r="AB39">
            <v>0</v>
          </cell>
          <cell r="AD39">
            <v>18</v>
          </cell>
          <cell r="AF39">
            <v>38.09582</v>
          </cell>
          <cell r="AH39">
            <v>329.391049281733</v>
          </cell>
        </row>
        <row r="40">
          <cell r="A40" t="str">
            <v>Income Before Extraordinary Item</v>
          </cell>
          <cell r="D40">
            <v>289</v>
          </cell>
          <cell r="E40">
            <v>0</v>
          </cell>
          <cell r="F40">
            <v>3</v>
          </cell>
          <cell r="G40">
            <v>-7.0571560774</v>
          </cell>
          <cell r="I40">
            <v>284.9428439226</v>
          </cell>
          <cell r="K40" t="str">
            <v>Income Before Extraordinary Item</v>
          </cell>
          <cell r="N40">
            <v>343</v>
          </cell>
          <cell r="P40">
            <v>0</v>
          </cell>
          <cell r="R40">
            <v>0</v>
          </cell>
          <cell r="T40">
            <v>343</v>
          </cell>
          <cell r="V40" t="str">
            <v>Income Before Extraordinary Item</v>
          </cell>
          <cell r="Y40">
            <v>284.9428439226</v>
          </cell>
          <cell r="AA40">
            <v>343</v>
          </cell>
          <cell r="AB40">
            <v>0</v>
          </cell>
          <cell r="AD40">
            <v>27</v>
          </cell>
          <cell r="AF40">
            <v>-26.8583187368569</v>
          </cell>
          <cell r="AH40">
            <v>628.084525185743</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281.9428439226</v>
          </cell>
          <cell r="AA44">
            <v>339</v>
          </cell>
          <cell r="AB44">
            <v>0</v>
          </cell>
          <cell r="AD44">
            <v>27</v>
          </cell>
          <cell r="AF44">
            <v>-26.8583187368569</v>
          </cell>
          <cell r="AH44">
            <v>621.084525185743</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276.9428439226</v>
          </cell>
          <cell r="AA46">
            <v>339</v>
          </cell>
          <cell r="AB46">
            <v>0</v>
          </cell>
          <cell r="AD46">
            <v>27</v>
          </cell>
          <cell r="AF46">
            <v>-21.8583187368569</v>
          </cell>
          <cell r="AH46">
            <v>621.084525185743</v>
          </cell>
        </row>
        <row r="48">
          <cell r="V48" t="str">
            <v>Income Before Extraordinary</v>
          </cell>
        </row>
        <row r="49">
          <cell r="A49" t="str">
            <v>Income Before Extraordinary</v>
          </cell>
          <cell r="K49" t="str">
            <v>Income Before Extraordinary</v>
          </cell>
          <cell r="T49" t="str">
            <v>info only</v>
          </cell>
          <cell r="V49" t="str">
            <v>   Item per Share</v>
          </cell>
          <cell r="AH49">
            <v>1.94697343318415</v>
          </cell>
        </row>
        <row r="50">
          <cell r="A50" t="str">
            <v>   Item per Share</v>
          </cell>
          <cell r="D50" t="e">
            <v>#DIV/0!</v>
          </cell>
          <cell r="K50" t="str">
            <v>   Item per Share</v>
          </cell>
          <cell r="N50">
            <v>1.57846295444087</v>
          </cell>
          <cell r="T50">
            <v>1.79299529534762</v>
          </cell>
        </row>
        <row r="51">
          <cell r="V51" t="str">
            <v>Income Before Extraordinary</v>
          </cell>
        </row>
        <row r="52">
          <cell r="A52" t="str">
            <v>Income Before Extraordinary</v>
          </cell>
          <cell r="K52" t="str">
            <v>Income Before Extraordinary</v>
          </cell>
          <cell r="V52" t="str">
            <v>   Item per Share - Diluted</v>
          </cell>
          <cell r="AH52">
            <v>1.93484275758798</v>
          </cell>
        </row>
        <row r="53">
          <cell r="A53" t="str">
            <v>   Item per Share - Diluted</v>
          </cell>
          <cell r="D53" t="e">
            <v>#DIV/0!</v>
          </cell>
          <cell r="K53" t="str">
            <v>   Item per Share - Diluted</v>
          </cell>
          <cell r="N53">
            <v>1.57296157021003</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Table"/>
    </sheetNames>
    <sheetDataSet>
      <sheetData sheetId="0">
        <row r="75">
          <cell r="H75">
            <v>265507127.8</v>
          </cell>
        </row>
      </sheetData>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0.0558</v>
          </cell>
          <cell r="I4">
            <v>189.72</v>
          </cell>
          <cell r="L4">
            <v>-40</v>
          </cell>
          <cell r="N4">
            <v>3360</v>
          </cell>
        </row>
        <row r="5">
          <cell r="I5">
            <v>0</v>
          </cell>
        </row>
        <row r="6">
          <cell r="B6" t="str">
            <v>CP</v>
          </cell>
          <cell r="D6">
            <v>-272</v>
          </cell>
          <cell r="F6">
            <v>0.052</v>
          </cell>
          <cell r="I6">
            <v>-14.144</v>
          </cell>
          <cell r="K6" t="str">
            <v>$43 was originally used in the 8-K</v>
          </cell>
          <cell r="N6">
            <v>3088</v>
          </cell>
        </row>
        <row r="7">
          <cell r="A7" t="str">
            <v>6M shares</v>
          </cell>
          <cell r="B7" t="str">
            <v>Common(1)</v>
          </cell>
          <cell r="D7">
            <v>-230</v>
          </cell>
          <cell r="I7">
            <v>0</v>
          </cell>
          <cell r="K7" t="str">
            <v>the amount calc's to $66.5.  What </v>
          </cell>
          <cell r="N7">
            <v>2858</v>
          </cell>
        </row>
        <row r="8">
          <cell r="B8" t="str">
            <v>CP</v>
          </cell>
          <cell r="D8">
            <v>-106.4</v>
          </cell>
          <cell r="F8">
            <v>0.0565</v>
          </cell>
          <cell r="I8">
            <v>-6.0116</v>
          </cell>
          <cell r="K8" t="str">
            <v>is the difference?</v>
          </cell>
          <cell r="N8">
            <v>2751.6</v>
          </cell>
        </row>
        <row r="9">
          <cell r="B9" t="str">
            <v>CP</v>
          </cell>
          <cell r="D9">
            <v>-47.3</v>
          </cell>
          <cell r="F9">
            <v>0.0622</v>
          </cell>
          <cell r="I9">
            <v>-2.94206</v>
          </cell>
          <cell r="N9">
            <v>2704.3</v>
          </cell>
        </row>
        <row r="10">
          <cell r="B10" t="str">
            <v>Pref</v>
          </cell>
          <cell r="C10">
            <v>11.519894</v>
          </cell>
          <cell r="D10">
            <v>-534.2</v>
          </cell>
          <cell r="G10">
            <v>5.78</v>
          </cell>
          <cell r="I10">
            <v>0</v>
          </cell>
          <cell r="J10">
            <v>-43</v>
          </cell>
          <cell r="L10">
            <v>-5.9</v>
          </cell>
          <cell r="N10">
            <v>2164.2</v>
          </cell>
        </row>
        <row r="11">
          <cell r="B11" t="str">
            <v>LTD</v>
          </cell>
          <cell r="D11">
            <v>-730</v>
          </cell>
          <cell r="F11">
            <v>0.0822</v>
          </cell>
          <cell r="I11">
            <v>-60.006</v>
          </cell>
          <cell r="L11">
            <v>-18.5</v>
          </cell>
          <cell r="N11">
            <v>1415.7</v>
          </cell>
        </row>
        <row r="12">
          <cell r="B12" t="str">
            <v>LTD</v>
          </cell>
          <cell r="D12">
            <v>-30.3</v>
          </cell>
          <cell r="F12">
            <v>0.0938</v>
          </cell>
          <cell r="I12">
            <v>-2.84214</v>
          </cell>
          <cell r="L12">
            <v>-1.4</v>
          </cell>
          <cell r="N12">
            <v>1384</v>
          </cell>
        </row>
        <row r="13">
          <cell r="A13">
            <v>36187</v>
          </cell>
          <cell r="B13" t="str">
            <v>Common</v>
          </cell>
          <cell r="D13">
            <v>-6.8</v>
          </cell>
          <cell r="I13">
            <v>0</v>
          </cell>
          <cell r="N13">
            <v>1377.2</v>
          </cell>
        </row>
        <row r="14">
          <cell r="A14" t="str">
            <v>Forward</v>
          </cell>
          <cell r="B14" t="str">
            <v>Common</v>
          </cell>
          <cell r="D14">
            <v>-495</v>
          </cell>
          <cell r="I14">
            <v>0</v>
          </cell>
          <cell r="N14">
            <v>882.199999999999</v>
          </cell>
        </row>
        <row r="15">
          <cell r="B15" t="str">
            <v>LTD</v>
          </cell>
          <cell r="D15">
            <v>-198.9</v>
          </cell>
          <cell r="F15">
            <v>0.0965</v>
          </cell>
          <cell r="I15">
            <v>-19.19385</v>
          </cell>
          <cell r="L15">
            <v>-15</v>
          </cell>
          <cell r="N15">
            <v>668.299999999999</v>
          </cell>
        </row>
        <row r="16">
          <cell r="B16" t="str">
            <v>CP</v>
          </cell>
          <cell r="D16">
            <v>-65</v>
          </cell>
          <cell r="F16">
            <v>0.062</v>
          </cell>
          <cell r="I16">
            <v>-4.03</v>
          </cell>
          <cell r="N16">
            <v>603.299999999999</v>
          </cell>
        </row>
        <row r="17">
          <cell r="B17" t="str">
            <v>LTD</v>
          </cell>
          <cell r="D17">
            <v>-58</v>
          </cell>
          <cell r="F17">
            <v>0.0763</v>
          </cell>
          <cell r="I17">
            <v>-4.4254</v>
          </cell>
          <cell r="L17">
            <v>-0.06</v>
          </cell>
          <cell r="N17">
            <v>545.239999999999</v>
          </cell>
        </row>
        <row r="18">
          <cell r="B18" t="str">
            <v>CP</v>
          </cell>
          <cell r="D18">
            <v>-9.3</v>
          </cell>
          <cell r="F18">
            <v>0.0613</v>
          </cell>
          <cell r="I18">
            <v>-0.57009</v>
          </cell>
          <cell r="N18">
            <v>535.939999999999</v>
          </cell>
        </row>
        <row r="19">
          <cell r="A19" t="str">
            <v>March</v>
          </cell>
          <cell r="B19" t="str">
            <v>Common</v>
          </cell>
          <cell r="D19">
            <v>-186.9</v>
          </cell>
          <cell r="I19">
            <v>0</v>
          </cell>
          <cell r="N19">
            <v>349.039999999999</v>
          </cell>
        </row>
        <row r="20">
          <cell r="B20" t="str">
            <v>LTD</v>
          </cell>
          <cell r="D20">
            <v>-0.1</v>
          </cell>
          <cell r="F20">
            <v>0.0941</v>
          </cell>
          <cell r="I20">
            <v>-0.00941</v>
          </cell>
          <cell r="L20">
            <v>-4.1</v>
          </cell>
          <cell r="N20">
            <v>344.839999999999</v>
          </cell>
        </row>
        <row r="21">
          <cell r="B21" t="str">
            <v>Pref</v>
          </cell>
          <cell r="C21">
            <v>3</v>
          </cell>
          <cell r="D21">
            <v>-75</v>
          </cell>
          <cell r="G21">
            <v>2.43</v>
          </cell>
          <cell r="I21">
            <v>0</v>
          </cell>
          <cell r="J21">
            <v>-7.29</v>
          </cell>
          <cell r="L21">
            <v>-2.3</v>
          </cell>
          <cell r="N21">
            <v>267.539999999999</v>
          </cell>
        </row>
        <row r="22">
          <cell r="N22">
            <v>267.539999999999</v>
          </cell>
        </row>
        <row r="23">
          <cell r="B23" t="str">
            <v>Seaway Loan</v>
          </cell>
          <cell r="D23">
            <v>-3.6</v>
          </cell>
          <cell r="F23">
            <v>-0.08</v>
          </cell>
          <cell r="I23">
            <v>0.288</v>
          </cell>
          <cell r="N23">
            <v>263.939999999999</v>
          </cell>
        </row>
        <row r="24">
          <cell r="B24" t="str">
            <v>MTN</v>
          </cell>
          <cell r="D24">
            <v>-140</v>
          </cell>
          <cell r="F24">
            <v>0.0904232142857143</v>
          </cell>
          <cell r="I24">
            <v>-12.65925</v>
          </cell>
          <cell r="L24">
            <v>0</v>
          </cell>
          <cell r="N24">
            <v>123.939999999999</v>
          </cell>
        </row>
        <row r="25">
          <cell r="O25">
            <v>0.045</v>
          </cell>
        </row>
        <row r="26">
          <cell r="B26" t="str">
            <v>Balance</v>
          </cell>
          <cell r="D26">
            <v>211.2</v>
          </cell>
          <cell r="I26">
            <v>63.1742</v>
          </cell>
          <cell r="J26">
            <v>-50.29</v>
          </cell>
          <cell r="L26">
            <v>-87.26</v>
          </cell>
          <cell r="O26">
            <v>5.57729999999997</v>
          </cell>
        </row>
        <row r="28">
          <cell r="B28" t="str">
            <v>Fees</v>
          </cell>
          <cell r="D28">
            <v>-87.26</v>
          </cell>
        </row>
        <row r="29">
          <cell r="D29">
            <v>123.94</v>
          </cell>
        </row>
        <row r="31">
          <cell r="B31" t="str">
            <v>Addback items which</v>
          </cell>
        </row>
        <row r="32">
          <cell r="B32" t="str">
            <v>have not happen through </v>
          </cell>
        </row>
        <row r="33">
          <cell r="B33" t="str">
            <v>September 30, 1999</v>
          </cell>
        </row>
        <row r="34">
          <cell r="B34" t="str">
            <v>Common(1)</v>
          </cell>
          <cell r="D34">
            <v>230</v>
          </cell>
        </row>
        <row r="35">
          <cell r="B35" t="str">
            <v>MTN</v>
          </cell>
          <cell r="D35">
            <v>140</v>
          </cell>
        </row>
        <row r="36">
          <cell r="D36">
            <v>493.94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v>
          </cell>
          <cell r="H46">
            <v>63.1742</v>
          </cell>
        </row>
        <row r="47">
          <cell r="A47" t="str">
            <v>Increase Interest Income</v>
          </cell>
          <cell r="D47">
            <v>5.57729999999997</v>
          </cell>
          <cell r="H47">
            <v>5.57729999999997</v>
          </cell>
        </row>
        <row r="48">
          <cell r="A48" t="str">
            <v>Change to Taxable Income</v>
          </cell>
          <cell r="D48">
            <v>-57.5969</v>
          </cell>
          <cell r="F48">
            <v>-39.06</v>
          </cell>
          <cell r="H48">
            <v>-96.6569</v>
          </cell>
        </row>
        <row r="49">
          <cell r="A49" t="str">
            <v>Change to income taxes(fed)</v>
          </cell>
          <cell r="D49">
            <v>18.74203126</v>
          </cell>
          <cell r="E49">
            <v>0.3254</v>
          </cell>
          <cell r="F49">
            <v>12.710124</v>
          </cell>
          <cell r="H49">
            <v>31.45215526</v>
          </cell>
        </row>
        <row r="50">
          <cell r="A50" t="str">
            <v>Change to income taxes(State)</v>
          </cell>
          <cell r="D50">
            <v>4.04330238</v>
          </cell>
          <cell r="E50">
            <v>0.0702</v>
          </cell>
          <cell r="F50">
            <v>2.742012</v>
          </cell>
          <cell r="H50">
            <v>6.78531438</v>
          </cell>
        </row>
        <row r="51">
          <cell r="A51" t="str">
            <v>Incr/(decr) to income</v>
          </cell>
          <cell r="D51">
            <v>-34.81156636</v>
          </cell>
          <cell r="F51">
            <v>-23.607864</v>
          </cell>
          <cell r="H51">
            <v>-58.41943036</v>
          </cell>
        </row>
        <row r="52">
          <cell r="A52" t="str">
            <v>Decrease Pref Div</v>
          </cell>
          <cell r="D52">
            <v>50.29</v>
          </cell>
          <cell r="F52">
            <v>-8.2</v>
          </cell>
          <cell r="H52">
            <v>42.09</v>
          </cell>
        </row>
        <row r="53">
          <cell r="A53" t="str">
            <v>Incr/(decr) to inc to common </v>
          </cell>
          <cell r="D53">
            <v>15.47843364</v>
          </cell>
          <cell r="H53">
            <v>-16.32943036</v>
          </cell>
        </row>
        <row r="55">
          <cell r="A55" t="str">
            <v>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v>
          </cell>
          <cell r="H58">
            <v>63.1742</v>
          </cell>
        </row>
        <row r="59">
          <cell r="A59" t="str">
            <v>Increase Interest Income</v>
          </cell>
          <cell r="D59">
            <v>5.57729999999997</v>
          </cell>
          <cell r="H59">
            <v>5.57729999999997</v>
          </cell>
          <cell r="J59" t="str">
            <v>Note: the format for FERC Form 1 reporting does not include provision</v>
          </cell>
        </row>
        <row r="60">
          <cell r="A60" t="str">
            <v>Change to Taxable Income</v>
          </cell>
          <cell r="D60">
            <v>-57.5969</v>
          </cell>
          <cell r="F60">
            <v>-45.6</v>
          </cell>
          <cell r="H60">
            <v>-103.1969</v>
          </cell>
          <cell r="J60" t="str">
            <v>for pref dividends.  Any item affecting the provision is not reflected</v>
          </cell>
        </row>
        <row r="61">
          <cell r="A61" t="str">
            <v>Change to income taxes(fed)</v>
          </cell>
          <cell r="D61">
            <v>18.74203126</v>
          </cell>
          <cell r="E61">
            <v>0.3254</v>
          </cell>
          <cell r="F61">
            <v>14.83824</v>
          </cell>
          <cell r="H61">
            <v>33.58027126</v>
          </cell>
          <cell r="J61" t="str">
            <v>in the incomestatement for this filing.</v>
          </cell>
        </row>
        <row r="62">
          <cell r="A62" t="str">
            <v>Change to income taxes(State)</v>
          </cell>
          <cell r="D62">
            <v>4.04330238</v>
          </cell>
          <cell r="E62">
            <v>0.0702</v>
          </cell>
          <cell r="F62">
            <v>3.20112</v>
          </cell>
          <cell r="H62">
            <v>7.24442238</v>
          </cell>
        </row>
        <row r="63">
          <cell r="A63" t="str">
            <v>Incr/(decr) to income</v>
          </cell>
          <cell r="D63">
            <v>-34.81156636</v>
          </cell>
          <cell r="F63">
            <v>-27.56064</v>
          </cell>
          <cell r="H63">
            <v>-62.37220636</v>
          </cell>
        </row>
        <row r="64">
          <cell r="A64" t="str">
            <v>Decrease Pref Div</v>
          </cell>
          <cell r="D64">
            <v>50.29</v>
          </cell>
          <cell r="F64">
            <v>-12.3</v>
          </cell>
          <cell r="G64" t="str">
            <v>(2)</v>
          </cell>
          <cell r="H64">
            <v>37.99</v>
          </cell>
          <cell r="J64" t="str">
            <v>(2)  per Trial balance account 216051</v>
          </cell>
        </row>
        <row r="65">
          <cell r="A65" t="str">
            <v>Incr/(decr) to inc to common </v>
          </cell>
          <cell r="D65">
            <v>15.47843364</v>
          </cell>
          <cell r="H65">
            <v>-24.38220636</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(3)  </v>
          </cell>
          <cell r="Q71">
            <v>0</v>
          </cell>
          <cell r="R71">
            <v>-1021</v>
          </cell>
        </row>
        <row r="72">
          <cell r="A72" t="str">
            <v>LTD</v>
          </cell>
          <cell r="C72">
            <v>-1160.9</v>
          </cell>
          <cell r="D72">
            <v>-39.06</v>
          </cell>
          <cell r="E72">
            <v>-1199.96</v>
          </cell>
          <cell r="G72">
            <v>0</v>
          </cell>
          <cell r="I72">
            <v>0</v>
          </cell>
          <cell r="K72">
            <v>-1160.9</v>
          </cell>
          <cell r="L72">
            <v>-39.06</v>
          </cell>
          <cell r="M72">
            <v>-1199.96</v>
          </cell>
          <cell r="O72">
            <v>-1160.9</v>
          </cell>
          <cell r="Q72">
            <v>-45.6</v>
          </cell>
          <cell r="R72">
            <v>-1206.5</v>
          </cell>
        </row>
        <row r="73">
          <cell r="A73" t="str">
            <v>Pref</v>
          </cell>
          <cell r="C73">
            <v>-609.2</v>
          </cell>
          <cell r="D73">
            <v>-8.2</v>
          </cell>
          <cell r="E73">
            <v>-617.4</v>
          </cell>
          <cell r="G73">
            <v>0</v>
          </cell>
          <cell r="H73">
            <v>0</v>
          </cell>
          <cell r="I73">
            <v>0</v>
          </cell>
          <cell r="K73">
            <v>-609.2</v>
          </cell>
          <cell r="L73">
            <v>-8.2</v>
          </cell>
          <cell r="M73">
            <v>-617.4</v>
          </cell>
          <cell r="O73">
            <v>-609.2</v>
          </cell>
          <cell r="Q73">
            <v>12.3</v>
          </cell>
          <cell r="R73">
            <v>-596.9</v>
          </cell>
        </row>
        <row r="74">
          <cell r="C74">
            <v>-3188.8</v>
          </cell>
          <cell r="D74">
            <v>-47.26</v>
          </cell>
          <cell r="E74">
            <v>-3236.06</v>
          </cell>
          <cell r="G74">
            <v>-332</v>
          </cell>
          <cell r="H74">
            <v>0</v>
          </cell>
          <cell r="I74">
            <v>-332</v>
          </cell>
          <cell r="K74">
            <v>-2856.8</v>
          </cell>
          <cell r="L74">
            <v>-47.26</v>
          </cell>
          <cell r="M74">
            <v>-2904.06</v>
          </cell>
          <cell r="O74">
            <v>-2959.073024</v>
          </cell>
          <cell r="Q74">
            <v>-33.3</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v>
          </cell>
          <cell r="R77">
            <v>-2992.4</v>
          </cell>
        </row>
        <row r="78">
          <cell r="A78" t="str">
            <v>Initail Proceeds</v>
          </cell>
          <cell r="E78">
            <v>3400</v>
          </cell>
        </row>
        <row r="79">
          <cell r="A79" t="str">
            <v>Remaining proceeds</v>
          </cell>
          <cell r="E79">
            <v>123.94</v>
          </cell>
        </row>
        <row r="81">
          <cell r="O81" t="str">
            <v>(3)    See UCM Share Repurchase tab.    This is</v>
          </cell>
        </row>
        <row r="82">
          <cell r="A82" t="str">
            <v>F:\STAFF\jdm\KMH\Merge\FERC Filing\[FERC stmts2.XLS]TFI use</v>
          </cell>
          <cell r="O82" t="str">
            <v>         the same amount that was use in the 8-K </v>
          </cell>
        </row>
        <row r="83">
          <cell r="O83" t="str">
            <v>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2004 Actual </v>
          </cell>
        </row>
        <row r="83">
          <cell r="C83" t="str">
            <v>Current</v>
          </cell>
          <cell r="E83" t="str">
            <v>Jan</v>
          </cell>
        </row>
        <row r="84">
          <cell r="B84" t="str">
            <v>Consolidated Electric</v>
          </cell>
        </row>
        <row r="85">
          <cell r="B85" t="str">
            <v>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Atlantic </v>
          </cell>
        </row>
        <row r="91">
          <cell r="B91" t="str">
            <v>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v>
          </cell>
          <cell r="L8">
            <v>992.45</v>
          </cell>
          <cell r="M8">
            <v>102093.04</v>
          </cell>
        </row>
        <row r="9">
          <cell r="A9" t="str">
            <v>O&amp;M</v>
          </cell>
          <cell r="C9">
            <v>11000</v>
          </cell>
          <cell r="D9" t="str">
            <v>11000</v>
          </cell>
          <cell r="E9" t="str">
            <v>A4 - NUCLEAR DIVISION</v>
          </cell>
          <cell r="H9" t="str">
            <v>120</v>
          </cell>
          <cell r="I9" t="str">
            <v>BT</v>
          </cell>
          <cell r="J9">
            <v>153.95</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630.92</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279.65</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271.59</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148.619999999999</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-39632.2</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13229657.32</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2178.97</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36481.95</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33156.45</v>
          </cell>
          <cell r="K97">
            <v>5886.09</v>
          </cell>
        </row>
        <row r="98">
          <cell r="A98" t="str">
            <v>CAP</v>
          </cell>
          <cell r="C98">
            <v>15400</v>
          </cell>
          <cell r="D98" t="str">
            <v>15400</v>
          </cell>
          <cell r="E98" t="str">
            <v>AT - TRANSMISSION DIRECT CHGS</v>
          </cell>
          <cell r="H98" t="str">
            <v>120</v>
          </cell>
          <cell r="I98" t="str">
            <v>CB</v>
          </cell>
          <cell r="J98">
            <v>-2095.43</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6578718.17</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4713429.77</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v>
          </cell>
          <cell r="K113">
            <v>20652.44</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v>
          </cell>
          <cell r="L134">
            <v>8137371.59</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v>
          </cell>
          <cell r="K136">
            <v>6552625.38</v>
          </cell>
          <cell r="L136">
            <v>8869422.03</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565876.58</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560759.69</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27779.28</v>
          </cell>
          <cell r="K147">
            <v>72.76</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17.65</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18130.76</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4711.11</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1159078.38</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v>
          </cell>
          <cell r="M183">
            <v>574.45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34355.2</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34355.2</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-61.0500000000001</v>
          </cell>
          <cell r="K206">
            <v>1153.84</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1255.62</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9469.38</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2388.95</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v>
          </cell>
          <cell r="K263">
            <v>131.89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656170.19</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577.92</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5108.4</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20103.6</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1043.6</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69376.01</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589.3</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621.3</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5233.44</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2433754.55</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39307.38</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v>
          </cell>
          <cell r="M383">
            <v>136.98</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1072.1</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v>
          </cell>
          <cell r="M422">
            <v>350.64</v>
          </cell>
        </row>
        <row r="423">
          <cell r="A423" t="str">
            <v>O&amp;M</v>
          </cell>
          <cell r="C423">
            <v>16240</v>
          </cell>
          <cell r="D423" t="str">
            <v>16240</v>
          </cell>
          <cell r="E423" t="str">
            <v>Field Support Admin</v>
          </cell>
          <cell r="H423" t="str">
            <v>120</v>
          </cell>
          <cell r="I423" t="str">
            <v>BT</v>
          </cell>
          <cell r="J423">
            <v>34867.35</v>
          </cell>
          <cell r="K423">
            <v>288.28</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1322145.41</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8514.72</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653.17</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2062.7</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50754.56</v>
          </cell>
          <cell r="K497">
            <v>1258.36</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32194.64</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-22193.92</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34635.13</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v>
          </cell>
          <cell r="K510">
            <v>1481.55</v>
          </cell>
          <cell r="L510">
            <v>161.17</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-2177.74</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v>
          </cell>
        </row>
        <row r="544">
          <cell r="A544" t="str">
            <v>O&amp;M</v>
          </cell>
          <cell r="C544">
            <v>16300</v>
          </cell>
          <cell r="D544" t="str">
            <v>16300</v>
          </cell>
          <cell r="E544" t="str">
            <v>H9 - EMPLOYEE DEVELOPMENT  XXX</v>
          </cell>
          <cell r="H544" t="str">
            <v>120</v>
          </cell>
          <cell r="I544" t="str">
            <v>MT</v>
          </cell>
          <cell r="J544">
            <v>5337.37</v>
          </cell>
          <cell r="K544">
            <v>1045.74</v>
          </cell>
          <cell r="L544">
            <v>8.2</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39.23</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36431.92</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1190.86</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40369.59</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36026.13</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4979.61</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v>
          </cell>
          <cell r="K657">
            <v>4546.89</v>
          </cell>
          <cell r="L657">
            <v>2607.71</v>
          </cell>
          <cell r="M657">
            <v>4508.89</v>
          </cell>
        </row>
        <row r="658">
          <cell r="A658" t="str">
            <v>O&amp;M</v>
          </cell>
          <cell r="C658">
            <v>16370</v>
          </cell>
          <cell r="D658" t="str">
            <v>16370</v>
          </cell>
          <cell r="E658" t="str">
            <v>Transmission Maintenance Walpole</v>
          </cell>
          <cell r="H658" t="str">
            <v>120</v>
          </cell>
          <cell r="I658" t="str">
            <v>MT</v>
          </cell>
          <cell r="J658">
            <v>0</v>
          </cell>
          <cell r="M658">
            <v>-38190.27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551325.32</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546236.2</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320.9</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33821.2</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18222.35</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-329011.6</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10336171.37</v>
          </cell>
          <cell r="L715">
            <v>23504096.16</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5454187.82</v>
          </cell>
          <cell r="L717">
            <v>6150886.27</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2265363.01</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0.07</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2583905.26</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38.91</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38.73</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70.85</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33408.02</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549665.07</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10125.21</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137902.27</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322.28</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4595.23</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4434.15</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4496.19</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599.92</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67609.9</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-4661.44</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272653.35</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271832.1</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5062.98</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66087.51</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1072089.14</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7916463.93</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8314695.22</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144733.36</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1220.87</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8376407.22</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8908.96</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18665.26</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5076.69</v>
          </cell>
          <cell r="L1128">
            <v>577.83</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146641.11</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38929.28</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51078.56</v>
          </cell>
          <cell r="K1166">
            <v>-10382.05</v>
          </cell>
          <cell r="L1166">
            <v>2506.26</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323077.6</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8741.46</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573.92</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41827.92</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66985.29</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151716.36</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2267.24</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32806.95</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-1217.1</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73.49</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10184.21</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v>
          </cell>
          <cell r="M1321">
            <v>272.96</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2559795.03</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152311.11</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v>
          </cell>
          <cell r="K1327">
            <v>1317377.39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639092.58</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2636366.05</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522.92</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144.48</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v>
          </cell>
        </row>
        <row r="1353">
          <cell r="A1353" t="str">
            <v>O&amp;M</v>
          </cell>
          <cell r="C1353">
            <v>16720</v>
          </cell>
          <cell r="D1353" t="str">
            <v>16720</v>
          </cell>
          <cell r="E1353" t="str">
            <v>T8 - NEW CUSTOMER CONNECTIONS - 2 PR XXX</v>
          </cell>
          <cell r="H1353" t="str">
            <v>120</v>
          </cell>
          <cell r="I1353" t="str">
            <v>MT</v>
          </cell>
          <cell r="J1353">
            <v>-2529.95</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1275496.64</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-4111.11</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662529.69</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136922.83</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539901.08</v>
          </cell>
          <cell r="K1404">
            <v>1237158.64</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v>
          </cell>
          <cell r="M1416">
            <v>4111.11</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25881.12</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2286.95</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17545.35</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-47452.96</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51747.52</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162931.86</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9992.22</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309.09</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75848.76</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1120681.91</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2582800.01</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-1099122.14</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2362130.26</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615404.69</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1106998.16</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9853.46</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156.92</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17791.6</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157739.02</v>
          </cell>
          <cell r="K1665">
            <v>633989.43</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2644222.3</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661667.94</v>
          </cell>
          <cell r="M1670">
            <v>146.36</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4490.61</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47994.56</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56169.6</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1218381.63</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v>
          </cell>
          <cell r="K1705">
            <v>0</v>
          </cell>
          <cell r="M1705">
            <v>-64.99</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314537.16</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4315.73</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80.07</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v>
          </cell>
          <cell r="M1744">
            <v>139310</v>
          </cell>
        </row>
        <row r="1745">
          <cell r="A1745" t="str">
            <v>CAP</v>
          </cell>
          <cell r="C1745">
            <v>16870</v>
          </cell>
          <cell r="D1745" t="str">
            <v>16870</v>
          </cell>
          <cell r="E1745" t="str">
            <v>EP - C &amp; S EXTERNAL PROJECTSXXX</v>
          </cell>
          <cell r="H1745" t="str">
            <v>120</v>
          </cell>
          <cell r="I1745" t="str">
            <v>CL</v>
          </cell>
          <cell r="J1745">
            <v>4885.4</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v>
          </cell>
          <cell r="K1754">
            <v>11944217.36</v>
          </cell>
          <cell r="L1754">
            <v>11658741.3</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-643539.32</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-5585269.34</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534.3</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1213.36</v>
          </cell>
          <cell r="M1775">
            <v>519</v>
          </cell>
        </row>
        <row r="1776">
          <cell r="A1776" t="str">
            <v>O&amp;M</v>
          </cell>
          <cell r="C1776">
            <v>20932</v>
          </cell>
          <cell r="D1776" t="str">
            <v>20932</v>
          </cell>
          <cell r="E1776" t="str">
            <v>S2 - WORK COORDINATION #3 DEPTXXX</v>
          </cell>
          <cell r="H1776" t="str">
            <v>120</v>
          </cell>
          <cell r="I1776" t="str">
            <v>LT</v>
          </cell>
          <cell r="L1776">
            <v>134.8</v>
          </cell>
        </row>
        <row r="1777">
          <cell r="A1777" t="str">
            <v>O&amp;M</v>
          </cell>
          <cell r="C1777">
            <v>20940</v>
          </cell>
          <cell r="D1777" t="str">
            <v>20940</v>
          </cell>
          <cell r="E1777" t="str">
            <v>G4 - ELECTRIC DELIVERY BUSINESS GROUP</v>
          </cell>
          <cell r="H1777" t="str">
            <v>120</v>
          </cell>
          <cell r="I1777" t="str">
            <v>LT</v>
          </cell>
          <cell r="J1777">
            <v>19162.99</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63898.56</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21147.28</v>
          </cell>
          <cell r="K1800">
            <v>8791.55</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40.23</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35746.96</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18415.51</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-9885.72</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160.98</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634.68</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2187700.57</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1026.36</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594033.94</v>
          </cell>
          <cell r="K1969">
            <v>148032.95</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18900.17</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v>
          </cell>
          <cell r="M1983">
            <v>512.46</v>
          </cell>
        </row>
        <row r="1984">
          <cell r="A1984" t="str">
            <v>O&amp;M</v>
          </cell>
          <cell r="C1984">
            <v>21190</v>
          </cell>
          <cell r="D1984" t="str">
            <v>21190</v>
          </cell>
          <cell r="E1984" t="str">
            <v>Volume South</v>
          </cell>
          <cell r="H1984" t="str">
            <v>120</v>
          </cell>
          <cell r="I1984" t="str">
            <v>OT</v>
          </cell>
          <cell r="J1984">
            <v>1715.82</v>
          </cell>
          <cell r="K1984">
            <v>2243.97</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9529.22</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238246.4</v>
          </cell>
          <cell r="L1993">
            <v>-39336.66</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40720.38</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37.3</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110951.04</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39939.88</v>
          </cell>
          <cell r="L2040">
            <v>4890.73</v>
          </cell>
        </row>
        <row r="2041">
          <cell r="A2041" t="str">
            <v>O&amp;M</v>
          </cell>
          <cell r="C2041">
            <v>21235</v>
          </cell>
          <cell r="D2041" t="str">
            <v>21235</v>
          </cell>
          <cell r="E2041" t="str">
            <v>Account Support</v>
          </cell>
          <cell r="H2041" t="str">
            <v>120</v>
          </cell>
          <cell r="I2041" t="str">
            <v>LT</v>
          </cell>
          <cell r="J2041">
            <v>304585.45</v>
          </cell>
          <cell r="K2041">
            <v>152942.35</v>
          </cell>
          <cell r="L2041">
            <v>8418.88</v>
          </cell>
          <cell r="M2041">
            <v>-1125.11</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570.67</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134888.52</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4284.94</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34628.38</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60050.56</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22641.12</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160122.24</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548.31</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9573.63</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10010.88</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4232.94</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282810.79</v>
          </cell>
          <cell r="K2149">
            <v>73620.24</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272179.54</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135253.27</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18922.17</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17.33</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22641.12</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22641.12</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35151.63</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68628.48</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17310.17</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1207.59</v>
          </cell>
          <cell r="M2225">
            <v>4871.48</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4714.23</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22641.12</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20505.35</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22862.8</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326.03</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-150.95</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-2439.93</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v>
          </cell>
          <cell r="K2294">
            <v>9036.55</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22641.12</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2108.49</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6496080.28</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70.71</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35751.52</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v>
          </cell>
          <cell r="K2325">
            <v>2218.03</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8658.05</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-1266127.4</v>
          </cell>
          <cell r="L2337">
            <v>-1232938.86</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v>
          </cell>
          <cell r="M2345">
            <v>16516.67</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9908.46</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78.46</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593.17</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158760.3</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v>
          </cell>
          <cell r="K2367">
            <v>6145.7</v>
          </cell>
          <cell r="L2367">
            <v>4867.27</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527969.19</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17261.94</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4109.11</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535.18</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77129.9</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v>
          </cell>
          <cell r="K2465">
            <v>9887.37</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323617.41</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4607.44</v>
          </cell>
          <cell r="K2469">
            <v>532.42</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40211.6</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166848.58</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148.64</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40154.59</v>
          </cell>
        </row>
        <row r="2506">
          <cell r="A2506" t="str">
            <v>O&amp;M</v>
          </cell>
          <cell r="C2506">
            <v>21820</v>
          </cell>
          <cell r="D2506" t="str">
            <v>21820</v>
          </cell>
          <cell r="E2506" t="str">
            <v>EM - ENERGY MANAGEMENT SYSTEM</v>
          </cell>
          <cell r="H2506" t="str">
            <v>120</v>
          </cell>
          <cell r="I2506" t="str">
            <v>BT</v>
          </cell>
          <cell r="J2506">
            <v>17786.33</v>
          </cell>
          <cell r="M2506">
            <v>636393.29</v>
          </cell>
        </row>
        <row r="2507">
          <cell r="A2507" t="str">
            <v>O&amp;M</v>
          </cell>
          <cell r="C2507">
            <v>21825</v>
          </cell>
          <cell r="D2507" t="str">
            <v>21825</v>
          </cell>
          <cell r="E2507" t="str">
            <v>PS - POWER SYSTEM SERVICES</v>
          </cell>
          <cell r="H2507" t="str">
            <v>120</v>
          </cell>
          <cell r="I2507" t="str">
            <v>BT</v>
          </cell>
          <cell r="J2507">
            <v>8990.55</v>
          </cell>
          <cell r="K2507">
            <v>0</v>
          </cell>
        </row>
        <row r="2508">
          <cell r="A2508" t="str">
            <v>O&amp;M</v>
          </cell>
          <cell r="C2508">
            <v>21830</v>
          </cell>
          <cell r="D2508" t="str">
            <v>21830</v>
          </cell>
          <cell r="E2508" t="str">
            <v>RB - SPECIAL PROJECT</v>
          </cell>
          <cell r="H2508" t="str">
            <v>120</v>
          </cell>
          <cell r="I2508" t="str">
            <v>BT</v>
          </cell>
          <cell r="K2508">
            <v>18.65</v>
          </cell>
          <cell r="M2508">
            <v>2364518.57</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1263.12</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272014.35</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81110.79</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642.3</v>
          </cell>
          <cell r="K2570">
            <v>2072.53</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8569.46</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22605.92</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144412.33</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v>
          </cell>
          <cell r="L2589">
            <v>-14589.86</v>
          </cell>
          <cell r="M2589">
            <v>6727200.48</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8624800.1</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33348.52</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v>
          </cell>
          <cell r="K2619">
            <v>1960.65</v>
          </cell>
          <cell r="L2619">
            <v>3044.5</v>
          </cell>
          <cell r="M2619">
            <v>294.22</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-6701701.35</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15923.8800000002</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39.05</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302.9</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135737.86</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138819.11</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25583.28</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579259.19</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16630.67</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20591.35</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5168.86</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23880.96</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v>
          </cell>
          <cell r="L2687">
            <v>16612.51</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1155731.63</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4209.19</v>
          </cell>
          <cell r="M2710">
            <v>35264.95</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137885.77</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7168425.34</v>
          </cell>
          <cell r="K2722">
            <v>6805437.13</v>
          </cell>
          <cell r="L2722">
            <v>860616.42</v>
          </cell>
          <cell r="M2722">
            <v>68493.82</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v>
          </cell>
          <cell r="L2730">
            <v>0</v>
          </cell>
        </row>
        <row r="2731">
          <cell r="A2731" t="str">
            <v>O&amp;M</v>
          </cell>
          <cell r="C2731">
            <v>23090</v>
          </cell>
          <cell r="D2731" t="str">
            <v>23090</v>
          </cell>
          <cell r="E2731" t="str">
            <v>RW - CARRYOVER/UNBUDGETED CHARGES</v>
          </cell>
          <cell r="H2731" t="str">
            <v>120</v>
          </cell>
          <cell r="I2731" t="str">
            <v>IT</v>
          </cell>
          <cell r="J2731">
            <v>315.03</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-2306.72</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77581172.82</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591.68</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2222.2</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6652142.55</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32.98</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634654.2</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588.43</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1305.1</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17475.6</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290160.6</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10217.71</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4722.65</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2495.93</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4632.23</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17989.42</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179291.52</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36624.02</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1090.84</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61037.28</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2581.49</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276.84</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159174.77</v>
          </cell>
          <cell r="K3005">
            <v>-217.92</v>
          </cell>
        </row>
        <row r="3006">
          <cell r="A3006" t="str">
            <v>O&amp;M</v>
          </cell>
          <cell r="C3006">
            <v>23315</v>
          </cell>
          <cell r="D3006" t="str">
            <v>23315</v>
          </cell>
          <cell r="E3006" t="str">
            <v>L0 - PLANNING AND ACQUISITION</v>
          </cell>
          <cell r="H3006" t="str">
            <v>120</v>
          </cell>
          <cell r="I3006" t="str">
            <v>MT</v>
          </cell>
          <cell r="J3006">
            <v>651.33</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4961.65</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v>
          </cell>
          <cell r="K3011">
            <v>17635.22</v>
          </cell>
        </row>
        <row r="3012">
          <cell r="A3012" t="str">
            <v>O&amp;M</v>
          </cell>
          <cell r="C3012">
            <v>23320</v>
          </cell>
          <cell r="D3012" t="str">
            <v>23320</v>
          </cell>
          <cell r="E3012" t="str">
            <v>M1 - DISTRIBUTION AND WAREHOUSING</v>
          </cell>
          <cell r="H3012" t="str">
            <v>120</v>
          </cell>
          <cell r="I3012" t="str">
            <v>MT</v>
          </cell>
          <cell r="J3012">
            <v>76.6</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4353.9</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17434.1</v>
          </cell>
        </row>
        <row r="3017">
          <cell r="A3017" t="str">
            <v>O&amp;M</v>
          </cell>
          <cell r="C3017">
            <v>23325</v>
          </cell>
          <cell r="D3017" t="str">
            <v>23325</v>
          </cell>
          <cell r="E3017" t="str">
            <v>5B-Meter Lab</v>
          </cell>
          <cell r="H3017" t="str">
            <v>120</v>
          </cell>
          <cell r="I3017" t="str">
            <v>LT</v>
          </cell>
          <cell r="J3017">
            <v>76814.03</v>
          </cell>
          <cell r="K3017">
            <v>24596.24</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v>
          </cell>
          <cell r="K3020">
            <v>1279.85</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2089.7</v>
          </cell>
          <cell r="K3030">
            <v>17078.4</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2065.93</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79957.18</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80640.79</v>
          </cell>
          <cell r="K3051">
            <v>3642.16</v>
          </cell>
          <cell r="M3051">
            <v>83790.29</v>
          </cell>
        </row>
        <row r="3052">
          <cell r="A3052" t="str">
            <v>O&amp;M</v>
          </cell>
          <cell r="C3052">
            <v>23360</v>
          </cell>
          <cell r="D3052" t="str">
            <v>23360</v>
          </cell>
          <cell r="E3052" t="str">
            <v>M9 - Tool Management</v>
          </cell>
          <cell r="H3052" t="str">
            <v>120</v>
          </cell>
          <cell r="I3052" t="str">
            <v>IT</v>
          </cell>
          <cell r="J3052">
            <v>11425.42</v>
          </cell>
          <cell r="K3052">
            <v>4214.23</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1144.61</v>
          </cell>
        </row>
        <row r="3058">
          <cell r="A3058" t="str">
            <v>O&amp;M</v>
          </cell>
          <cell r="C3058">
            <v>23400</v>
          </cell>
          <cell r="D3058" t="str">
            <v>23400</v>
          </cell>
          <cell r="E3058" t="str">
            <v>D2 - ENGINEERING SERVICES GROUP XXX</v>
          </cell>
          <cell r="H3058" t="str">
            <v>120</v>
          </cell>
          <cell r="I3058" t="str">
            <v>IT</v>
          </cell>
          <cell r="J3058">
            <v>-4102.1</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66.96</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4930.44</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-17.33</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v>
          </cell>
          <cell r="K3074">
            <v>4450</v>
          </cell>
        </row>
        <row r="3075">
          <cell r="A3075" t="str">
            <v>O&amp;M</v>
          </cell>
          <cell r="C3075">
            <v>23420</v>
          </cell>
          <cell r="D3075" t="str">
            <v>23420</v>
          </cell>
          <cell r="E3075" t="str">
            <v>L7 - MECHANICAL/CIVIL/STRUCTURE DEPT XXX</v>
          </cell>
          <cell r="H3075" t="str">
            <v>120</v>
          </cell>
          <cell r="I3075" t="str">
            <v>LT</v>
          </cell>
          <cell r="J3075">
            <v>26496.88</v>
          </cell>
        </row>
        <row r="3076">
          <cell r="A3076" t="str">
            <v>O&amp;M</v>
          </cell>
          <cell r="C3076">
            <v>23420</v>
          </cell>
          <cell r="D3076" t="str">
            <v>23420</v>
          </cell>
          <cell r="E3076" t="str">
            <v>L7 - MECHANICAL/CIVIL/STRUCTURE DEPT XXX</v>
          </cell>
          <cell r="H3076" t="str">
            <v>120</v>
          </cell>
          <cell r="I3076" t="str">
            <v>OT</v>
          </cell>
          <cell r="J3076">
            <v>30561.12</v>
          </cell>
        </row>
        <row r="3077">
          <cell r="A3077" t="str">
            <v>O&amp;M</v>
          </cell>
          <cell r="C3077">
            <v>23420</v>
          </cell>
          <cell r="D3077" t="str">
            <v>23420</v>
          </cell>
          <cell r="E3077" t="str">
            <v>L7 - MECHANICAL/CIVIL/STRUCTURE DEPT XXX</v>
          </cell>
          <cell r="H3077" t="str">
            <v>120</v>
          </cell>
          <cell r="I3077" t="str">
            <v>TT</v>
          </cell>
          <cell r="J3077">
            <v>521.69</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68135.76</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20387.17</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v>
          </cell>
          <cell r="K3126">
            <v>1622722.37</v>
          </cell>
          <cell r="M3126">
            <v>520.43</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29799.12</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32.48</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18202.94</v>
          </cell>
          <cell r="L3162">
            <v>27109.28</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-23303.28</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v>
          </cell>
          <cell r="M3172">
            <v>603.67</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-1433021.44</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7163775.59</v>
          </cell>
          <cell r="K3187">
            <v>305032.27</v>
          </cell>
          <cell r="L3187">
            <v>133.89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5772129.68</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2115.49</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-16045084.37</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-8472.97</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-137.14</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-294612.1</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2398.72</v>
          </cell>
          <cell r="L3237">
            <v>2104.18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641256.08</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71655.54</v>
          </cell>
          <cell r="K3247">
            <v>50059.75</v>
          </cell>
          <cell r="M3247">
            <v>134.14</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v>
          </cell>
          <cell r="K3250">
            <v>38547.44</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143081.52</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71133.18</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71014.9</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602.3</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162697.36</v>
          </cell>
          <cell r="K3277">
            <v>-9817.87</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35539.63</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133281.08</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567.17</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1153665.14</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96824.64</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36479.6</v>
          </cell>
          <cell r="K3313">
            <v>6545.03</v>
          </cell>
          <cell r="M3313">
            <v>-539.07</v>
          </cell>
        </row>
        <row r="3314">
          <cell r="A3314" t="str">
            <v>O&amp;M</v>
          </cell>
          <cell r="C3314">
            <v>26165</v>
          </cell>
          <cell r="D3314" t="str">
            <v>26165</v>
          </cell>
          <cell r="E3314" t="str">
            <v>Federal Relations</v>
          </cell>
          <cell r="H3314" t="str">
            <v>120</v>
          </cell>
          <cell r="I3314" t="str">
            <v>IT</v>
          </cell>
          <cell r="J3314">
            <v>23047.79</v>
          </cell>
          <cell r="K3314">
            <v>45</v>
          </cell>
          <cell r="M3314">
            <v>9460473.01</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v>
          </cell>
          <cell r="L3318">
            <v>626.39</v>
          </cell>
          <cell r="M3318">
            <v>40496.95</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4647.11</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4203.73</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148438.33</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660200.69</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2608.2</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70047.51</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20463.26</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-289601.72</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2348.95</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141503.11</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653.17</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21202.64</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GIANT FOOD #</v>
          </cell>
          <cell r="Q6" t="str">
            <v>100    SI8</v>
          </cell>
          <cell r="R6" t="str">
            <v>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v>
          </cell>
          <cell r="L7">
            <v>19.67</v>
          </cell>
          <cell r="P7" t="str">
            <v> GIANT FOOD #</v>
          </cell>
          <cell r="Q7" t="str">
            <v>120    SI8</v>
          </cell>
          <cell r="R7" t="str">
            <v>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GIANT FOOD #</v>
          </cell>
          <cell r="Q8" t="str">
            <v>120    SI8</v>
          </cell>
          <cell r="R8" t="str">
            <v>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GIANT FOOD #</v>
          </cell>
          <cell r="Q9" t="str">
            <v>120    SI8</v>
          </cell>
          <cell r="R9" t="str">
            <v>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L'KOSTE VILL</v>
          </cell>
          <cell r="Q10" t="str">
            <v>A</v>
          </cell>
          <cell r="R10" t="str">
            <v>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PALUMBO PIZZ</v>
          </cell>
          <cell r="Q11" t="str">
            <v>A &amp; RES</v>
          </cell>
          <cell r="R11" t="str">
            <v>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KEARES RESTA</v>
          </cell>
          <cell r="Q12" t="str">
            <v>URANT GROU</v>
          </cell>
          <cell r="R12" t="str">
            <v>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TAVERN ON TH</v>
          </cell>
          <cell r="Q13" t="str">
            <v>E HILL</v>
          </cell>
          <cell r="R13" t="str">
            <v>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HOSS'S STEAK</v>
          </cell>
          <cell r="Q14" t="str">
            <v> &amp; SEA H</v>
          </cell>
          <cell r="R14" t="str">
            <v>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DOE &amp; JERRY</v>
          </cell>
          <cell r="Q15" t="str">
            <v>S BARBECUE</v>
          </cell>
          <cell r="R15" t="str">
            <v>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L'KOSTE VILL</v>
          </cell>
          <cell r="Q16" t="str">
            <v>A</v>
          </cell>
          <cell r="R16" t="str">
            <v>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L'KOSTE VILL</v>
          </cell>
          <cell r="Q17" t="str">
            <v>A</v>
          </cell>
          <cell r="R17" t="str">
            <v>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PIZZA HUT 73</v>
          </cell>
          <cell r="Q18" t="str">
            <v>9104</v>
          </cell>
          <cell r="R18" t="str">
            <v>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L'KOSTE VILL</v>
          </cell>
          <cell r="Q19" t="str">
            <v>A</v>
          </cell>
          <cell r="R19" t="str">
            <v>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PIZZA HUT 73</v>
          </cell>
          <cell r="Q20" t="str">
            <v>9104</v>
          </cell>
          <cell r="R20" t="str">
            <v>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HARDING S</v>
          </cell>
          <cell r="R21" t="str">
            <v>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HARDING S</v>
          </cell>
          <cell r="R22" t="str">
            <v>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L'KOSTE VILL</v>
          </cell>
          <cell r="Q23" t="str">
            <v>A</v>
          </cell>
          <cell r="R23" t="str">
            <v>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L'KOSTE VILL</v>
          </cell>
          <cell r="Q24" t="str">
            <v>A</v>
          </cell>
          <cell r="R24" t="str">
            <v>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L'KOSTE VILL</v>
          </cell>
          <cell r="Q25" t="str">
            <v>A</v>
          </cell>
          <cell r="R25" t="str">
            <v>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L'KOSTE VILL</v>
          </cell>
          <cell r="Q26" t="str">
            <v>A</v>
          </cell>
          <cell r="R26" t="str">
            <v>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HARDING S</v>
          </cell>
          <cell r="R27" t="str">
            <v>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HARDING S</v>
          </cell>
          <cell r="R28" t="str">
            <v>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HARDING S</v>
          </cell>
          <cell r="R29" t="str">
            <v>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CHEF WONG</v>
          </cell>
          <cell r="R30" t="str">
            <v>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L'KOSTE VILL</v>
          </cell>
          <cell r="Q31" t="str">
            <v>A</v>
          </cell>
          <cell r="R31" t="str">
            <v>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L'KOSTE VILL</v>
          </cell>
          <cell r="Q32" t="str">
            <v>A</v>
          </cell>
          <cell r="R32" t="str">
            <v>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HARDING S</v>
          </cell>
          <cell r="R33" t="str">
            <v>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L'KOSTE VILL</v>
          </cell>
          <cell r="Q34" t="str">
            <v>A</v>
          </cell>
          <cell r="R34" t="str">
            <v>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HARDING S</v>
          </cell>
          <cell r="R35" t="str">
            <v>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DOE &amp; JERRY</v>
          </cell>
          <cell r="Q36" t="str">
            <v>S BARBECUE</v>
          </cell>
          <cell r="R36" t="str">
            <v>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DOE &amp; JERRY</v>
          </cell>
          <cell r="Q37" t="str">
            <v>S BARBECUE</v>
          </cell>
          <cell r="R37" t="str">
            <v>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HARDING S</v>
          </cell>
          <cell r="R38" t="str">
            <v>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586.18</v>
          </cell>
          <cell r="L39">
            <v>586.18</v>
          </cell>
          <cell r="P39" t="str">
            <v> HARDING S</v>
          </cell>
          <cell r="R39" t="str">
            <v>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DOE &amp; JERRY</v>
          </cell>
          <cell r="Q40" t="str">
            <v>S BARBECUE</v>
          </cell>
          <cell r="R40" t="str">
            <v>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v>
          </cell>
          <cell r="L41">
            <v>630.7</v>
          </cell>
          <cell r="P41" t="str">
            <v> RUBINICS CAT</v>
          </cell>
          <cell r="Q41" t="str">
            <v>ERING SERV</v>
          </cell>
          <cell r="R41" t="str">
            <v>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HARDING S</v>
          </cell>
          <cell r="R42" t="str">
            <v>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DOE &amp; JERRY</v>
          </cell>
          <cell r="Q43" t="str">
            <v>S BARBECUE</v>
          </cell>
          <cell r="R43" t="str">
            <v>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DOE &amp; JERRY</v>
          </cell>
          <cell r="Q44" t="str">
            <v>S BARBECUE</v>
          </cell>
          <cell r="R44" t="str">
            <v>    200102090014</v>
          </cell>
          <cell r="S44" t="str">
            <v>20010209000AC0</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v>
          </cell>
        </row>
        <row r="97">
          <cell r="B97">
            <v>38384</v>
          </cell>
          <cell r="C97">
            <v>6.7783</v>
          </cell>
        </row>
        <row r="98">
          <cell r="B98">
            <v>38412</v>
          </cell>
          <cell r="C98">
            <v>7.0306</v>
          </cell>
        </row>
        <row r="99">
          <cell r="B99">
            <v>38443</v>
          </cell>
          <cell r="C99">
            <v>7.1192</v>
          </cell>
        </row>
        <row r="100">
          <cell r="B100">
            <v>38473</v>
          </cell>
          <cell r="C100">
            <v>6.4543</v>
          </cell>
        </row>
        <row r="101">
          <cell r="B101">
            <v>38504</v>
          </cell>
          <cell r="C101">
            <v>6.0772</v>
          </cell>
        </row>
        <row r="102">
          <cell r="B102">
            <v>38534</v>
          </cell>
          <cell r="C102">
            <v>6.1077</v>
          </cell>
        </row>
        <row r="103">
          <cell r="B103">
            <v>38565</v>
          </cell>
          <cell r="C103">
            <v>6.2251</v>
          </cell>
        </row>
        <row r="104">
          <cell r="B104">
            <v>38596</v>
          </cell>
          <cell r="C104">
            <v>7.0207</v>
          </cell>
        </row>
        <row r="105">
          <cell r="B105">
            <v>38626</v>
          </cell>
          <cell r="C105">
            <v>10.5701</v>
          </cell>
        </row>
        <row r="106">
          <cell r="B106">
            <v>38657</v>
          </cell>
          <cell r="C106">
            <v>12.042</v>
          </cell>
        </row>
        <row r="107">
          <cell r="B107">
            <v>38687</v>
          </cell>
          <cell r="C107">
            <v>11.069</v>
          </cell>
        </row>
        <row r="108">
          <cell r="B108">
            <v>38718</v>
          </cell>
          <cell r="C108">
            <v>10.8204</v>
          </cell>
        </row>
        <row r="109">
          <cell r="B109">
            <v>38749</v>
          </cell>
          <cell r="C109">
            <v>9.9864</v>
          </cell>
        </row>
        <row r="110">
          <cell r="B110">
            <v>38777</v>
          </cell>
          <cell r="C110">
            <v>12.1105</v>
          </cell>
        </row>
        <row r="111">
          <cell r="B111">
            <v>38808</v>
          </cell>
          <cell r="C111">
            <v>10.4755</v>
          </cell>
        </row>
        <row r="112">
          <cell r="B112">
            <v>38838</v>
          </cell>
          <cell r="C112">
            <v>8.9533</v>
          </cell>
        </row>
        <row r="113">
          <cell r="B113">
            <v>38869</v>
          </cell>
          <cell r="C113">
            <v>8.7005</v>
          </cell>
        </row>
        <row r="114">
          <cell r="B114">
            <v>38899</v>
          </cell>
          <cell r="C114">
            <v>8.307</v>
          </cell>
        </row>
        <row r="115">
          <cell r="B115">
            <v>38930</v>
          </cell>
          <cell r="C115">
            <v>9.666</v>
          </cell>
        </row>
        <row r="116">
          <cell r="B116">
            <v>38961</v>
          </cell>
          <cell r="C116">
            <v>10.7373</v>
          </cell>
        </row>
        <row r="117">
          <cell r="B117">
            <v>38991</v>
          </cell>
          <cell r="C117">
            <v>9.7626</v>
          </cell>
        </row>
        <row r="118">
          <cell r="B118">
            <v>39022</v>
          </cell>
          <cell r="C118">
            <v>9.4422</v>
          </cell>
        </row>
        <row r="119">
          <cell r="B119">
            <v>39052</v>
          </cell>
          <cell r="C119">
            <v>9.2276</v>
          </cell>
        </row>
        <row r="120">
          <cell r="B120">
            <v>39083</v>
          </cell>
          <cell r="C120">
            <v>9.4621</v>
          </cell>
        </row>
        <row r="121">
          <cell r="B121">
            <v>39114</v>
          </cell>
          <cell r="C121">
            <v>9.2688</v>
          </cell>
        </row>
        <row r="122">
          <cell r="B122">
            <v>39142</v>
          </cell>
          <cell r="C122">
            <v>9.3672</v>
          </cell>
        </row>
        <row r="123">
          <cell r="B123">
            <v>39173</v>
          </cell>
          <cell r="C123">
            <v>8.9057</v>
          </cell>
        </row>
        <row r="124">
          <cell r="B124">
            <v>39203</v>
          </cell>
          <cell r="C124">
            <v>8.4395</v>
          </cell>
        </row>
        <row r="125">
          <cell r="B125">
            <v>39234</v>
          </cell>
          <cell r="C125">
            <v>8.599</v>
          </cell>
        </row>
        <row r="126">
          <cell r="B126">
            <v>39264</v>
          </cell>
          <cell r="C126">
            <v>8.7819</v>
          </cell>
        </row>
        <row r="127">
          <cell r="B127">
            <v>39295</v>
          </cell>
          <cell r="C127">
            <v>8.1499</v>
          </cell>
        </row>
        <row r="128">
          <cell r="B128">
            <v>39326</v>
          </cell>
          <cell r="C128">
            <v>8.0441</v>
          </cell>
        </row>
        <row r="129">
          <cell r="B129">
            <v>39356</v>
          </cell>
          <cell r="C129">
            <v>8.7649</v>
          </cell>
        </row>
        <row r="130">
          <cell r="B130">
            <v>39387</v>
          </cell>
          <cell r="C130">
            <v>9.4422</v>
          </cell>
        </row>
        <row r="131">
          <cell r="B131">
            <v>39417</v>
          </cell>
          <cell r="C131">
            <v>9.2276</v>
          </cell>
        </row>
        <row r="132">
          <cell r="B132">
            <v>39448</v>
          </cell>
          <cell r="C132">
            <v>9.4621</v>
          </cell>
        </row>
        <row r="133">
          <cell r="B133">
            <v>39479</v>
          </cell>
          <cell r="C133">
            <v>9.2688</v>
          </cell>
        </row>
        <row r="134">
          <cell r="B134">
            <v>39508</v>
          </cell>
          <cell r="C134">
            <v>9.3672</v>
          </cell>
        </row>
        <row r="135">
          <cell r="B135">
            <v>39539</v>
          </cell>
          <cell r="C135">
            <v>8.9057</v>
          </cell>
        </row>
        <row r="136">
          <cell r="B136">
            <v>39569</v>
          </cell>
          <cell r="C136">
            <v>8.4395</v>
          </cell>
        </row>
        <row r="137">
          <cell r="B137">
            <v>39600</v>
          </cell>
          <cell r="C137">
            <v>8.599</v>
          </cell>
        </row>
        <row r="138">
          <cell r="B138">
            <v>39630</v>
          </cell>
          <cell r="C138">
            <v>8.7819</v>
          </cell>
        </row>
        <row r="139">
          <cell r="B139">
            <v>39661</v>
          </cell>
          <cell r="C139">
            <v>8.1499</v>
          </cell>
        </row>
        <row r="140">
          <cell r="B140">
            <v>39692</v>
          </cell>
          <cell r="C140">
            <v>8.0441</v>
          </cell>
        </row>
        <row r="141">
          <cell r="B141">
            <v>39722</v>
          </cell>
          <cell r="C141">
            <v>8.7649</v>
          </cell>
        </row>
        <row r="142">
          <cell r="B142">
            <v>39753</v>
          </cell>
          <cell r="C142">
            <v>9.4422</v>
          </cell>
        </row>
        <row r="143">
          <cell r="B143">
            <v>39783</v>
          </cell>
          <cell r="C143">
            <v>9.2276</v>
          </cell>
        </row>
        <row r="144">
          <cell r="B144">
            <v>39814</v>
          </cell>
          <cell r="C144">
            <v>9.4621</v>
          </cell>
        </row>
        <row r="145">
          <cell r="B145">
            <v>39845</v>
          </cell>
          <cell r="C145">
            <v>9.2688</v>
          </cell>
        </row>
        <row r="146">
          <cell r="B146">
            <v>39873</v>
          </cell>
          <cell r="C146">
            <v>9.3672</v>
          </cell>
        </row>
        <row r="147">
          <cell r="B147">
            <v>39904</v>
          </cell>
          <cell r="C147">
            <v>8.9057</v>
          </cell>
        </row>
        <row r="148">
          <cell r="B148">
            <v>39934</v>
          </cell>
          <cell r="C148">
            <v>8.4395</v>
          </cell>
        </row>
        <row r="149">
          <cell r="B149">
            <v>39965</v>
          </cell>
          <cell r="C149">
            <v>8.599</v>
          </cell>
        </row>
        <row r="150">
          <cell r="B150">
            <v>39995</v>
          </cell>
          <cell r="C150">
            <v>8.7819</v>
          </cell>
        </row>
        <row r="151">
          <cell r="B151">
            <v>40026</v>
          </cell>
          <cell r="C151">
            <v>8.1499</v>
          </cell>
        </row>
        <row r="152">
          <cell r="B152">
            <v>40057</v>
          </cell>
          <cell r="C152">
            <v>8.0441</v>
          </cell>
        </row>
        <row r="153">
          <cell r="B153">
            <v>40087</v>
          </cell>
          <cell r="C153">
            <v>8.7649</v>
          </cell>
        </row>
        <row r="154">
          <cell r="B154">
            <v>40118</v>
          </cell>
          <cell r="C154">
            <v>9.4422</v>
          </cell>
        </row>
        <row r="155">
          <cell r="B155">
            <v>40148</v>
          </cell>
          <cell r="C155">
            <v>9.2276</v>
          </cell>
        </row>
        <row r="156">
          <cell r="B156">
            <v>40179</v>
          </cell>
          <cell r="C156">
            <v>9.4621</v>
          </cell>
        </row>
        <row r="157">
          <cell r="B157">
            <v>40210</v>
          </cell>
          <cell r="C157">
            <v>9.2688</v>
          </cell>
        </row>
        <row r="158">
          <cell r="B158">
            <v>40238</v>
          </cell>
          <cell r="C158">
            <v>9.3672</v>
          </cell>
        </row>
        <row r="159">
          <cell r="B159">
            <v>40269</v>
          </cell>
          <cell r="C159">
            <v>8.9057</v>
          </cell>
        </row>
        <row r="160">
          <cell r="B160">
            <v>40299</v>
          </cell>
          <cell r="C160">
            <v>8.4395</v>
          </cell>
        </row>
        <row r="161">
          <cell r="B161">
            <v>40330</v>
          </cell>
          <cell r="C161">
            <v>8.599</v>
          </cell>
        </row>
        <row r="162">
          <cell r="B162">
            <v>40360</v>
          </cell>
          <cell r="C162">
            <v>8.7819</v>
          </cell>
        </row>
        <row r="163">
          <cell r="B163">
            <v>40391</v>
          </cell>
          <cell r="C163">
            <v>8.1499</v>
          </cell>
        </row>
        <row r="164">
          <cell r="B164">
            <v>40422</v>
          </cell>
          <cell r="C164">
            <v>8.0441</v>
          </cell>
        </row>
        <row r="165">
          <cell r="B165">
            <v>40452</v>
          </cell>
          <cell r="C165">
            <v>8.7649</v>
          </cell>
        </row>
        <row r="166">
          <cell r="B166">
            <v>40483</v>
          </cell>
          <cell r="C166">
            <v>9.4422</v>
          </cell>
        </row>
        <row r="167">
          <cell r="B167">
            <v>40513</v>
          </cell>
          <cell r="C167">
            <v>9.2276</v>
          </cell>
        </row>
        <row r="168">
          <cell r="B168">
            <v>40544</v>
          </cell>
          <cell r="C168">
            <v>9.4621</v>
          </cell>
        </row>
        <row r="169">
          <cell r="B169">
            <v>40575</v>
          </cell>
          <cell r="C169">
            <v>9.2688</v>
          </cell>
        </row>
        <row r="170">
          <cell r="B170">
            <v>40603</v>
          </cell>
          <cell r="C170">
            <v>9.3672</v>
          </cell>
        </row>
        <row r="171">
          <cell r="B171">
            <v>40634</v>
          </cell>
          <cell r="C171">
            <v>8.9057</v>
          </cell>
        </row>
        <row r="172">
          <cell r="B172">
            <v>40664</v>
          </cell>
          <cell r="C172">
            <v>8.4395</v>
          </cell>
        </row>
        <row r="173">
          <cell r="B173">
            <v>40695</v>
          </cell>
          <cell r="C173">
            <v>8.599</v>
          </cell>
        </row>
        <row r="174">
          <cell r="B174">
            <v>40725</v>
          </cell>
          <cell r="C174">
            <v>8.7819</v>
          </cell>
        </row>
        <row r="175">
          <cell r="B175">
            <v>40756</v>
          </cell>
          <cell r="C175">
            <v>8.1499</v>
          </cell>
        </row>
        <row r="176">
          <cell r="B176">
            <v>40787</v>
          </cell>
          <cell r="C176">
            <v>8.0441</v>
          </cell>
        </row>
        <row r="177">
          <cell r="B177">
            <v>40817</v>
          </cell>
          <cell r="C177">
            <v>8.7649</v>
          </cell>
        </row>
        <row r="178">
          <cell r="B178">
            <v>40848</v>
          </cell>
          <cell r="C178">
            <v>9.4422</v>
          </cell>
        </row>
        <row r="179">
          <cell r="B179">
            <v>40878</v>
          </cell>
          <cell r="C179">
            <v>9.2276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definedNames>
      <definedName name="Print_Titles"/>
      <definedName name="Print_Area"/>
    </defined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printerSettings" Target="../printerSettings/printerSettings9.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printerSettings" Target="../printerSettings/printerSettings11.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printerSettings" Target="../printerSettings/printerSettings13.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printerSettings" Target="../printerSettings/printerSettings21.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24.bin" /><Relationship Id="rId1" Type="http://schemas.openxmlformats.org/officeDocument/2006/relationships/printerSettings" Target="../printerSettings/printerSettings23.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19.xml.rels><?xml version="1.0" encoding="UTF-8" standalone="yes"?><Relationships xmlns="http://schemas.openxmlformats.org/package/2006/relationships"><Relationship Id="rId2" Type="http://schemas.openxmlformats.org/officeDocument/2006/relationships/printerSettings" Target="../printerSettings/printerSettings28.bin" /><Relationship Id="rId1" Type="http://schemas.openxmlformats.org/officeDocument/2006/relationships/printerSettings" Target="../printerSettings/printerSettings27.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30.bin" /><Relationship Id="rId1" Type="http://schemas.openxmlformats.org/officeDocument/2006/relationships/printerSettings" Target="../printerSettings/printerSettings29.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32.bin" /><Relationship Id="rId1" Type="http://schemas.openxmlformats.org/officeDocument/2006/relationships/printerSettings" Target="../printerSettings/printerSettings3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1:R371"/>
  <sheetViews>
    <sheetView tabSelected="1" view="pageBreakPreview" zoomScale="75" zoomScaleNormal="75" zoomScaleSheetLayoutView="75" workbookViewId="0" topLeftCell="A1">
      <selection pane="topLeft" activeCell="C6" sqref="C6"/>
    </sheetView>
  </sheetViews>
  <sheetFormatPr defaultColWidth="8.91714285714286" defaultRowHeight="15.5"/>
  <cols>
    <col min="1" max="1" width="5.85714285714286" style="1" bestFit="1" customWidth="1"/>
    <col min="2" max="2" width="31.9285714285714" style="1" customWidth="1"/>
    <col min="3" max="3" width="45.0714285714286" style="1" customWidth="1"/>
    <col min="4" max="4" width="13.6428571428571" style="1" customWidth="1"/>
    <col min="5" max="5" width="10.3571428571429" style="1" customWidth="1"/>
    <col min="6" max="6" width="11.5" style="1" customWidth="1"/>
    <col min="7" max="7" width="9.92857142857143" style="1" customWidth="1"/>
    <col min="8" max="8" width="4.07142857142857" style="1" customWidth="1"/>
    <col min="9" max="9" width="13.9285714285714" style="1" customWidth="1"/>
    <col min="10" max="10" width="13.5" style="1" customWidth="1"/>
    <col min="11" max="11" width="11.5" style="1" customWidth="1"/>
    <col min="12" max="12" width="15.5" style="472" customWidth="1"/>
    <col min="13" max="13" width="10.8571428571429" style="1" customWidth="1"/>
    <col min="14" max="14" width="10.4285714285714" style="1" customWidth="1"/>
    <col min="15" max="15" width="10.5" style="1" customWidth="1"/>
    <col min="16" max="16384" width="8.92857142857143" style="1"/>
  </cols>
  <sheetData>
    <row r="1" spans="2:14" ht="16.5" customHeight="1">
      <c r="B1" s="2"/>
      <c r="C1" s="18"/>
      <c r="D1" s="300"/>
      <c r="E1" s="295"/>
      <c r="F1" s="295"/>
      <c r="G1" s="295"/>
      <c r="H1" s="295"/>
      <c r="I1" s="295"/>
      <c r="K1" s="3" t="s">
        <v>305</v>
      </c>
      <c r="L1" s="300"/>
      <c r="M1" s="2"/>
      <c r="N1" s="2"/>
    </row>
    <row r="2" spans="2:14" ht="16.5" customHeight="1">
      <c r="B2" s="2"/>
      <c r="C2" s="18"/>
      <c r="D2" s="300"/>
      <c r="E2" s="295"/>
      <c r="F2" s="295"/>
      <c r="G2" s="295"/>
      <c r="H2" s="295"/>
      <c r="I2" s="295"/>
      <c r="J2" s="2"/>
      <c r="K2" s="3" t="s">
        <v>0</v>
      </c>
      <c r="L2" s="300"/>
      <c r="M2" s="2"/>
      <c r="N2" s="2"/>
    </row>
    <row r="3" spans="2:14" ht="16.5" customHeight="1">
      <c r="B3" s="2"/>
      <c r="C3" s="18"/>
      <c r="D3" s="300"/>
      <c r="E3" s="2"/>
      <c r="F3" s="2"/>
      <c r="G3" s="2"/>
      <c r="H3" s="2"/>
      <c r="I3" s="2"/>
      <c r="J3" s="2"/>
      <c r="K3" s="2"/>
      <c r="L3" s="300"/>
      <c r="M3" s="2"/>
      <c r="N3" s="2"/>
    </row>
    <row r="4" spans="2:14" ht="15.5">
      <c r="B4" s="2" t="s">
        <v>1</v>
      </c>
      <c r="C4" s="2"/>
      <c r="D4" s="300" t="s">
        <v>2</v>
      </c>
      <c r="E4" s="2"/>
      <c r="F4" s="2"/>
      <c r="G4" s="2"/>
      <c r="H4" s="497"/>
      <c r="I4" s="282"/>
      <c r="J4" s="497"/>
      <c r="K4" s="423" t="s">
        <v>987</v>
      </c>
      <c r="L4" s="300"/>
      <c r="M4" s="2"/>
      <c r="N4" s="2"/>
    </row>
    <row r="5" spans="2:14" ht="15.5">
      <c r="B5" s="2"/>
      <c r="C5" s="4" t="s">
        <v>3</v>
      </c>
      <c r="D5" s="4" t="s">
        <v>4</v>
      </c>
      <c r="E5" s="4"/>
      <c r="F5" s="4"/>
      <c r="G5" s="4"/>
      <c r="H5" s="2"/>
      <c r="I5" s="2"/>
      <c r="J5" s="2"/>
      <c r="K5" s="2"/>
      <c r="L5" s="300"/>
      <c r="M5" s="2"/>
      <c r="N5" s="2"/>
    </row>
    <row r="6" spans="2:14" ht="15.5">
      <c r="B6" s="2"/>
      <c r="C6" s="2"/>
      <c r="D6" s="2"/>
      <c r="E6" s="2"/>
      <c r="F6" s="2"/>
      <c r="G6" s="2"/>
      <c r="H6" s="2"/>
      <c r="I6" s="2"/>
      <c r="J6" s="2"/>
      <c r="K6" s="2"/>
      <c r="L6" s="300"/>
      <c r="M6" s="2"/>
      <c r="N6" s="2"/>
    </row>
    <row r="7" spans="1:14" ht="15.5">
      <c r="A7" s="5"/>
      <c r="B7" s="2"/>
      <c r="C7" s="2"/>
      <c r="D7" s="11" t="s">
        <v>221</v>
      </c>
      <c r="E7" s="2"/>
      <c r="F7" s="2"/>
      <c r="G7" s="2"/>
      <c r="H7" s="2"/>
      <c r="I7" s="2"/>
      <c r="J7" s="2"/>
      <c r="K7" s="2"/>
      <c r="L7" s="300"/>
      <c r="M7" s="2"/>
      <c r="N7" s="2"/>
    </row>
    <row r="8" spans="1:14" ht="15.5">
      <c r="A8" s="5"/>
      <c r="B8" s="2"/>
      <c r="C8" s="2"/>
      <c r="D8" s="11"/>
      <c r="E8" s="2"/>
      <c r="F8" s="2"/>
      <c r="G8" s="2"/>
      <c r="H8" s="2"/>
      <c r="I8" s="2"/>
      <c r="J8" s="2"/>
      <c r="K8" s="2"/>
      <c r="L8" s="300"/>
      <c r="M8" s="2"/>
      <c r="N8" s="2"/>
    </row>
    <row r="9" spans="1:14" ht="15.5">
      <c r="A9" s="5" t="s">
        <v>5</v>
      </c>
      <c r="B9" s="2"/>
      <c r="C9" s="2"/>
      <c r="D9" s="11"/>
      <c r="E9" s="2"/>
      <c r="F9" s="2"/>
      <c r="G9" s="2"/>
      <c r="H9" s="2"/>
      <c r="I9" s="5" t="s">
        <v>6</v>
      </c>
      <c r="J9" s="2"/>
      <c r="K9" s="2"/>
      <c r="L9" s="300"/>
      <c r="M9" s="2"/>
      <c r="N9" s="2"/>
    </row>
    <row r="10" spans="1:14" ht="16" thickBot="1">
      <c r="A10" s="498" t="s">
        <v>7</v>
      </c>
      <c r="B10" s="2"/>
      <c r="C10" s="2"/>
      <c r="D10" s="2"/>
      <c r="E10" s="2"/>
      <c r="F10" s="2"/>
      <c r="G10" s="5"/>
      <c r="H10" s="2"/>
      <c r="I10" s="498" t="s">
        <v>8</v>
      </c>
      <c r="J10" s="5"/>
      <c r="K10" s="5"/>
      <c r="L10" s="300"/>
      <c r="M10" s="2"/>
      <c r="N10" s="2"/>
    </row>
    <row r="11" spans="1:14" ht="15.5">
      <c r="A11" s="5">
        <v>1</v>
      </c>
      <c r="B11" s="2" t="s">
        <v>220</v>
      </c>
      <c r="C11" s="2"/>
      <c r="D11" s="4"/>
      <c r="E11" s="2"/>
      <c r="F11" s="2"/>
      <c r="G11" s="2"/>
      <c r="H11" s="2"/>
      <c r="I11" s="499">
        <f>I181</f>
        <v>975088575.41754758</v>
      </c>
      <c r="J11" s="500"/>
      <c r="K11" s="501"/>
      <c r="L11" s="300"/>
      <c r="M11" s="2"/>
      <c r="N11" s="2"/>
    </row>
    <row r="12" spans="1:14" ht="15.5">
      <c r="A12" s="5"/>
      <c r="B12" s="2"/>
      <c r="C12" s="2"/>
      <c r="D12" s="2"/>
      <c r="E12" s="2"/>
      <c r="F12" s="2"/>
      <c r="G12" s="502"/>
      <c r="H12" s="2"/>
      <c r="I12" s="4"/>
      <c r="J12" s="2"/>
      <c r="K12" s="503"/>
      <c r="L12" s="300"/>
      <c r="M12" s="2"/>
      <c r="N12" s="2"/>
    </row>
    <row r="13" spans="1:14" ht="15.5">
      <c r="A13" s="5"/>
      <c r="B13" s="2"/>
      <c r="C13" s="2"/>
      <c r="D13" s="2"/>
      <c r="E13" s="2"/>
      <c r="F13" s="2"/>
      <c r="G13" s="2"/>
      <c r="H13" s="2"/>
      <c r="I13" s="4"/>
      <c r="J13" s="2"/>
      <c r="K13" s="2"/>
      <c r="L13" s="300"/>
      <c r="M13" s="2"/>
      <c r="N13" s="300"/>
    </row>
    <row r="14" spans="1:14" ht="16" thickBot="1">
      <c r="A14" s="5" t="s">
        <v>3</v>
      </c>
      <c r="B14" s="2" t="s">
        <v>132</v>
      </c>
      <c r="C14" s="4" t="s">
        <v>10</v>
      </c>
      <c r="D14" s="498" t="s">
        <v>11</v>
      </c>
      <c r="E14" s="4"/>
      <c r="F14" s="504" t="s">
        <v>12</v>
      </c>
      <c r="G14" s="504"/>
      <c r="H14" s="2"/>
      <c r="I14" s="4"/>
      <c r="J14" s="2"/>
      <c r="K14" s="2"/>
      <c r="L14" s="300"/>
      <c r="M14" s="2"/>
      <c r="N14" s="2"/>
    </row>
    <row r="15" spans="1:14" ht="15.5">
      <c r="A15" s="5" t="s">
        <v>328</v>
      </c>
      <c r="B15" s="2" t="s">
        <v>515</v>
      </c>
      <c r="C15" s="4" t="s">
        <v>516</v>
      </c>
      <c r="D15" s="505">
        <f>I259</f>
        <v>167331</v>
      </c>
      <c r="E15" s="4"/>
      <c r="F15" s="300" t="s">
        <v>14</v>
      </c>
      <c r="G15" s="506">
        <f>I211</f>
        <v>1</v>
      </c>
      <c r="H15" s="2"/>
      <c r="I15" s="598">
        <f>D15*G15</f>
        <v>167331</v>
      </c>
      <c r="J15" s="2"/>
      <c r="K15" s="2"/>
      <c r="L15" s="300"/>
      <c r="M15" s="2"/>
      <c r="N15" s="2"/>
    </row>
    <row r="16" spans="1:14" ht="15.5">
      <c r="A16" s="5" t="s">
        <v>351</v>
      </c>
      <c r="B16" s="2" t="s">
        <v>13</v>
      </c>
      <c r="C16" s="4" t="s">
        <v>273</v>
      </c>
      <c r="D16" s="298">
        <f>I261</f>
        <v>17825526</v>
      </c>
      <c r="E16" s="4"/>
      <c r="F16" s="4" t="s">
        <v>14</v>
      </c>
      <c r="G16" s="310">
        <f>I211</f>
        <v>1</v>
      </c>
      <c r="H16" s="4"/>
      <c r="I16" s="508">
        <f t="shared" si="0" ref="I16:I23">+G16*D16</f>
        <v>17825526</v>
      </c>
      <c r="J16" s="509"/>
      <c r="K16" s="72"/>
      <c r="L16" s="300"/>
      <c r="M16" s="2"/>
      <c r="N16" s="2"/>
    </row>
    <row r="17" spans="1:14" ht="15.5">
      <c r="A17" s="5">
        <v>3</v>
      </c>
      <c r="B17" s="2" t="s">
        <v>298</v>
      </c>
      <c r="C17" s="4" t="s">
        <v>517</v>
      </c>
      <c r="D17" s="298">
        <f>I263</f>
        <v>6106643.6499999994</v>
      </c>
      <c r="E17" s="4"/>
      <c r="F17" s="4" t="str">
        <f t="shared" si="1" ref="F17:G19">+F16</f>
        <v>TP</v>
      </c>
      <c r="G17" s="310">
        <f t="shared" si="1"/>
        <v>1</v>
      </c>
      <c r="H17" s="4"/>
      <c r="I17" s="508">
        <f t="shared" si="0"/>
        <v>6106643.6499999994</v>
      </c>
      <c r="J17" s="299"/>
      <c r="K17" s="72"/>
      <c r="L17" s="300"/>
      <c r="M17" s="2"/>
      <c r="N17" s="2"/>
    </row>
    <row r="18" spans="1:14" ht="15.5">
      <c r="A18" s="5" t="s">
        <v>222</v>
      </c>
      <c r="B18" s="4" t="s">
        <v>15</v>
      </c>
      <c r="C18" s="4"/>
      <c r="D18" s="318"/>
      <c r="E18" s="4"/>
      <c r="F18" s="4" t="str">
        <f t="shared" si="1"/>
        <v>TP</v>
      </c>
      <c r="G18" s="310">
        <f t="shared" si="1"/>
        <v>1</v>
      </c>
      <c r="H18" s="4"/>
      <c r="I18" s="508">
        <f t="shared" si="0"/>
        <v>0</v>
      </c>
      <c r="J18" s="299"/>
      <c r="K18" s="72"/>
      <c r="L18" s="300"/>
      <c r="N18" s="2"/>
    </row>
    <row r="19" spans="1:14" ht="15.5">
      <c r="A19" s="5" t="s">
        <v>223</v>
      </c>
      <c r="B19" s="4" t="s">
        <v>16</v>
      </c>
      <c r="C19" s="4"/>
      <c r="D19" s="318"/>
      <c r="E19" s="4"/>
      <c r="F19" s="4" t="str">
        <f t="shared" si="1"/>
        <v>TP</v>
      </c>
      <c r="G19" s="310">
        <f t="shared" si="1"/>
        <v>1</v>
      </c>
      <c r="H19" s="4"/>
      <c r="I19" s="508">
        <f t="shared" si="0"/>
        <v>0</v>
      </c>
      <c r="J19" s="299"/>
      <c r="K19" s="72"/>
      <c r="L19" s="300"/>
      <c r="N19" s="2"/>
    </row>
    <row r="20" spans="1:14" ht="15.5">
      <c r="A20" s="5" t="s">
        <v>73</v>
      </c>
      <c r="B20" s="4" t="s">
        <v>729</v>
      </c>
      <c r="C20" s="4"/>
      <c r="D20" s="298">
        <f>'Appendix E-MTEP Credit'!N86</f>
        <v>271471.18219178187</v>
      </c>
      <c r="E20" s="4"/>
      <c r="F20" s="4" t="str">
        <f t="shared" si="2" ref="F20:G22">+F19</f>
        <v>TP</v>
      </c>
      <c r="G20" s="310">
        <f t="shared" si="2"/>
        <v>1</v>
      </c>
      <c r="H20" s="4"/>
      <c r="I20" s="508">
        <f t="shared" si="0"/>
        <v>271471.18219178187</v>
      </c>
      <c r="J20" s="299"/>
      <c r="K20" s="510"/>
      <c r="L20" s="300"/>
      <c r="N20" s="2"/>
    </row>
    <row r="21" spans="1:14" ht="15.5">
      <c r="A21" s="5" t="s">
        <v>217</v>
      </c>
      <c r="B21" s="4" t="s">
        <v>274</v>
      </c>
      <c r="C21" s="4"/>
      <c r="D21" s="298">
        <v>0</v>
      </c>
      <c r="E21" s="4"/>
      <c r="F21" s="4" t="str">
        <f t="shared" si="2"/>
        <v>TP</v>
      </c>
      <c r="G21" s="310">
        <f t="shared" si="2"/>
        <v>1</v>
      </c>
      <c r="H21" s="4"/>
      <c r="I21" s="508">
        <f t="shared" si="0"/>
        <v>0</v>
      </c>
      <c r="J21" s="299"/>
      <c r="K21" s="510"/>
      <c r="L21" s="300"/>
      <c r="N21" s="2"/>
    </row>
    <row r="22" spans="1:14" ht="15.5">
      <c r="A22" s="5" t="s">
        <v>226</v>
      </c>
      <c r="B22" s="4" t="s">
        <v>274</v>
      </c>
      <c r="C22" s="4"/>
      <c r="D22" s="298">
        <v>0</v>
      </c>
      <c r="E22" s="4"/>
      <c r="F22" s="4" t="str">
        <f t="shared" si="2"/>
        <v>TP</v>
      </c>
      <c r="G22" s="310">
        <f t="shared" si="2"/>
        <v>1</v>
      </c>
      <c r="H22" s="4"/>
      <c r="I22" s="508">
        <f t="shared" si="0"/>
        <v>0</v>
      </c>
      <c r="J22" s="299"/>
      <c r="K22" s="510"/>
      <c r="L22" s="300"/>
      <c r="N22" s="2"/>
    </row>
    <row r="23" spans="1:14" ht="16" thickBot="1">
      <c r="A23" s="5" t="s">
        <v>218</v>
      </c>
      <c r="B23" s="4" t="s">
        <v>730</v>
      </c>
      <c r="C23" s="4"/>
      <c r="D23" s="307">
        <f>'Appendix D-TEC'!L75</f>
        <v>39086570.980555728</v>
      </c>
      <c r="E23" s="4"/>
      <c r="F23" s="4" t="str">
        <f>+F20</f>
        <v>TP</v>
      </c>
      <c r="G23" s="310">
        <f>+G22</f>
        <v>1</v>
      </c>
      <c r="H23" s="4"/>
      <c r="I23" s="511">
        <f t="shared" si="0"/>
        <v>39086570.980555728</v>
      </c>
      <c r="J23" s="299"/>
      <c r="K23" s="510"/>
      <c r="L23" s="300"/>
      <c r="N23" s="2"/>
    </row>
    <row r="24" spans="1:14" ht="15.5">
      <c r="A24" s="5" t="s">
        <v>482</v>
      </c>
      <c r="B24" s="2" t="s">
        <v>563</v>
      </c>
      <c r="C24" s="2"/>
      <c r="D24" s="512">
        <f>SUM(D15:D23)</f>
        <v>63457542.812747508</v>
      </c>
      <c r="E24" s="4"/>
      <c r="F24" s="4"/>
      <c r="G24" s="310"/>
      <c r="H24" s="4"/>
      <c r="I24" s="513">
        <f>SUM(I15:I23)</f>
        <v>63457542.812747508</v>
      </c>
      <c r="J24" s="2"/>
      <c r="K24" s="514"/>
      <c r="L24" s="300"/>
      <c r="N24" s="2"/>
    </row>
    <row r="25" spans="1:14" ht="15.5">
      <c r="A25" s="5" t="s">
        <v>331</v>
      </c>
      <c r="B25" s="2" t="s">
        <v>475</v>
      </c>
      <c r="C25" s="2"/>
      <c r="D25" s="515"/>
      <c r="E25" s="4"/>
      <c r="F25" s="4"/>
      <c r="G25" s="310"/>
      <c r="H25" s="4"/>
      <c r="I25" s="516"/>
      <c r="J25" s="2"/>
      <c r="K25" s="514"/>
      <c r="L25" s="300"/>
      <c r="N25" s="2"/>
    </row>
    <row r="26" spans="1:14" ht="15.5">
      <c r="A26" s="5"/>
      <c r="B26" s="2"/>
      <c r="C26" s="2"/>
      <c r="F26" s="4"/>
      <c r="I26" s="517"/>
      <c r="J26" s="2"/>
      <c r="K26" s="2"/>
      <c r="L26" s="300"/>
      <c r="N26" s="2"/>
    </row>
    <row r="27" spans="1:14" ht="16" thickBot="1">
      <c r="A27" s="5">
        <v>7</v>
      </c>
      <c r="B27" s="2" t="s">
        <v>17</v>
      </c>
      <c r="C27" s="2" t="s">
        <v>483</v>
      </c>
      <c r="D27" s="518" t="s">
        <v>3</v>
      </c>
      <c r="E27" s="4"/>
      <c r="F27" s="4"/>
      <c r="G27" s="4"/>
      <c r="H27" s="4"/>
      <c r="I27" s="519">
        <f>I11-I24+I25</f>
        <v>911631032.60480011</v>
      </c>
      <c r="J27" s="594"/>
      <c r="K27" s="520"/>
      <c r="L27" s="300"/>
      <c r="N27" s="2"/>
    </row>
    <row r="28" spans="1:14" ht="16" thickTop="1">
      <c r="A28" s="5"/>
      <c r="B28" s="2"/>
      <c r="C28" s="2"/>
      <c r="D28" s="518"/>
      <c r="E28" s="4"/>
      <c r="F28" s="4"/>
      <c r="G28" s="4"/>
      <c r="H28" s="4"/>
      <c r="I28" s="521"/>
      <c r="J28" s="2"/>
      <c r="K28" s="521"/>
      <c r="L28" s="300"/>
      <c r="N28" s="2"/>
    </row>
    <row r="29" spans="1:14" ht="15.5">
      <c r="A29" s="5"/>
      <c r="B29" s="2"/>
      <c r="C29" s="2"/>
      <c r="D29" s="518"/>
      <c r="E29" s="4"/>
      <c r="F29" s="4"/>
      <c r="G29" s="4"/>
      <c r="H29" s="4"/>
      <c r="I29" s="521"/>
      <c r="J29" s="2"/>
      <c r="K29" s="521"/>
      <c r="L29" s="300"/>
      <c r="N29" s="2"/>
    </row>
    <row r="30" spans="1:14" ht="15.5">
      <c r="A30" s="5"/>
      <c r="C30" s="4"/>
      <c r="I30" s="4"/>
      <c r="J30" s="2"/>
      <c r="K30" s="2"/>
      <c r="L30" s="300"/>
      <c r="N30" s="2"/>
    </row>
    <row r="31" spans="1:14" ht="16" thickBot="1">
      <c r="A31" s="5"/>
      <c r="B31" s="2" t="s">
        <v>18</v>
      </c>
      <c r="C31" s="2"/>
      <c r="D31" s="4"/>
      <c r="E31" s="2"/>
      <c r="F31" s="2"/>
      <c r="G31" s="2"/>
      <c r="H31" s="2"/>
      <c r="I31" s="522" t="s">
        <v>11</v>
      </c>
      <c r="J31" s="5"/>
      <c r="K31" s="26"/>
      <c r="L31" s="300"/>
      <c r="N31" s="2"/>
    </row>
    <row r="32" spans="1:14" ht="15.5">
      <c r="A32" s="5">
        <v>8</v>
      </c>
      <c r="B32" s="2" t="s">
        <v>293</v>
      </c>
      <c r="D32" s="4"/>
      <c r="E32" s="2"/>
      <c r="F32" s="2"/>
      <c r="G32" s="2" t="s">
        <v>19</v>
      </c>
      <c r="H32" s="2"/>
      <c r="I32" s="523">
        <v>12771.1</v>
      </c>
      <c r="J32" s="605"/>
      <c r="K32" s="72"/>
      <c r="L32" s="524"/>
      <c r="N32" s="2"/>
    </row>
    <row r="33" spans="1:14" ht="15.5">
      <c r="A33" s="5">
        <v>9</v>
      </c>
      <c r="B33" s="2" t="s">
        <v>294</v>
      </c>
      <c r="C33" s="4"/>
      <c r="D33" s="4"/>
      <c r="E33" s="4"/>
      <c r="F33" s="4"/>
      <c r="G33" s="2" t="s">
        <v>20</v>
      </c>
      <c r="H33" s="4"/>
      <c r="I33" s="523">
        <v>10146.700000000001</v>
      </c>
      <c r="J33" s="606"/>
      <c r="K33" s="72"/>
      <c r="L33" s="524"/>
      <c r="M33" s="2"/>
      <c r="N33" s="2"/>
    </row>
    <row r="34" spans="1:14" ht="15.5">
      <c r="A34" s="5">
        <v>10</v>
      </c>
      <c r="B34" s="4" t="s">
        <v>274</v>
      </c>
      <c r="C34" s="231"/>
      <c r="D34" s="2"/>
      <c r="E34" s="2"/>
      <c r="G34" s="2"/>
      <c r="H34" s="2"/>
      <c r="I34" s="525">
        <v>0</v>
      </c>
      <c r="J34" s="525"/>
      <c r="K34" s="72"/>
      <c r="L34" s="524"/>
      <c r="M34" s="2"/>
      <c r="N34" s="2"/>
    </row>
    <row r="35" spans="1:14" ht="15.5">
      <c r="A35" s="5">
        <v>11</v>
      </c>
      <c r="B35" s="2" t="s">
        <v>274</v>
      </c>
      <c r="C35" s="2"/>
      <c r="D35" s="2"/>
      <c r="E35" s="2"/>
      <c r="G35" s="2"/>
      <c r="H35" s="2"/>
      <c r="I35" s="72">
        <v>0</v>
      </c>
      <c r="J35" s="525"/>
      <c r="K35" s="72"/>
      <c r="L35" s="524"/>
      <c r="M35" s="2"/>
      <c r="N35" s="2"/>
    </row>
    <row r="36" spans="1:14" ht="15.5">
      <c r="A36" s="5">
        <v>12</v>
      </c>
      <c r="B36" s="4" t="s">
        <v>274</v>
      </c>
      <c r="C36" s="2"/>
      <c r="D36" s="2"/>
      <c r="E36" s="2"/>
      <c r="F36" s="2"/>
      <c r="G36" s="2"/>
      <c r="H36" s="2"/>
      <c r="I36" s="72">
        <v>0</v>
      </c>
      <c r="J36" s="525"/>
      <c r="K36" s="72"/>
      <c r="L36" s="524"/>
      <c r="M36" s="2"/>
      <c r="N36" s="2"/>
    </row>
    <row r="37" spans="1:14" ht="15.5">
      <c r="A37" s="5">
        <v>13</v>
      </c>
      <c r="B37" s="4" t="s">
        <v>274</v>
      </c>
      <c r="C37" s="2"/>
      <c r="D37" s="2"/>
      <c r="E37" s="2"/>
      <c r="F37" s="2"/>
      <c r="G37" s="2"/>
      <c r="H37" s="2"/>
      <c r="I37" s="72">
        <v>0</v>
      </c>
      <c r="J37" s="525"/>
      <c r="K37" s="72"/>
      <c r="L37" s="524"/>
      <c r="M37" s="2"/>
      <c r="N37" s="2"/>
    </row>
    <row r="38" spans="1:14" ht="15.5">
      <c r="A38" s="5">
        <v>14</v>
      </c>
      <c r="B38" s="4" t="s">
        <v>274</v>
      </c>
      <c r="C38" s="2"/>
      <c r="D38" s="2"/>
      <c r="E38" s="2"/>
      <c r="F38" s="2"/>
      <c r="G38" s="2"/>
      <c r="H38" s="2"/>
      <c r="I38" s="72">
        <v>0</v>
      </c>
      <c r="J38" s="72"/>
      <c r="K38" s="72"/>
      <c r="L38" s="524"/>
      <c r="M38" s="2"/>
      <c r="N38" s="2"/>
    </row>
    <row r="39" spans="1:14" ht="16.5" customHeight="1">
      <c r="A39" s="5">
        <v>15</v>
      </c>
      <c r="B39" s="2" t="s">
        <v>274</v>
      </c>
      <c r="C39" s="2"/>
      <c r="D39" s="2"/>
      <c r="E39" s="2"/>
      <c r="F39" s="2"/>
      <c r="G39" s="2"/>
      <c r="H39" s="2"/>
      <c r="I39" s="4"/>
      <c r="J39" s="2"/>
      <c r="K39" s="4"/>
      <c r="L39" s="300"/>
      <c r="M39" s="2"/>
      <c r="N39" s="2"/>
    </row>
    <row r="40" spans="1:14" ht="16.5" customHeight="1">
      <c r="A40" s="5"/>
      <c r="B40" s="2"/>
      <c r="C40" s="2"/>
      <c r="D40" s="2"/>
      <c r="E40" s="2"/>
      <c r="F40" s="2"/>
      <c r="G40" s="2"/>
      <c r="H40" s="2"/>
      <c r="I40" s="4"/>
      <c r="J40" s="2"/>
      <c r="K40" s="4"/>
      <c r="L40" s="300"/>
      <c r="M40" s="2"/>
      <c r="N40" s="2"/>
    </row>
    <row r="41" spans="1:14" ht="16" thickBot="1">
      <c r="A41" s="5"/>
      <c r="B41" s="2"/>
      <c r="C41" s="2"/>
      <c r="D41" s="498" t="s">
        <v>11</v>
      </c>
      <c r="F41" s="2"/>
      <c r="G41" s="2"/>
      <c r="H41" s="2"/>
      <c r="I41" s="4"/>
      <c r="J41" s="2"/>
      <c r="K41" s="2"/>
      <c r="L41" s="300"/>
      <c r="M41" s="2"/>
      <c r="N41" s="2"/>
    </row>
    <row r="42" spans="1:14" ht="15.5">
      <c r="A42" s="5">
        <v>16</v>
      </c>
      <c r="B42" s="2" t="s">
        <v>289</v>
      </c>
      <c r="C42" s="2" t="s">
        <v>291</v>
      </c>
      <c r="D42" s="526">
        <f>IF(I32&gt;0,(I27/I32),0)</f>
        <v>71382.342367125777</v>
      </c>
      <c r="F42" s="527"/>
      <c r="G42" s="2"/>
      <c r="H42" s="2"/>
      <c r="J42" s="2"/>
      <c r="K42" s="2"/>
      <c r="L42" s="300"/>
      <c r="M42" s="2"/>
      <c r="N42" s="2"/>
    </row>
    <row r="43" spans="1:13" ht="15.5">
      <c r="A43" s="5"/>
      <c r="B43" s="2"/>
      <c r="C43" s="2"/>
      <c r="D43" s="528"/>
      <c r="F43" s="529"/>
      <c r="G43" s="2"/>
      <c r="H43" s="2"/>
      <c r="J43" s="2"/>
      <c r="K43" s="2"/>
      <c r="L43" s="300"/>
      <c r="M43" s="2"/>
    </row>
    <row r="44" spans="1:13" ht="15.5">
      <c r="A44" s="5"/>
      <c r="B44" s="2"/>
      <c r="C44" s="2"/>
      <c r="D44" s="529"/>
      <c r="E44" s="529"/>
      <c r="F44" s="530"/>
      <c r="G44" s="531"/>
      <c r="H44" s="2"/>
      <c r="J44" s="2"/>
      <c r="K44" s="2"/>
      <c r="L44" s="300"/>
      <c r="M44" s="2"/>
    </row>
    <row r="45" spans="1:13" ht="15.5">
      <c r="A45" s="5"/>
      <c r="B45" s="2"/>
      <c r="C45" s="2"/>
      <c r="D45" s="685" t="s">
        <v>23</v>
      </c>
      <c r="E45" s="685"/>
      <c r="F45" s="2"/>
      <c r="G45" s="2"/>
      <c r="H45" s="2"/>
      <c r="I45" s="686" t="s">
        <v>24</v>
      </c>
      <c r="J45" s="686"/>
      <c r="K45" s="2"/>
      <c r="L45" s="300"/>
      <c r="M45" s="2"/>
    </row>
    <row r="46" spans="1:13" ht="16" thickBot="1">
      <c r="A46" s="5"/>
      <c r="B46" s="2"/>
      <c r="C46" s="2"/>
      <c r="D46" s="532" t="str">
        <f>D41</f>
        <v>Total</v>
      </c>
      <c r="E46" s="5"/>
      <c r="F46" s="5"/>
      <c r="G46" s="5"/>
      <c r="H46" s="5"/>
      <c r="I46" s="533" t="str">
        <f>D46</f>
        <v>Total</v>
      </c>
      <c r="J46" s="2"/>
      <c r="K46" s="3"/>
      <c r="L46" s="300"/>
      <c r="M46" s="2"/>
    </row>
    <row r="47" spans="1:13" ht="15.5">
      <c r="A47" s="5">
        <v>17</v>
      </c>
      <c r="B47" s="2" t="s">
        <v>290</v>
      </c>
      <c r="C47" s="2" t="s">
        <v>292</v>
      </c>
      <c r="D47" s="534">
        <f>IF(I33&gt;0,(I27/I33),0)</f>
        <v>89845.075995624196</v>
      </c>
      <c r="E47" s="72"/>
      <c r="F47" s="535"/>
      <c r="G47" s="507"/>
      <c r="H47" s="507"/>
      <c r="I47" s="534">
        <f>IF(I33&gt;0,(I27/I33),0)</f>
        <v>89845.075995624196</v>
      </c>
      <c r="J47" s="527"/>
      <c r="K47" s="3"/>
      <c r="L47" s="300"/>
      <c r="M47" s="2"/>
    </row>
    <row r="48" spans="1:13" ht="15.5">
      <c r="A48" s="5">
        <v>18</v>
      </c>
      <c r="B48" s="2" t="s">
        <v>303</v>
      </c>
      <c r="C48" s="300" t="s">
        <v>441</v>
      </c>
      <c r="D48" s="507">
        <f>D47/12</f>
        <v>7487.0896663020167</v>
      </c>
      <c r="E48" s="72"/>
      <c r="F48" s="507"/>
      <c r="G48" s="507"/>
      <c r="H48" s="507"/>
      <c r="I48" s="507">
        <f>I47/12</f>
        <v>7487.0896663020167</v>
      </c>
      <c r="J48" s="527"/>
      <c r="K48" s="536"/>
      <c r="L48" s="300"/>
      <c r="M48" s="2"/>
    </row>
    <row r="49" spans="1:13" ht="15.5">
      <c r="A49" s="5">
        <v>19</v>
      </c>
      <c r="B49" s="2" t="s">
        <v>287</v>
      </c>
      <c r="C49" s="300" t="s">
        <v>442</v>
      </c>
      <c r="D49" s="507">
        <f>D47/52</f>
        <v>1727.789922992773</v>
      </c>
      <c r="E49" s="72"/>
      <c r="F49" s="525"/>
      <c r="G49" s="537"/>
      <c r="H49" s="507"/>
      <c r="I49" s="507">
        <f>I47/52</f>
        <v>1727.789922992773</v>
      </c>
      <c r="J49" s="527"/>
      <c r="K49" s="536"/>
      <c r="L49" s="300"/>
      <c r="M49" s="2"/>
    </row>
    <row r="50" spans="1:13" ht="15.5">
      <c r="A50" s="5">
        <v>20</v>
      </c>
      <c r="B50" s="2" t="s">
        <v>288</v>
      </c>
      <c r="C50" s="2" t="s">
        <v>304</v>
      </c>
      <c r="D50" s="507">
        <f>D49/5</f>
        <v>345.55798459855458</v>
      </c>
      <c r="E50" s="72"/>
      <c r="F50" s="525"/>
      <c r="G50" s="537"/>
      <c r="H50" s="507"/>
      <c r="I50" s="507">
        <f>I49/7</f>
        <v>246.82713185611041</v>
      </c>
      <c r="J50" s="527"/>
      <c r="K50" s="536"/>
      <c r="L50" s="300"/>
      <c r="M50" s="2"/>
    </row>
    <row r="51" spans="1:13" ht="15.5">
      <c r="A51" s="5">
        <v>21</v>
      </c>
      <c r="B51" s="2" t="s">
        <v>25</v>
      </c>
      <c r="C51" s="2" t="s">
        <v>443</v>
      </c>
      <c r="D51" s="507">
        <f>D47/4160</f>
        <v>21.597374037409661</v>
      </c>
      <c r="E51" s="72"/>
      <c r="F51" s="525"/>
      <c r="G51" s="537"/>
      <c r="H51" s="507"/>
      <c r="I51" s="526">
        <f>I47/8760</f>
        <v>10.256287214112351</v>
      </c>
      <c r="J51" s="538"/>
      <c r="K51" s="2" t="s">
        <v>3</v>
      </c>
      <c r="L51" s="300"/>
      <c r="M51" s="2"/>
    </row>
    <row r="52" spans="1:13" ht="15.5">
      <c r="A52" s="5"/>
      <c r="B52" s="2"/>
      <c r="C52" s="2"/>
      <c r="D52" s="507"/>
      <c r="E52" s="507"/>
      <c r="F52" s="537"/>
      <c r="G52" s="525"/>
      <c r="H52" s="507"/>
      <c r="I52" s="526"/>
      <c r="J52" s="2"/>
      <c r="K52" s="2" t="s">
        <v>3</v>
      </c>
      <c r="L52" s="300"/>
      <c r="M52" s="2"/>
    </row>
    <row r="53" spans="2:13" ht="16.5" customHeight="1">
      <c r="B53" s="2"/>
      <c r="C53" s="2"/>
      <c r="D53" s="300"/>
      <c r="E53" s="2"/>
      <c r="F53" s="2"/>
      <c r="G53" s="2"/>
      <c r="H53" s="2"/>
      <c r="I53" s="2"/>
      <c r="K53" s="3" t="s">
        <v>305</v>
      </c>
      <c r="L53" s="300"/>
      <c r="M53" s="2"/>
    </row>
    <row r="54" spans="2:13" ht="16.5" customHeight="1">
      <c r="B54" s="2"/>
      <c r="C54" s="2"/>
      <c r="D54" s="300"/>
      <c r="E54" s="2"/>
      <c r="F54" s="2"/>
      <c r="G54" s="2"/>
      <c r="H54" s="2"/>
      <c r="I54" s="2"/>
      <c r="J54" s="2"/>
      <c r="K54" s="3" t="s">
        <v>26</v>
      </c>
      <c r="L54" s="300"/>
      <c r="M54" s="2"/>
    </row>
    <row r="55" spans="2:13" ht="16.5" customHeight="1">
      <c r="B55" s="2"/>
      <c r="C55" s="2"/>
      <c r="D55" s="300"/>
      <c r="E55" s="2"/>
      <c r="F55" s="2"/>
      <c r="G55" s="2"/>
      <c r="H55" s="2"/>
      <c r="I55" s="2"/>
      <c r="J55" s="2"/>
      <c r="K55" s="3"/>
      <c r="L55" s="300"/>
      <c r="M55" s="2"/>
    </row>
    <row r="56" spans="2:13" ht="15.5">
      <c r="B56" s="2" t="s">
        <v>1</v>
      </c>
      <c r="C56" s="2"/>
      <c r="D56" s="300" t="s">
        <v>2</v>
      </c>
      <c r="E56" s="2"/>
      <c r="F56" s="2"/>
      <c r="G56" s="2"/>
      <c r="H56" s="497"/>
      <c r="I56" s="282"/>
      <c r="J56" s="497"/>
      <c r="K56" s="423" t="str">
        <f>K4</f>
        <v>For the 12 months ended 12/31/2023</v>
      </c>
      <c r="L56" s="300"/>
      <c r="M56" s="2"/>
    </row>
    <row r="57" spans="2:13" ht="15.5">
      <c r="B57" s="2"/>
      <c r="C57" s="4" t="s">
        <v>3</v>
      </c>
      <c r="D57" s="4" t="s">
        <v>4</v>
      </c>
      <c r="E57" s="4"/>
      <c r="F57" s="4"/>
      <c r="G57" s="4"/>
      <c r="H57" s="2"/>
      <c r="I57" s="2"/>
      <c r="J57" s="2"/>
      <c r="K57" s="2"/>
      <c r="L57" s="300"/>
      <c r="M57" s="2"/>
    </row>
    <row r="58" spans="2:13" ht="15.5">
      <c r="B58" s="2"/>
      <c r="C58" s="4"/>
      <c r="D58" s="4"/>
      <c r="E58" s="4"/>
      <c r="F58" s="4"/>
      <c r="G58" s="4"/>
      <c r="H58" s="2"/>
      <c r="I58" s="2"/>
      <c r="J58" s="2"/>
      <c r="K58" s="2"/>
      <c r="L58" s="300"/>
      <c r="M58" s="2"/>
    </row>
    <row r="59" spans="2:13" ht="15.5">
      <c r="B59" s="2"/>
      <c r="C59" s="2"/>
      <c r="D59" s="4" t="str">
        <f>D7</f>
        <v>American Transmission Systems, Inc.</v>
      </c>
      <c r="E59" s="4"/>
      <c r="F59" s="4"/>
      <c r="G59" s="4"/>
      <c r="H59" s="4"/>
      <c r="I59" s="4"/>
      <c r="J59" s="4"/>
      <c r="K59" s="4"/>
      <c r="L59" s="306"/>
      <c r="M59" s="4"/>
    </row>
    <row r="60" spans="2:13" ht="15.5">
      <c r="B60" s="5" t="s">
        <v>27</v>
      </c>
      <c r="C60" s="5" t="s">
        <v>28</v>
      </c>
      <c r="D60" s="5" t="s">
        <v>29</v>
      </c>
      <c r="E60" s="4" t="s">
        <v>3</v>
      </c>
      <c r="F60" s="4"/>
      <c r="G60" s="6" t="s">
        <v>30</v>
      </c>
      <c r="H60" s="4"/>
      <c r="I60" s="7" t="s">
        <v>31</v>
      </c>
      <c r="J60" s="4"/>
      <c r="K60" s="7"/>
      <c r="L60" s="300"/>
      <c r="M60" s="4"/>
    </row>
    <row r="61" spans="2:13" ht="15.5">
      <c r="B61" s="2"/>
      <c r="C61" s="152" t="s">
        <v>444</v>
      </c>
      <c r="D61" s="4"/>
      <c r="E61" s="4"/>
      <c r="F61" s="4"/>
      <c r="G61" s="5"/>
      <c r="H61" s="4"/>
      <c r="I61" s="8" t="s">
        <v>33</v>
      </c>
      <c r="J61" s="4"/>
      <c r="K61" s="539"/>
      <c r="L61" s="300"/>
      <c r="M61" s="5"/>
    </row>
    <row r="62" spans="1:13" ht="15.5">
      <c r="A62" s="5" t="s">
        <v>5</v>
      </c>
      <c r="B62" s="2"/>
      <c r="C62" s="152" t="s">
        <v>445</v>
      </c>
      <c r="D62" s="8" t="s">
        <v>34</v>
      </c>
      <c r="E62" s="9"/>
      <c r="F62" s="8" t="s">
        <v>35</v>
      </c>
      <c r="H62" s="9"/>
      <c r="I62" s="5" t="s">
        <v>36</v>
      </c>
      <c r="J62" s="4"/>
      <c r="K62" s="540"/>
      <c r="L62" s="300"/>
      <c r="M62" s="5"/>
    </row>
    <row r="63" spans="1:13" ht="16" thickBot="1">
      <c r="A63" s="498" t="s">
        <v>7</v>
      </c>
      <c r="B63" s="18" t="s">
        <v>37</v>
      </c>
      <c r="C63" s="4"/>
      <c r="D63" s="4"/>
      <c r="E63" s="4"/>
      <c r="F63" s="4"/>
      <c r="G63" s="4"/>
      <c r="H63" s="4"/>
      <c r="I63" s="4"/>
      <c r="J63" s="4"/>
      <c r="K63" s="4"/>
      <c r="L63" s="306"/>
      <c r="M63" s="4"/>
    </row>
    <row r="64" spans="1:13" ht="15.5">
      <c r="A64" s="5"/>
      <c r="B64" s="2" t="s">
        <v>38</v>
      </c>
      <c r="C64" s="4"/>
      <c r="D64" s="4"/>
      <c r="E64" s="4"/>
      <c r="F64" s="4"/>
      <c r="G64" s="4"/>
      <c r="H64" s="4"/>
      <c r="I64" s="4"/>
      <c r="J64" s="4"/>
      <c r="L64" s="306"/>
      <c r="M64" s="4"/>
    </row>
    <row r="65" spans="1:13" ht="15.5">
      <c r="A65" s="5">
        <v>1</v>
      </c>
      <c r="B65" s="2" t="s">
        <v>39</v>
      </c>
      <c r="C65" s="4" t="s">
        <v>484</v>
      </c>
      <c r="D65" s="318">
        <f>'WP01 Plant'!E20</f>
        <v>0</v>
      </c>
      <c r="E65" s="4"/>
      <c r="F65" s="4" t="s">
        <v>40</v>
      </c>
      <c r="G65" s="301" t="s">
        <v>3</v>
      </c>
      <c r="H65" s="4"/>
      <c r="I65" s="4" t="s">
        <v>3</v>
      </c>
      <c r="J65" s="4"/>
      <c r="K65" s="107"/>
      <c r="L65" s="524"/>
      <c r="M65" s="4"/>
    </row>
    <row r="66" spans="1:13" ht="15.5">
      <c r="A66" s="5">
        <v>2</v>
      </c>
      <c r="B66" s="2" t="s">
        <v>41</v>
      </c>
      <c r="C66" s="4" t="s">
        <v>485</v>
      </c>
      <c r="D66" s="318">
        <f>'WP01 Plant'!F20-'WP01 Plant'!F41</f>
        <v>5736002767.4030781</v>
      </c>
      <c r="E66" s="4"/>
      <c r="F66" s="4" t="s">
        <v>14</v>
      </c>
      <c r="G66" s="301">
        <f>I211</f>
        <v>1</v>
      </c>
      <c r="H66" s="4"/>
      <c r="I66" s="280">
        <f>+G66*D66</f>
        <v>5736002767.4030781</v>
      </c>
      <c r="J66" s="4"/>
      <c r="K66" s="107"/>
      <c r="L66" s="524"/>
      <c r="M66" s="4"/>
    </row>
    <row r="67" spans="1:13" ht="15.5">
      <c r="A67" s="5">
        <v>3</v>
      </c>
      <c r="B67" s="2" t="s">
        <v>42</v>
      </c>
      <c r="C67" s="4" t="s">
        <v>486</v>
      </c>
      <c r="D67" s="318">
        <f>'WP01 Plant'!G20</f>
        <v>0</v>
      </c>
      <c r="E67" s="4"/>
      <c r="F67" s="4" t="s">
        <v>40</v>
      </c>
      <c r="G67" s="301" t="s">
        <v>3</v>
      </c>
      <c r="H67" s="4"/>
      <c r="I67" s="280" t="s">
        <v>3</v>
      </c>
      <c r="J67" s="4"/>
      <c r="K67" s="107"/>
      <c r="L67" s="524"/>
      <c r="M67" s="4"/>
    </row>
    <row r="68" spans="1:13" ht="15.5">
      <c r="A68" s="5">
        <v>4</v>
      </c>
      <c r="B68" s="2" t="s">
        <v>43</v>
      </c>
      <c r="C68" s="4" t="s">
        <v>487</v>
      </c>
      <c r="D68" s="318">
        <f>'WP01 Plant'!H20+'WP01 Plant'!I20</f>
        <v>368788929.18307686</v>
      </c>
      <c r="E68" s="4"/>
      <c r="F68" s="4" t="s">
        <v>44</v>
      </c>
      <c r="G68" s="301">
        <f>I228</f>
        <v>1</v>
      </c>
      <c r="H68" s="4"/>
      <c r="I68" s="280">
        <f>+G68*D68</f>
        <v>368788929.18307686</v>
      </c>
      <c r="J68" s="4"/>
      <c r="K68" s="107"/>
      <c r="L68" s="524"/>
      <c r="M68" s="5"/>
    </row>
    <row r="69" spans="1:13" ht="16" thickBot="1">
      <c r="A69" s="5">
        <v>5</v>
      </c>
      <c r="B69" s="2" t="s">
        <v>45</v>
      </c>
      <c r="C69" s="300" t="s">
        <v>488</v>
      </c>
      <c r="D69" s="541">
        <f>'WP01 Plant'!J20</f>
        <v>0</v>
      </c>
      <c r="E69" s="4"/>
      <c r="F69" s="4" t="s">
        <v>46</v>
      </c>
      <c r="G69" s="301">
        <f>K233</f>
        <v>1</v>
      </c>
      <c r="H69" s="4"/>
      <c r="I69" s="296">
        <f>+G69*D69</f>
        <v>0</v>
      </c>
      <c r="J69" s="4"/>
      <c r="K69" s="107"/>
      <c r="L69" s="524"/>
      <c r="M69" s="5"/>
    </row>
    <row r="70" spans="1:13" ht="15.5">
      <c r="A70" s="5">
        <v>6</v>
      </c>
      <c r="B70" s="2" t="s">
        <v>47</v>
      </c>
      <c r="C70" s="4"/>
      <c r="D70" s="280">
        <f>SUM(D65:D69)</f>
        <v>6104791696.5861549</v>
      </c>
      <c r="E70" s="4"/>
      <c r="F70" s="4" t="s">
        <v>48</v>
      </c>
      <c r="G70" s="10">
        <f>IF(I70&gt;0,I70/D70,0)</f>
        <v>1</v>
      </c>
      <c r="H70" s="4"/>
      <c r="I70" s="280">
        <f>SUM(I65:I69)</f>
        <v>6104791696.5861549</v>
      </c>
      <c r="J70" s="4"/>
      <c r="K70" s="542"/>
      <c r="L70" s="306"/>
      <c r="M70" s="4"/>
    </row>
    <row r="71" spans="2:13" ht="15.5">
      <c r="B71" s="2"/>
      <c r="C71" s="4"/>
      <c r="D71" s="280"/>
      <c r="E71" s="4"/>
      <c r="F71" s="4"/>
      <c r="G71" s="10"/>
      <c r="H71" s="4"/>
      <c r="I71" s="280"/>
      <c r="J71" s="4"/>
      <c r="K71" s="542"/>
      <c r="L71" s="306"/>
      <c r="M71" s="4"/>
    </row>
    <row r="72" spans="2:13" ht="15.5">
      <c r="B72" s="2" t="s">
        <v>49</v>
      </c>
      <c r="C72" s="4"/>
      <c r="D72" s="280"/>
      <c r="E72" s="4"/>
      <c r="F72" s="4"/>
      <c r="G72" s="4"/>
      <c r="H72" s="4"/>
      <c r="I72" s="280"/>
      <c r="J72" s="4"/>
      <c r="K72" s="107"/>
      <c r="L72" s="306"/>
      <c r="M72" s="4"/>
    </row>
    <row r="73" spans="1:13" ht="15.5">
      <c r="A73" s="5">
        <v>7</v>
      </c>
      <c r="B73" s="2" t="str">
        <f>+B65</f>
        <v xml:space="preserve">  Production</v>
      </c>
      <c r="C73" s="4" t="s">
        <v>489</v>
      </c>
      <c r="D73" s="318">
        <f>'WP02 Accum Depr'!E20</f>
        <v>0</v>
      </c>
      <c r="E73" s="4"/>
      <c r="F73" s="4" t="str">
        <f t="shared" si="3" ref="F73:G77">+F65</f>
        <v>NA</v>
      </c>
      <c r="G73" s="301" t="str">
        <f t="shared" si="3"/>
        <v xml:space="preserve"> </v>
      </c>
      <c r="H73" s="4"/>
      <c r="I73" s="280" t="s">
        <v>3</v>
      </c>
      <c r="J73" s="4"/>
      <c r="K73" s="107"/>
      <c r="L73" s="306"/>
      <c r="M73" s="4"/>
    </row>
    <row r="74" spans="1:13" ht="15.5">
      <c r="A74" s="5">
        <v>8</v>
      </c>
      <c r="B74" s="2" t="str">
        <f>+B66</f>
        <v xml:space="preserve">  Transmission</v>
      </c>
      <c r="C74" s="4" t="s">
        <v>490</v>
      </c>
      <c r="D74" s="318">
        <f>'WP02 Accum Depr'!F20-'WP02 Accum Depr'!F41</f>
        <v>1301586986.2086539</v>
      </c>
      <c r="E74" s="4"/>
      <c r="F74" s="4" t="str">
        <f t="shared" si="3"/>
        <v>TP</v>
      </c>
      <c r="G74" s="301">
        <f t="shared" si="3"/>
        <v>1</v>
      </c>
      <c r="H74" s="4"/>
      <c r="I74" s="280">
        <f>+G74*D74</f>
        <v>1301586986.2086539</v>
      </c>
      <c r="J74" s="4"/>
      <c r="K74" s="107"/>
      <c r="L74" s="306"/>
      <c r="M74" s="4"/>
    </row>
    <row r="75" spans="1:13" ht="15.5">
      <c r="A75" s="5">
        <v>9</v>
      </c>
      <c r="B75" s="2" t="str">
        <f>+B67</f>
        <v xml:space="preserve">  Distribution</v>
      </c>
      <c r="C75" s="4" t="s">
        <v>491</v>
      </c>
      <c r="D75" s="318">
        <f>'WP02 Accum Depr'!G20</f>
        <v>0</v>
      </c>
      <c r="E75" s="4"/>
      <c r="F75" s="4" t="str">
        <f t="shared" si="3"/>
        <v>NA</v>
      </c>
      <c r="G75" s="301" t="str">
        <f t="shared" si="3"/>
        <v xml:space="preserve"> </v>
      </c>
      <c r="H75" s="4"/>
      <c r="I75" s="280" t="s">
        <v>3</v>
      </c>
      <c r="J75" s="4"/>
      <c r="K75" s="107"/>
      <c r="L75" s="306"/>
      <c r="M75" s="4"/>
    </row>
    <row r="76" spans="1:13" ht="15.5">
      <c r="A76" s="5">
        <v>10</v>
      </c>
      <c r="B76" s="2" t="str">
        <f>+B68</f>
        <v xml:space="preserve">  General &amp; Intangible</v>
      </c>
      <c r="C76" s="4" t="s">
        <v>492</v>
      </c>
      <c r="D76" s="318">
        <f>'WP02 Accum Depr'!H20+'WP02 Accum Depr'!I20</f>
        <v>148950334.44753847</v>
      </c>
      <c r="E76" s="4"/>
      <c r="F76" s="4" t="str">
        <f t="shared" si="3"/>
        <v>W/S</v>
      </c>
      <c r="G76" s="301">
        <f t="shared" si="3"/>
        <v>1</v>
      </c>
      <c r="H76" s="4"/>
      <c r="I76" s="280">
        <f>+G76*D76</f>
        <v>148950334.44753847</v>
      </c>
      <c r="J76" s="4"/>
      <c r="K76" s="107"/>
      <c r="L76" s="306"/>
      <c r="M76" s="5"/>
    </row>
    <row r="77" spans="1:13" ht="16" thickBot="1">
      <c r="A77" s="5">
        <v>11</v>
      </c>
      <c r="B77" s="2" t="str">
        <f>+B69</f>
        <v xml:space="preserve">  Common</v>
      </c>
      <c r="C77" s="300" t="s">
        <v>488</v>
      </c>
      <c r="D77" s="541">
        <f>'WP02 Accum Depr'!J20</f>
        <v>0</v>
      </c>
      <c r="E77" s="4"/>
      <c r="F77" s="4" t="str">
        <f t="shared" si="3"/>
        <v>CE</v>
      </c>
      <c r="G77" s="301">
        <f t="shared" si="3"/>
        <v>1</v>
      </c>
      <c r="H77" s="4"/>
      <c r="I77" s="296">
        <f>+G77*D77</f>
        <v>0</v>
      </c>
      <c r="J77" s="4"/>
      <c r="K77" s="107"/>
      <c r="L77" s="306"/>
      <c r="M77" s="5"/>
    </row>
    <row r="78" spans="1:13" ht="15.5">
      <c r="A78" s="5">
        <v>12</v>
      </c>
      <c r="B78" s="2" t="s">
        <v>204</v>
      </c>
      <c r="C78" s="4"/>
      <c r="D78" s="280">
        <f>SUM(D73:D77)</f>
        <v>1450537320.6561923</v>
      </c>
      <c r="E78" s="4"/>
      <c r="F78" s="4"/>
      <c r="G78" s="4"/>
      <c r="H78" s="4"/>
      <c r="I78" s="280">
        <f>SUM(I73:I77)</f>
        <v>1450537320.6561923</v>
      </c>
      <c r="J78" s="4"/>
      <c r="K78" s="107"/>
      <c r="L78" s="300"/>
      <c r="M78" s="4"/>
    </row>
    <row r="79" spans="1:13" ht="15.5">
      <c r="A79" s="5"/>
      <c r="C79" s="4" t="s">
        <v>3</v>
      </c>
      <c r="E79" s="4"/>
      <c r="F79" s="4"/>
      <c r="G79" s="10"/>
      <c r="H79" s="4"/>
      <c r="I79" s="526"/>
      <c r="J79" s="4"/>
      <c r="K79" s="542"/>
      <c r="L79" s="306"/>
      <c r="M79" s="4"/>
    </row>
    <row r="80" spans="1:13" ht="15.5">
      <c r="A80" s="5"/>
      <c r="B80" s="2" t="s">
        <v>52</v>
      </c>
      <c r="C80" s="4"/>
      <c r="D80" s="4"/>
      <c r="E80" s="4"/>
      <c r="F80" s="4"/>
      <c r="G80" s="4"/>
      <c r="H80" s="4"/>
      <c r="I80" s="526"/>
      <c r="J80" s="4"/>
      <c r="K80" s="107"/>
      <c r="L80" s="306"/>
      <c r="M80" s="4"/>
    </row>
    <row r="81" spans="1:13" ht="15.5">
      <c r="A81" s="5">
        <v>13</v>
      </c>
      <c r="B81" s="2" t="str">
        <f>+B73</f>
        <v xml:space="preserve">  Production</v>
      </c>
      <c r="C81" s="4" t="s">
        <v>189</v>
      </c>
      <c r="D81" s="280">
        <f>D65-D73</f>
        <v>0</v>
      </c>
      <c r="E81" s="4"/>
      <c r="F81" s="4"/>
      <c r="G81" s="10"/>
      <c r="H81" s="4"/>
      <c r="I81" s="280" t="s">
        <v>3</v>
      </c>
      <c r="J81" s="4"/>
      <c r="K81" s="542"/>
      <c r="L81" s="306"/>
      <c r="M81" s="4"/>
    </row>
    <row r="82" spans="1:13" ht="15.5">
      <c r="A82" s="5">
        <v>14</v>
      </c>
      <c r="B82" s="2" t="str">
        <f>+B74</f>
        <v xml:space="preserve">  Transmission</v>
      </c>
      <c r="C82" s="4" t="s">
        <v>190</v>
      </c>
      <c r="D82" s="280">
        <f>D66-D74</f>
        <v>4434415781.1944237</v>
      </c>
      <c r="E82" s="4"/>
      <c r="F82" s="4"/>
      <c r="G82" s="301"/>
      <c r="H82" s="4"/>
      <c r="I82" s="280">
        <f>I66-I74</f>
        <v>4434415781.1944237</v>
      </c>
      <c r="J82" s="4"/>
      <c r="K82" s="107"/>
      <c r="L82" s="306"/>
      <c r="M82" s="4"/>
    </row>
    <row r="83" spans="1:13" ht="15.5">
      <c r="A83" s="5">
        <v>15</v>
      </c>
      <c r="B83" s="2" t="str">
        <f>+B75</f>
        <v xml:space="preserve">  Distribution</v>
      </c>
      <c r="C83" s="4" t="s">
        <v>191</v>
      </c>
      <c r="D83" s="280">
        <f>D67-D75</f>
        <v>0</v>
      </c>
      <c r="E83" s="4"/>
      <c r="F83" s="4"/>
      <c r="G83" s="10"/>
      <c r="H83" s="4"/>
      <c r="I83" s="280" t="s">
        <v>3</v>
      </c>
      <c r="J83" s="4"/>
      <c r="K83" s="543"/>
      <c r="L83" s="306"/>
      <c r="M83" s="4"/>
    </row>
    <row r="84" spans="1:13" ht="15.5">
      <c r="A84" s="5">
        <v>16</v>
      </c>
      <c r="B84" s="2" t="str">
        <f>+B76</f>
        <v xml:space="preserve">  General &amp; Intangible</v>
      </c>
      <c r="C84" s="4" t="s">
        <v>192</v>
      </c>
      <c r="D84" s="298">
        <f>D68-D76</f>
        <v>219838594.73553839</v>
      </c>
      <c r="E84" s="4"/>
      <c r="F84" s="4"/>
      <c r="G84" s="10"/>
      <c r="H84" s="4"/>
      <c r="I84" s="280">
        <f>I68-I76</f>
        <v>219838594.73553839</v>
      </c>
      <c r="J84" s="4"/>
      <c r="K84" s="10"/>
      <c r="L84" s="306"/>
      <c r="M84" s="5"/>
    </row>
    <row r="85" spans="1:13" ht="16" thickBot="1">
      <c r="A85" s="5">
        <v>17</v>
      </c>
      <c r="B85" s="2" t="str">
        <f>+B77</f>
        <v xml:space="preserve">  Common</v>
      </c>
      <c r="C85" s="4" t="s">
        <v>193</v>
      </c>
      <c r="D85" s="296">
        <f>D69-D77</f>
        <v>0</v>
      </c>
      <c r="E85" s="4"/>
      <c r="F85" s="4"/>
      <c r="G85" s="10"/>
      <c r="H85" s="4"/>
      <c r="I85" s="296">
        <f>I69-I77</f>
        <v>0</v>
      </c>
      <c r="J85" s="4"/>
      <c r="K85" s="10"/>
      <c r="L85" s="306"/>
      <c r="M85" s="5"/>
    </row>
    <row r="86" spans="1:13" ht="15.5">
      <c r="A86" s="5">
        <v>18</v>
      </c>
      <c r="B86" s="2" t="s">
        <v>53</v>
      </c>
      <c r="C86" s="4"/>
      <c r="D86" s="280">
        <f>SUM(D81:D85)</f>
        <v>4654254375.9299622</v>
      </c>
      <c r="E86" s="4"/>
      <c r="F86" s="4" t="s">
        <v>54</v>
      </c>
      <c r="G86" s="10">
        <f>IF(I86&gt;0,I86/D86,0)</f>
        <v>1</v>
      </c>
      <c r="H86" s="4"/>
      <c r="I86" s="280">
        <f>SUM(I81:I85)</f>
        <v>4654254375.9299622</v>
      </c>
      <c r="J86" s="4"/>
      <c r="K86" s="4"/>
      <c r="L86" s="306"/>
      <c r="M86" s="4"/>
    </row>
    <row r="87" spans="1:13" ht="15.5">
      <c r="A87" s="5"/>
      <c r="C87" s="4"/>
      <c r="D87" s="280"/>
      <c r="E87" s="4"/>
      <c r="H87" s="4"/>
      <c r="I87" s="280"/>
      <c r="J87" s="4"/>
      <c r="K87" s="10"/>
      <c r="L87" s="306"/>
      <c r="M87" s="4"/>
    </row>
    <row r="88" spans="1:13" ht="15.5">
      <c r="A88" s="5"/>
      <c r="B88" s="2" t="s">
        <v>883</v>
      </c>
      <c r="C88" s="4"/>
      <c r="D88" s="280"/>
      <c r="E88" s="4"/>
      <c r="F88" s="4"/>
      <c r="G88" s="4"/>
      <c r="H88" s="4"/>
      <c r="I88" s="280"/>
      <c r="J88" s="4"/>
      <c r="K88" s="4"/>
      <c r="L88" s="306" t="s">
        <v>3</v>
      </c>
      <c r="M88" s="4"/>
    </row>
    <row r="89" spans="1:13" ht="15.5">
      <c r="A89" s="5">
        <v>19</v>
      </c>
      <c r="B89" s="2" t="s">
        <v>55</v>
      </c>
      <c r="C89" s="4" t="s">
        <v>867</v>
      </c>
      <c r="D89" s="318">
        <f>'Appendix G(3) - ADIT'!E27</f>
        <v>0</v>
      </c>
      <c r="E89" s="4"/>
      <c r="F89" s="4" t="str">
        <f>+F73</f>
        <v>NA</v>
      </c>
      <c r="G89" s="232"/>
      <c r="H89" s="4"/>
      <c r="I89" s="280"/>
      <c r="J89" s="4"/>
      <c r="K89" s="10"/>
      <c r="L89" s="308"/>
      <c r="M89" s="5"/>
    </row>
    <row r="90" spans="1:13" ht="15.5">
      <c r="A90" s="5">
        <v>20</v>
      </c>
      <c r="B90" s="2" t="s">
        <v>57</v>
      </c>
      <c r="C90" s="4" t="s">
        <v>867</v>
      </c>
      <c r="D90" s="318">
        <f>'Appendix G(3) - ADIT'!F27</f>
        <v>-996174365.96599293</v>
      </c>
      <c r="E90" s="4"/>
      <c r="F90" s="4" t="s">
        <v>58</v>
      </c>
      <c r="G90" s="301">
        <f>+G86</f>
        <v>1</v>
      </c>
      <c r="H90" s="4"/>
      <c r="I90" s="280">
        <f>D90*G90</f>
        <v>-996174365.96599293</v>
      </c>
      <c r="J90" s="4"/>
      <c r="K90" s="10"/>
      <c r="L90" s="308"/>
      <c r="M90" s="5"/>
    </row>
    <row r="91" spans="1:13" ht="15.5">
      <c r="A91" s="5">
        <v>21</v>
      </c>
      <c r="B91" s="2" t="s">
        <v>59</v>
      </c>
      <c r="C91" s="4" t="s">
        <v>867</v>
      </c>
      <c r="D91" s="162">
        <f>'Appendix G(3) - ADIT'!G27</f>
        <v>-52583460.08083728</v>
      </c>
      <c r="E91" s="4"/>
      <c r="F91" s="4" t="s">
        <v>58</v>
      </c>
      <c r="G91" s="301">
        <f>+G90</f>
        <v>1</v>
      </c>
      <c r="H91" s="4"/>
      <c r="I91" s="280">
        <f>D91*G91</f>
        <v>-52583460.08083728</v>
      </c>
      <c r="J91" s="4"/>
      <c r="K91" s="10"/>
      <c r="L91" s="308"/>
      <c r="M91" s="5"/>
    </row>
    <row r="92" spans="1:13" ht="15.5">
      <c r="A92" s="5">
        <v>22</v>
      </c>
      <c r="B92" s="2" t="s">
        <v>60</v>
      </c>
      <c r="C92" s="4" t="s">
        <v>867</v>
      </c>
      <c r="D92" s="162">
        <f>'Appendix G(3) - ADIT'!H27</f>
        <v>152732273.37816769</v>
      </c>
      <c r="E92" s="4"/>
      <c r="F92" s="4" t="str">
        <f>+F91</f>
        <v>NP</v>
      </c>
      <c r="G92" s="301">
        <f>+G91</f>
        <v>1</v>
      </c>
      <c r="H92" s="4"/>
      <c r="I92" s="280">
        <f>D92*G92</f>
        <v>152732273.37816769</v>
      </c>
      <c r="J92" s="4"/>
      <c r="K92" s="10"/>
      <c r="L92" s="308"/>
      <c r="M92" s="5"/>
    </row>
    <row r="93" spans="1:13" ht="15.5">
      <c r="A93" s="5">
        <v>23</v>
      </c>
      <c r="B93" s="1" t="s">
        <v>61</v>
      </c>
      <c r="C93" s="4" t="s">
        <v>867</v>
      </c>
      <c r="D93" s="162">
        <f>'Appendix G(3) - ADIT'!I27</f>
        <v>0</v>
      </c>
      <c r="E93" s="4"/>
      <c r="F93" s="4" t="s">
        <v>58</v>
      </c>
      <c r="G93" s="301">
        <f>+G91</f>
        <v>1</v>
      </c>
      <c r="H93" s="4"/>
      <c r="I93" s="302">
        <f>D93*G93</f>
        <v>0</v>
      </c>
      <c r="J93" s="4"/>
      <c r="K93" s="10"/>
      <c r="L93" s="308"/>
      <c r="M93" s="5"/>
    </row>
    <row r="94" spans="1:13" ht="15.5">
      <c r="A94" s="5">
        <v>24</v>
      </c>
      <c r="B94" s="2" t="s">
        <v>800</v>
      </c>
      <c r="C94" s="4"/>
      <c r="D94" s="298">
        <f>SUM(D89:D93)</f>
        <v>-896025552.66866255</v>
      </c>
      <c r="E94" s="299"/>
      <c r="F94" s="299"/>
      <c r="G94" s="299"/>
      <c r="H94" s="299"/>
      <c r="I94" s="280">
        <f>SUM(I89:I93)</f>
        <v>-896025552.66866255</v>
      </c>
      <c r="J94" s="4"/>
      <c r="K94" s="4"/>
      <c r="L94" s="300"/>
      <c r="M94" s="4"/>
    </row>
    <row r="95" spans="1:13" ht="15.5">
      <c r="A95" s="5"/>
      <c r="C95" s="4"/>
      <c r="D95" s="280"/>
      <c r="E95" s="4"/>
      <c r="F95" s="4"/>
      <c r="G95" s="10"/>
      <c r="H95" s="4"/>
      <c r="I95" s="280"/>
      <c r="J95" s="4"/>
      <c r="K95" s="10"/>
      <c r="L95" s="306"/>
      <c r="M95" s="4"/>
    </row>
    <row r="96" spans="1:13" ht="15.5">
      <c r="A96" s="5">
        <v>25</v>
      </c>
      <c r="B96" s="2" t="s">
        <v>62</v>
      </c>
      <c r="C96" s="4" t="s">
        <v>493</v>
      </c>
      <c r="D96" s="318">
        <f>'WP04 Other RB'!E9</f>
        <v>0</v>
      </c>
      <c r="E96" s="4"/>
      <c r="F96" s="4" t="str">
        <f>+F74</f>
        <v>TP</v>
      </c>
      <c r="G96" s="301">
        <f>+G74</f>
        <v>1</v>
      </c>
      <c r="H96" s="4"/>
      <c r="I96" s="280">
        <f>+G96*D96</f>
        <v>0</v>
      </c>
      <c r="J96" s="4"/>
      <c r="K96" s="4"/>
      <c r="L96" s="306"/>
      <c r="M96" s="4"/>
    </row>
    <row r="97" spans="1:13" ht="15.5">
      <c r="A97" s="5"/>
      <c r="B97" s="2"/>
      <c r="C97" s="4"/>
      <c r="D97" s="526"/>
      <c r="E97" s="4"/>
      <c r="F97" s="4"/>
      <c r="G97" s="4"/>
      <c r="H97" s="4"/>
      <c r="I97" s="280"/>
      <c r="J97" s="4"/>
      <c r="K97" s="4"/>
      <c r="L97" s="306"/>
      <c r="M97" s="4"/>
    </row>
    <row r="98" spans="1:13" ht="15.5">
      <c r="A98" s="5"/>
      <c r="B98" s="2" t="s">
        <v>194</v>
      </c>
      <c r="C98" s="4" t="s">
        <v>3</v>
      </c>
      <c r="D98" s="526"/>
      <c r="E98" s="4"/>
      <c r="F98" s="4"/>
      <c r="G98" s="4"/>
      <c r="H98" s="4"/>
      <c r="I98" s="526"/>
      <c r="J98" s="4"/>
      <c r="K98" s="4"/>
      <c r="L98" s="306"/>
      <c r="M98" s="4"/>
    </row>
    <row r="99" spans="1:13" ht="15.5">
      <c r="A99" s="5">
        <v>26</v>
      </c>
      <c r="B99" s="2" t="s">
        <v>63</v>
      </c>
      <c r="C99" s="1" t="s">
        <v>64</v>
      </c>
      <c r="D99" s="280">
        <f>(D146-D144-7817058.21)/8</f>
        <v>24755530.223749999</v>
      </c>
      <c r="E99" s="4"/>
      <c r="F99" s="4"/>
      <c r="G99" s="10"/>
      <c r="H99" s="4"/>
      <c r="I99" s="280">
        <f>+(I146-I144-7817058.21)/8</f>
        <v>24136355.165592246</v>
      </c>
      <c r="J99" s="4"/>
      <c r="K99" s="10"/>
      <c r="L99" s="306"/>
      <c r="M99" s="5"/>
    </row>
    <row r="100" spans="1:13" ht="15.5">
      <c r="A100" s="5">
        <v>27</v>
      </c>
      <c r="B100" s="2" t="s">
        <v>195</v>
      </c>
      <c r="C100" s="4" t="s">
        <v>494</v>
      </c>
      <c r="D100" s="318">
        <f>'WP04 Other RB'!F9</f>
        <v>700368</v>
      </c>
      <c r="E100" s="4"/>
      <c r="F100" s="4" t="s">
        <v>65</v>
      </c>
      <c r="G100" s="301">
        <f>I220</f>
        <v>0.96083043467773765</v>
      </c>
      <c r="H100" s="4"/>
      <c r="I100" s="280">
        <f>+G100*D100</f>
        <v>672934.88987437775</v>
      </c>
      <c r="J100" s="4" t="s">
        <v>3</v>
      </c>
      <c r="K100" s="10"/>
      <c r="L100" s="306"/>
      <c r="M100" s="5"/>
    </row>
    <row r="101" spans="1:13" ht="15.5">
      <c r="A101" s="5" t="s">
        <v>518</v>
      </c>
      <c r="B101" s="2" t="s">
        <v>66</v>
      </c>
      <c r="C101" s="4" t="s">
        <v>521</v>
      </c>
      <c r="D101" s="162">
        <f>'WP04 Other RB'!G9</f>
        <v>3535507.6749999998</v>
      </c>
      <c r="E101" s="4"/>
      <c r="F101" s="4" t="s">
        <v>67</v>
      </c>
      <c r="G101" s="301">
        <f>+G70</f>
        <v>1</v>
      </c>
      <c r="H101" s="4"/>
      <c r="I101" s="302">
        <f>+G101*D101</f>
        <v>3535507.6749999998</v>
      </c>
      <c r="J101" s="4"/>
      <c r="K101" s="10"/>
      <c r="L101" s="306"/>
      <c r="M101" s="5"/>
    </row>
    <row r="102" spans="1:13" ht="15.5">
      <c r="A102" s="5" t="s">
        <v>519</v>
      </c>
      <c r="B102" s="2" t="s">
        <v>522</v>
      </c>
      <c r="C102" s="4"/>
      <c r="D102" s="162">
        <f>-'WP04 Other RB'!K17</f>
        <v>0</v>
      </c>
      <c r="E102" s="4"/>
      <c r="F102" s="4" t="s">
        <v>58</v>
      </c>
      <c r="G102" s="301">
        <f>G86</f>
        <v>1</v>
      </c>
      <c r="H102" s="4"/>
      <c r="I102" s="302">
        <f>D102*G102</f>
        <v>0</v>
      </c>
      <c r="J102" s="4"/>
      <c r="K102" s="10"/>
      <c r="L102" s="306"/>
      <c r="M102" s="5"/>
    </row>
    <row r="103" spans="1:13" ht="16" thickBot="1">
      <c r="A103" s="5" t="s">
        <v>520</v>
      </c>
      <c r="B103" s="2" t="s">
        <v>561</v>
      </c>
      <c r="C103" s="4"/>
      <c r="D103" s="541">
        <f>-'WP04 Other RB'!K25</f>
        <v>0</v>
      </c>
      <c r="E103" s="2"/>
      <c r="F103" s="4" t="s">
        <v>44</v>
      </c>
      <c r="G103" s="301">
        <f>I228</f>
        <v>1</v>
      </c>
      <c r="H103" s="4"/>
      <c r="I103" s="296">
        <f>D103*G103</f>
        <v>0</v>
      </c>
      <c r="J103" s="4"/>
      <c r="K103" s="10"/>
      <c r="L103" s="306"/>
      <c r="M103" s="5"/>
    </row>
    <row r="104" spans="1:13" ht="15.5">
      <c r="A104" s="5">
        <v>29</v>
      </c>
      <c r="B104" s="2" t="s">
        <v>564</v>
      </c>
      <c r="C104" s="2"/>
      <c r="D104" s="298">
        <f>SUM(D99:D103)</f>
        <v>28991405.89875</v>
      </c>
      <c r="F104" s="2"/>
      <c r="G104" s="2"/>
      <c r="H104" s="2"/>
      <c r="I104" s="280">
        <f>SUM(I99:I103)</f>
        <v>28344797.730466623</v>
      </c>
      <c r="J104" s="2"/>
      <c r="K104" s="2"/>
      <c r="L104" s="300"/>
      <c r="M104" s="4"/>
    </row>
    <row r="105" spans="3:13" ht="16" thickBot="1">
      <c r="C105" s="4"/>
      <c r="D105" s="296"/>
      <c r="E105" s="4"/>
      <c r="F105" s="4"/>
      <c r="G105" s="4"/>
      <c r="H105" s="4"/>
      <c r="I105" s="296"/>
      <c r="J105" s="4"/>
      <c r="K105" s="4"/>
      <c r="L105" s="306"/>
      <c r="M105" s="4"/>
    </row>
    <row r="106" spans="1:13" ht="16" thickBot="1">
      <c r="A106" s="5">
        <v>30</v>
      </c>
      <c r="B106" s="2" t="s">
        <v>68</v>
      </c>
      <c r="C106" s="4"/>
      <c r="D106" s="544">
        <f>+D104+D96+D94+D86</f>
        <v>3787220229.1600494</v>
      </c>
      <c r="E106" s="4"/>
      <c r="F106" s="4"/>
      <c r="G106" s="10"/>
      <c r="H106" s="4"/>
      <c r="I106" s="544">
        <f>+I104+I96+I94+I86</f>
        <v>3786573620.991766</v>
      </c>
      <c r="J106" s="4"/>
      <c r="K106" s="10"/>
      <c r="L106" s="306"/>
      <c r="M106" s="4"/>
    </row>
    <row r="107" spans="1:13" ht="16" thickTop="1">
      <c r="A107" s="5"/>
      <c r="B107" s="2"/>
      <c r="C107" s="4"/>
      <c r="D107" s="545"/>
      <c r="E107" s="4"/>
      <c r="F107" s="4"/>
      <c r="G107" s="10"/>
      <c r="H107" s="4"/>
      <c r="I107" s="4"/>
      <c r="J107" s="4"/>
      <c r="K107" s="10"/>
      <c r="L107" s="306"/>
      <c r="M107" s="4"/>
    </row>
    <row r="108" spans="1:13" ht="15.5">
      <c r="A108" s="5"/>
      <c r="B108" s="2"/>
      <c r="C108" s="4"/>
      <c r="D108" s="545"/>
      <c r="E108" s="4"/>
      <c r="F108" s="4"/>
      <c r="G108" s="10"/>
      <c r="H108" s="4"/>
      <c r="I108" s="4"/>
      <c r="J108" s="4"/>
      <c r="K108" s="10"/>
      <c r="L108" s="306"/>
      <c r="M108" s="4"/>
    </row>
    <row r="109" spans="1:13" ht="15.5">
      <c r="A109" s="5"/>
      <c r="B109" s="2"/>
      <c r="C109" s="4"/>
      <c r="D109" s="545"/>
      <c r="E109" s="4"/>
      <c r="F109" s="4"/>
      <c r="G109" s="10"/>
      <c r="H109" s="4"/>
      <c r="I109" s="4"/>
      <c r="J109" s="4"/>
      <c r="K109" s="10"/>
      <c r="L109" s="306"/>
      <c r="M109" s="4"/>
    </row>
    <row r="110" spans="1:13" ht="15.5">
      <c r="A110" s="5"/>
      <c r="B110" s="2"/>
      <c r="C110" s="4"/>
      <c r="D110" s="4"/>
      <c r="E110" s="4"/>
      <c r="F110" s="4"/>
      <c r="G110" s="10"/>
      <c r="H110" s="4"/>
      <c r="I110" s="4"/>
      <c r="J110" s="4"/>
      <c r="K110" s="10"/>
      <c r="L110" s="306"/>
      <c r="M110" s="4"/>
    </row>
    <row r="111" spans="1:13" ht="15.5">
      <c r="A111" s="5"/>
      <c r="B111" s="2"/>
      <c r="C111" s="4"/>
      <c r="D111" s="4"/>
      <c r="E111" s="4"/>
      <c r="F111" s="4"/>
      <c r="G111" s="10"/>
      <c r="H111" s="4"/>
      <c r="I111" s="4"/>
      <c r="J111" s="4"/>
      <c r="K111" s="10"/>
      <c r="L111" s="306"/>
      <c r="M111" s="4"/>
    </row>
    <row r="112" spans="1:13" ht="15.5">
      <c r="A112" s="5"/>
      <c r="B112" s="2"/>
      <c r="C112" s="4"/>
      <c r="D112" s="4"/>
      <c r="E112" s="4"/>
      <c r="F112" s="4"/>
      <c r="G112" s="10"/>
      <c r="H112" s="4"/>
      <c r="I112" s="4"/>
      <c r="J112" s="4"/>
      <c r="K112" s="10"/>
      <c r="L112" s="306"/>
      <c r="M112" s="4"/>
    </row>
    <row r="113" spans="1:13" ht="15.5">
      <c r="A113" s="5"/>
      <c r="B113" s="2"/>
      <c r="C113" s="4"/>
      <c r="D113" s="4"/>
      <c r="E113" s="4"/>
      <c r="F113" s="4"/>
      <c r="G113" s="10"/>
      <c r="H113" s="4"/>
      <c r="I113" s="4"/>
      <c r="J113" s="4"/>
      <c r="K113" s="10"/>
      <c r="L113" s="306"/>
      <c r="M113" s="4"/>
    </row>
    <row r="114" spans="1:13" ht="15.5">
      <c r="A114" s="5"/>
      <c r="B114" s="2"/>
      <c r="C114" s="4"/>
      <c r="D114" s="4"/>
      <c r="E114" s="4"/>
      <c r="F114" s="4"/>
      <c r="G114" s="10"/>
      <c r="H114" s="4"/>
      <c r="I114" s="4"/>
      <c r="J114" s="4"/>
      <c r="K114" s="10"/>
      <c r="L114" s="306"/>
      <c r="M114" s="4"/>
    </row>
    <row r="115" spans="1:13" ht="15.5">
      <c r="A115" s="5"/>
      <c r="B115" s="2"/>
      <c r="C115" s="4"/>
      <c r="D115" s="4"/>
      <c r="E115" s="4"/>
      <c r="F115" s="4"/>
      <c r="G115" s="10"/>
      <c r="H115" s="4"/>
      <c r="I115" s="4"/>
      <c r="J115" s="4"/>
      <c r="K115" s="10"/>
      <c r="L115" s="306"/>
      <c r="M115" s="4"/>
    </row>
    <row r="116" spans="1:13" ht="15.5">
      <c r="A116" s="5"/>
      <c r="B116" s="2"/>
      <c r="C116" s="4"/>
      <c r="D116" s="4"/>
      <c r="E116" s="4"/>
      <c r="F116" s="4"/>
      <c r="G116" s="10"/>
      <c r="H116" s="4"/>
      <c r="I116" s="4"/>
      <c r="J116" s="4"/>
      <c r="K116" s="10"/>
      <c r="L116" s="306"/>
      <c r="M116" s="4"/>
    </row>
    <row r="117" spans="1:13" ht="15.5">
      <c r="A117" s="5"/>
      <c r="B117" s="2"/>
      <c r="C117" s="4"/>
      <c r="D117" s="4"/>
      <c r="E117" s="4"/>
      <c r="F117" s="4"/>
      <c r="G117" s="10"/>
      <c r="H117" s="4"/>
      <c r="I117" s="4"/>
      <c r="J117" s="4"/>
      <c r="K117" s="10"/>
      <c r="L117" s="306"/>
      <c r="M117" s="4"/>
    </row>
    <row r="118" spans="1:13" ht="15.5">
      <c r="A118" s="5"/>
      <c r="B118" s="2"/>
      <c r="C118" s="4"/>
      <c r="D118" s="4"/>
      <c r="E118" s="4"/>
      <c r="F118" s="4"/>
      <c r="G118" s="10"/>
      <c r="H118" s="4"/>
      <c r="I118" s="4"/>
      <c r="J118" s="4"/>
      <c r="K118" s="10"/>
      <c r="L118" s="306"/>
      <c r="M118" s="4"/>
    </row>
    <row r="119" spans="1:13" ht="15.5">
      <c r="A119" s="5"/>
      <c r="B119" s="2"/>
      <c r="C119" s="4"/>
      <c r="D119" s="4"/>
      <c r="E119" s="4"/>
      <c r="F119" s="4"/>
      <c r="G119" s="10"/>
      <c r="H119" s="4"/>
      <c r="I119" s="4"/>
      <c r="J119" s="4"/>
      <c r="K119" s="10"/>
      <c r="L119" s="306"/>
      <c r="M119" s="4"/>
    </row>
    <row r="120" spans="1:12" ht="15.5">
      <c r="A120" s="546"/>
      <c r="B120" s="2"/>
      <c r="C120" s="4"/>
      <c r="D120" s="4"/>
      <c r="E120" s="4"/>
      <c r="F120" s="4"/>
      <c r="G120" s="10"/>
      <c r="H120" s="4"/>
      <c r="I120" s="4"/>
      <c r="J120" s="4"/>
      <c r="K120" s="540"/>
      <c r="L120" s="524"/>
    </row>
    <row r="121" spans="1:12" ht="15.5">
      <c r="A121" s="546"/>
      <c r="B121" s="2"/>
      <c r="C121" s="4"/>
      <c r="D121" s="4"/>
      <c r="E121" s="4"/>
      <c r="F121" s="4"/>
      <c r="G121" s="10"/>
      <c r="H121" s="4"/>
      <c r="I121" s="4"/>
      <c r="J121" s="4"/>
      <c r="K121" s="540"/>
      <c r="L121" s="524"/>
    </row>
    <row r="122" spans="2:13" ht="15.5">
      <c r="B122" s="2"/>
      <c r="C122" s="2"/>
      <c r="D122" s="300"/>
      <c r="E122" s="2"/>
      <c r="F122" s="2"/>
      <c r="G122" s="2"/>
      <c r="H122" s="2"/>
      <c r="I122" s="5"/>
      <c r="J122" s="5"/>
      <c r="K122" s="3"/>
      <c r="L122" s="300"/>
      <c r="M122" s="2"/>
    </row>
    <row r="123" spans="2:13" ht="15.5">
      <c r="B123" s="2"/>
      <c r="C123" s="2"/>
      <c r="D123" s="300"/>
      <c r="E123" s="2"/>
      <c r="F123" s="2"/>
      <c r="G123" s="2"/>
      <c r="H123" s="2"/>
      <c r="I123" s="3"/>
      <c r="J123" s="3"/>
      <c r="K123" s="3"/>
      <c r="L123" s="300"/>
      <c r="M123" s="2"/>
    </row>
    <row r="124" spans="2:13" ht="16.5" customHeight="1">
      <c r="B124" s="2"/>
      <c r="C124" s="2"/>
      <c r="D124" s="300"/>
      <c r="E124" s="2"/>
      <c r="F124" s="2"/>
      <c r="G124" s="2"/>
      <c r="H124" s="2"/>
      <c r="I124" s="2"/>
      <c r="K124" s="3" t="s">
        <v>305</v>
      </c>
      <c r="L124" s="300"/>
      <c r="M124" s="2"/>
    </row>
    <row r="125" spans="2:13" ht="16.5" customHeight="1">
      <c r="B125" s="2"/>
      <c r="C125" s="2"/>
      <c r="D125" s="300"/>
      <c r="E125" s="2"/>
      <c r="F125" s="2"/>
      <c r="G125" s="2"/>
      <c r="H125" s="2"/>
      <c r="I125" s="2"/>
      <c r="J125" s="2"/>
      <c r="K125" s="3" t="s">
        <v>182</v>
      </c>
      <c r="L125" s="300"/>
      <c r="M125" s="2"/>
    </row>
    <row r="126" spans="2:13" ht="16.5" customHeight="1">
      <c r="B126" s="2"/>
      <c r="C126" s="2"/>
      <c r="D126" s="300"/>
      <c r="E126" s="2"/>
      <c r="F126" s="2"/>
      <c r="G126" s="2"/>
      <c r="H126" s="2"/>
      <c r="I126" s="2"/>
      <c r="J126" s="2"/>
      <c r="K126" s="3"/>
      <c r="L126" s="300"/>
      <c r="M126" s="2"/>
    </row>
    <row r="127" spans="2:13" ht="15.5">
      <c r="B127" s="2" t="s">
        <v>1</v>
      </c>
      <c r="C127" s="2"/>
      <c r="D127" s="300" t="s">
        <v>2</v>
      </c>
      <c r="E127" s="2"/>
      <c r="F127" s="2"/>
      <c r="G127" s="2"/>
      <c r="H127" s="497"/>
      <c r="I127" s="282"/>
      <c r="J127" s="497"/>
      <c r="K127" s="423" t="str">
        <f>K4</f>
        <v>For the 12 months ended 12/31/2023</v>
      </c>
      <c r="L127" s="300"/>
      <c r="M127" s="2"/>
    </row>
    <row r="128" spans="2:13" ht="15.5">
      <c r="B128" s="2"/>
      <c r="C128" s="4" t="s">
        <v>3</v>
      </c>
      <c r="D128" s="4" t="s">
        <v>4</v>
      </c>
      <c r="E128" s="4"/>
      <c r="F128" s="4"/>
      <c r="G128" s="4"/>
      <c r="H128" s="2"/>
      <c r="I128" s="2"/>
      <c r="J128" s="2"/>
      <c r="K128" s="2"/>
      <c r="L128" s="300"/>
      <c r="M128" s="2"/>
    </row>
    <row r="129" spans="2:13" ht="15.5">
      <c r="B129" s="2"/>
      <c r="C129" s="4"/>
      <c r="D129" s="4"/>
      <c r="E129" s="4"/>
      <c r="F129" s="4"/>
      <c r="G129" s="4"/>
      <c r="H129" s="2"/>
      <c r="I129" s="2"/>
      <c r="J129" s="2"/>
      <c r="K129" s="2"/>
      <c r="L129" s="300"/>
      <c r="M129" s="2"/>
    </row>
    <row r="130" spans="1:13" ht="15.5">
      <c r="A130" s="5"/>
      <c r="D130" s="1" t="str">
        <f>D7</f>
        <v>American Transmission Systems, Inc.</v>
      </c>
      <c r="J130" s="4"/>
      <c r="K130" s="4"/>
      <c r="L130" s="306"/>
      <c r="M130" s="4"/>
    </row>
    <row r="131" spans="1:13" ht="15.5">
      <c r="A131" s="5"/>
      <c r="B131" s="5" t="s">
        <v>27</v>
      </c>
      <c r="C131" s="5" t="s">
        <v>28</v>
      </c>
      <c r="D131" s="5" t="s">
        <v>29</v>
      </c>
      <c r="E131" s="4" t="s">
        <v>3</v>
      </c>
      <c r="F131" s="4"/>
      <c r="G131" s="6" t="s">
        <v>30</v>
      </c>
      <c r="H131" s="4"/>
      <c r="I131" s="7" t="s">
        <v>31</v>
      </c>
      <c r="J131" s="4"/>
      <c r="K131" s="4"/>
      <c r="L131" s="300"/>
      <c r="M131" s="4"/>
    </row>
    <row r="132" spans="1:13" ht="15.5">
      <c r="A132" s="5" t="s">
        <v>5</v>
      </c>
      <c r="B132" s="2"/>
      <c r="C132" s="152" t="s">
        <v>444</v>
      </c>
      <c r="D132" s="4"/>
      <c r="E132" s="4"/>
      <c r="F132" s="4"/>
      <c r="G132" s="5"/>
      <c r="H132" s="4"/>
      <c r="I132" s="8" t="s">
        <v>33</v>
      </c>
      <c r="J132" s="4"/>
      <c r="K132" s="8"/>
      <c r="L132" s="300"/>
      <c r="M132" s="4"/>
    </row>
    <row r="133" spans="1:13" ht="16" thickBot="1">
      <c r="A133" s="498" t="s">
        <v>7</v>
      </c>
      <c r="B133" s="2"/>
      <c r="C133" s="152" t="s">
        <v>445</v>
      </c>
      <c r="D133" s="8" t="s">
        <v>34</v>
      </c>
      <c r="E133" s="9"/>
      <c r="F133" s="8" t="s">
        <v>35</v>
      </c>
      <c r="H133" s="9"/>
      <c r="I133" s="5" t="s">
        <v>36</v>
      </c>
      <c r="J133" s="4"/>
      <c r="K133" s="8"/>
      <c r="L133" s="547"/>
      <c r="M133" s="4"/>
    </row>
    <row r="134" spans="1:13" ht="15.5">
      <c r="A134" s="5"/>
      <c r="B134" s="2" t="s">
        <v>523</v>
      </c>
      <c r="C134" s="4"/>
      <c r="D134" s="4"/>
      <c r="E134" s="4"/>
      <c r="F134" s="4"/>
      <c r="G134" s="4"/>
      <c r="H134" s="4"/>
      <c r="I134" s="4"/>
      <c r="J134" s="4"/>
      <c r="K134" s="4"/>
      <c r="L134" s="306"/>
      <c r="M134" s="4"/>
    </row>
    <row r="135" spans="1:13" ht="15.5">
      <c r="A135" s="5">
        <v>1</v>
      </c>
      <c r="B135" s="2" t="s">
        <v>69</v>
      </c>
      <c r="C135" s="4" t="s">
        <v>173</v>
      </c>
      <c r="D135" s="318">
        <v>126117662</v>
      </c>
      <c r="E135" s="4"/>
      <c r="F135" s="4" t="s">
        <v>65</v>
      </c>
      <c r="G135" s="301">
        <f>I220</f>
        <v>0.96083043467773765</v>
      </c>
      <c r="H135" s="4"/>
      <c r="I135" s="280">
        <f>+G135*D135</f>
        <v>121177688</v>
      </c>
      <c r="J135" s="2"/>
      <c r="K135" s="4"/>
      <c r="L135" s="306"/>
      <c r="M135" s="5"/>
    </row>
    <row r="136" spans="1:13" ht="15.5">
      <c r="A136" s="5" t="s">
        <v>9</v>
      </c>
      <c r="B136" s="2" t="s">
        <v>446</v>
      </c>
      <c r="C136" s="4"/>
      <c r="D136" s="318"/>
      <c r="E136" s="4"/>
      <c r="F136" s="233"/>
      <c r="G136" s="301">
        <v>1</v>
      </c>
      <c r="H136" s="4"/>
      <c r="I136" s="280">
        <f>+G136*D136</f>
        <v>0</v>
      </c>
      <c r="J136" s="2"/>
      <c r="K136" s="4"/>
      <c r="L136" s="306"/>
      <c r="M136" s="5"/>
    </row>
    <row r="137" spans="1:13" ht="15.5">
      <c r="A137" s="5">
        <v>2</v>
      </c>
      <c r="B137" s="2" t="s">
        <v>70</v>
      </c>
      <c r="C137" s="4" t="s">
        <v>174</v>
      </c>
      <c r="D137" s="318"/>
      <c r="E137" s="4"/>
      <c r="F137" s="4" t="s">
        <v>3</v>
      </c>
      <c r="G137" s="301">
        <v>1</v>
      </c>
      <c r="H137" s="4"/>
      <c r="I137" s="280">
        <f t="shared" si="4" ref="I137:I145">+G137*D137</f>
        <v>0</v>
      </c>
      <c r="J137" s="2"/>
      <c r="K137" s="4"/>
      <c r="L137" s="306"/>
      <c r="M137" s="5"/>
    </row>
    <row r="138" spans="1:13" ht="15.5">
      <c r="A138" s="5" t="s">
        <v>328</v>
      </c>
      <c r="B138" s="2" t="s">
        <v>329</v>
      </c>
      <c r="C138" s="4" t="s">
        <v>21</v>
      </c>
      <c r="D138" s="318"/>
      <c r="E138" s="4"/>
      <c r="F138" s="4" t="s">
        <v>65</v>
      </c>
      <c r="G138" s="301">
        <f>I220</f>
        <v>0.96083043467773765</v>
      </c>
      <c r="H138" s="4"/>
      <c r="I138" s="280">
        <f>+G138*D138</f>
        <v>0</v>
      </c>
      <c r="J138" s="2"/>
      <c r="K138" s="4"/>
      <c r="L138" s="306"/>
      <c r="M138" s="300"/>
    </row>
    <row r="139" spans="1:13" ht="15.5">
      <c r="A139" s="5">
        <v>3</v>
      </c>
      <c r="B139" s="2" t="s">
        <v>71</v>
      </c>
      <c r="C139" s="4" t="s">
        <v>524</v>
      </c>
      <c r="D139" s="318">
        <v>79741638</v>
      </c>
      <c r="E139" s="4"/>
      <c r="F139" s="4" t="s">
        <v>44</v>
      </c>
      <c r="G139" s="301">
        <f>+G76</f>
        <v>1</v>
      </c>
      <c r="H139" s="4"/>
      <c r="I139" s="280">
        <f t="shared" si="4"/>
        <v>79741638</v>
      </c>
      <c r="J139" s="4"/>
      <c r="K139" s="4" t="s">
        <v>3</v>
      </c>
      <c r="L139" s="306"/>
      <c r="M139" s="5"/>
    </row>
    <row r="140" spans="1:13" ht="15.65" customHeight="1">
      <c r="A140" s="5">
        <v>4</v>
      </c>
      <c r="B140" s="2" t="s">
        <v>72</v>
      </c>
      <c r="C140" s="4"/>
      <c r="D140" s="318"/>
      <c r="E140" s="4"/>
      <c r="F140" s="4" t="str">
        <f>+F139</f>
        <v>W/S</v>
      </c>
      <c r="G140" s="301">
        <f>+G139</f>
        <v>1</v>
      </c>
      <c r="H140" s="4"/>
      <c r="I140" s="280">
        <f t="shared" si="4"/>
        <v>0</v>
      </c>
      <c r="J140" s="607"/>
      <c r="K140" s="607"/>
      <c r="L140" s="306"/>
      <c r="M140" s="5"/>
    </row>
    <row r="141" spans="1:13" ht="15.5">
      <c r="A141" s="5">
        <v>5</v>
      </c>
      <c r="B141" s="2" t="s">
        <v>447</v>
      </c>
      <c r="C141" s="4"/>
      <c r="D141" s="318">
        <v>340778</v>
      </c>
      <c r="E141" s="4"/>
      <c r="F141" s="4" t="str">
        <f>+F140</f>
        <v>W/S</v>
      </c>
      <c r="G141" s="301">
        <f>+G140</f>
        <v>1</v>
      </c>
      <c r="H141" s="4"/>
      <c r="I141" s="280">
        <f t="shared" si="4"/>
        <v>340778</v>
      </c>
      <c r="J141" s="607"/>
      <c r="K141" s="607"/>
      <c r="L141" s="306"/>
      <c r="M141" s="5"/>
    </row>
    <row r="142" spans="1:13" ht="15.5">
      <c r="A142" s="5" t="s">
        <v>73</v>
      </c>
      <c r="B142" s="2" t="s">
        <v>448</v>
      </c>
      <c r="C142" s="4"/>
      <c r="D142" s="318">
        <v>342778</v>
      </c>
      <c r="E142" s="4"/>
      <c r="F142" s="548" t="str">
        <f>+F135</f>
        <v>TE</v>
      </c>
      <c r="G142" s="301">
        <f>+G135</f>
        <v>0.96083043467773765</v>
      </c>
      <c r="H142" s="4"/>
      <c r="I142" s="280">
        <f t="shared" si="4"/>
        <v>329351.53473796556</v>
      </c>
      <c r="J142" s="607"/>
      <c r="K142" s="607"/>
      <c r="L142" s="306"/>
      <c r="M142" s="5"/>
    </row>
    <row r="143" spans="1:13" ht="15.5">
      <c r="A143" s="5">
        <v>6</v>
      </c>
      <c r="B143" s="2" t="s">
        <v>45</v>
      </c>
      <c r="C143" s="300">
        <v>356.10000000000002</v>
      </c>
      <c r="D143" s="318"/>
      <c r="E143" s="4"/>
      <c r="F143" s="4" t="s">
        <v>46</v>
      </c>
      <c r="G143" s="301">
        <f>+G77</f>
        <v>1</v>
      </c>
      <c r="H143" s="4"/>
      <c r="I143" s="280">
        <f t="shared" si="4"/>
        <v>0</v>
      </c>
      <c r="J143" s="607"/>
      <c r="K143" s="607"/>
      <c r="L143" s="306"/>
      <c r="M143" s="5"/>
    </row>
    <row r="144" spans="1:13" ht="15.5">
      <c r="A144" s="5" t="s">
        <v>482</v>
      </c>
      <c r="B144" s="300" t="s">
        <v>620</v>
      </c>
      <c r="C144" s="4" t="s">
        <v>680</v>
      </c>
      <c r="D144" s="162">
        <f>'Appendix B-Veg'!H24+'Appendix C-RRCA'!H24+'Appendix F-MTEP Debit'!H24</f>
        <v>5231790.5999999922</v>
      </c>
      <c r="E144" s="4"/>
      <c r="F144" s="4" t="s">
        <v>634</v>
      </c>
      <c r="G144" s="301">
        <v>1</v>
      </c>
      <c r="H144" s="4"/>
      <c r="I144" s="302">
        <f>D144*G144</f>
        <v>5231790.5999999922</v>
      </c>
      <c r="J144" s="607"/>
      <c r="K144" s="607"/>
      <c r="L144" s="297"/>
      <c r="M144" s="5"/>
    </row>
    <row r="145" spans="1:13" ht="16" thickBot="1">
      <c r="A145" s="5">
        <v>7</v>
      </c>
      <c r="B145" s="2" t="s">
        <v>74</v>
      </c>
      <c r="C145" s="4"/>
      <c r="D145" s="541"/>
      <c r="E145" s="4"/>
      <c r="F145" s="4" t="s">
        <v>3</v>
      </c>
      <c r="G145" s="301">
        <v>1</v>
      </c>
      <c r="H145" s="4"/>
      <c r="I145" s="296">
        <f t="shared" si="4"/>
        <v>0</v>
      </c>
      <c r="J145" s="607"/>
      <c r="K145" s="607"/>
      <c r="L145" s="306"/>
      <c r="M145" s="5"/>
    </row>
    <row r="146" spans="1:13" ht="15.5">
      <c r="A146" s="5">
        <v>8</v>
      </c>
      <c r="B146" s="2" t="s">
        <v>735</v>
      </c>
      <c r="C146" s="4"/>
      <c r="D146" s="298">
        <f>SUM(D135+D139+D142+D143+D145-D136-D137-D140-D141-D138+D144)</f>
        <v>211093090.59999999</v>
      </c>
      <c r="E146" s="4"/>
      <c r="F146" s="4"/>
      <c r="G146" s="4"/>
      <c r="H146" s="4"/>
      <c r="I146" s="298">
        <f>SUM(I135+I139+I142+I143+I145-I136-I137-I140-I141-I138+I144)</f>
        <v>206139690.13473797</v>
      </c>
      <c r="J146" s="4"/>
      <c r="K146" s="4"/>
      <c r="L146" s="300"/>
      <c r="M146" s="4"/>
    </row>
    <row r="147" spans="1:13" ht="15.5">
      <c r="A147" s="5"/>
      <c r="C147" s="4"/>
      <c r="D147" s="280"/>
      <c r="E147" s="4"/>
      <c r="F147" s="4"/>
      <c r="G147" s="4"/>
      <c r="H147" s="4"/>
      <c r="I147" s="280"/>
      <c r="J147" s="4"/>
      <c r="K147" s="4"/>
      <c r="L147" s="306"/>
      <c r="M147" s="4"/>
    </row>
    <row r="148" spans="1:13" ht="15.5">
      <c r="A148" s="5"/>
      <c r="B148" s="2" t="s">
        <v>330</v>
      </c>
      <c r="C148" s="4"/>
      <c r="D148" s="280"/>
      <c r="E148" s="4"/>
      <c r="F148" s="4"/>
      <c r="G148" s="4"/>
      <c r="H148" s="4"/>
      <c r="I148" s="280"/>
      <c r="J148" s="607"/>
      <c r="K148" s="607"/>
      <c r="L148" s="306"/>
      <c r="M148" s="4"/>
    </row>
    <row r="149" spans="1:13" ht="15.65" customHeight="1">
      <c r="A149" s="5">
        <v>9</v>
      </c>
      <c r="B149" s="2" t="str">
        <f>+B135</f>
        <v xml:space="preserve">  Transmission </v>
      </c>
      <c r="C149" s="4" t="s">
        <v>495</v>
      </c>
      <c r="D149" s="318">
        <v>136642696</v>
      </c>
      <c r="E149" s="4"/>
      <c r="F149" s="4" t="s">
        <v>14</v>
      </c>
      <c r="G149" s="301">
        <f>+G96</f>
        <v>1</v>
      </c>
      <c r="H149" s="4"/>
      <c r="I149" s="280">
        <f>+G149*D149</f>
        <v>136642696</v>
      </c>
      <c r="J149" s="607"/>
      <c r="K149" s="607"/>
      <c r="L149" s="306"/>
      <c r="M149" s="5"/>
    </row>
    <row r="150" spans="1:13" ht="15.5">
      <c r="A150" s="5">
        <v>10</v>
      </c>
      <c r="B150" s="300" t="s">
        <v>43</v>
      </c>
      <c r="C150" s="4" t="s">
        <v>496</v>
      </c>
      <c r="D150" s="318">
        <v>29631838</v>
      </c>
      <c r="E150" s="4"/>
      <c r="F150" s="4" t="s">
        <v>44</v>
      </c>
      <c r="G150" s="301">
        <f>+G139</f>
        <v>1</v>
      </c>
      <c r="H150" s="4"/>
      <c r="I150" s="280">
        <f>+G150*D150</f>
        <v>29631838</v>
      </c>
      <c r="J150" s="607"/>
      <c r="K150" s="607"/>
      <c r="L150" s="306"/>
      <c r="M150" s="5"/>
    </row>
    <row r="151" spans="1:13" ht="16" thickBot="1">
      <c r="A151" s="5">
        <v>11</v>
      </c>
      <c r="B151" s="2" t="str">
        <f>+B143</f>
        <v xml:space="preserve">  Common</v>
      </c>
      <c r="C151" s="4" t="s">
        <v>497</v>
      </c>
      <c r="D151" s="541"/>
      <c r="E151" s="4"/>
      <c r="F151" s="4" t="s">
        <v>46</v>
      </c>
      <c r="G151" s="301">
        <f>+G143</f>
        <v>1</v>
      </c>
      <c r="H151" s="4"/>
      <c r="I151" s="296">
        <f>+G151*D151</f>
        <v>0</v>
      </c>
      <c r="J151" s="607"/>
      <c r="K151" s="607"/>
      <c r="L151" s="306"/>
      <c r="M151" s="5"/>
    </row>
    <row r="152" spans="1:13" ht="15.5">
      <c r="A152" s="5">
        <v>12</v>
      </c>
      <c r="B152" s="2" t="s">
        <v>693</v>
      </c>
      <c r="C152" s="4"/>
      <c r="D152" s="280">
        <f>SUM(D149:D151)</f>
        <v>166274534</v>
      </c>
      <c r="E152" s="4"/>
      <c r="F152" s="4"/>
      <c r="G152" s="4"/>
      <c r="H152" s="4"/>
      <c r="I152" s="280">
        <f>SUM(I149:I151)</f>
        <v>166274534</v>
      </c>
      <c r="J152" s="4"/>
      <c r="K152" s="4"/>
      <c r="L152" s="300"/>
      <c r="M152" s="4"/>
    </row>
    <row r="153" spans="1:13" ht="15.5">
      <c r="A153" s="5"/>
      <c r="B153" s="2"/>
      <c r="C153" s="4"/>
      <c r="D153" s="280"/>
      <c r="E153" s="4"/>
      <c r="F153" s="4"/>
      <c r="G153" s="4"/>
      <c r="H153" s="4"/>
      <c r="I153" s="280"/>
      <c r="J153" s="4"/>
      <c r="K153" s="4"/>
      <c r="L153" s="306"/>
      <c r="M153" s="4"/>
    </row>
    <row r="154" spans="1:13" ht="15.5">
      <c r="A154" s="5" t="s">
        <v>3</v>
      </c>
      <c r="B154" s="2" t="s">
        <v>196</v>
      </c>
      <c r="D154" s="280"/>
      <c r="F154" s="4"/>
      <c r="G154" s="4"/>
      <c r="H154" s="4"/>
      <c r="I154" s="280"/>
      <c r="J154" s="4"/>
      <c r="K154" s="4"/>
      <c r="L154" s="306"/>
      <c r="M154" s="4"/>
    </row>
    <row r="155" spans="1:13" ht="15.5">
      <c r="A155" s="5"/>
      <c r="B155" s="2" t="s">
        <v>75</v>
      </c>
      <c r="D155" s="280"/>
      <c r="E155" s="4"/>
      <c r="F155" s="4"/>
      <c r="H155" s="4"/>
      <c r="I155" s="280"/>
      <c r="J155" s="4"/>
      <c r="K155" s="10"/>
      <c r="L155" s="306"/>
      <c r="M155" s="5"/>
    </row>
    <row r="156" spans="1:13" ht="15.5">
      <c r="A156" s="5">
        <v>13</v>
      </c>
      <c r="B156" s="2" t="s">
        <v>76</v>
      </c>
      <c r="C156" s="4" t="s">
        <v>77</v>
      </c>
      <c r="D156" s="318">
        <f>'WP05 Other Tax'!D8</f>
        <v>773269</v>
      </c>
      <c r="E156" s="4"/>
      <c r="F156" s="4" t="s">
        <v>44</v>
      </c>
      <c r="G156" s="310">
        <f>+G150</f>
        <v>1</v>
      </c>
      <c r="H156" s="4"/>
      <c r="I156" s="280">
        <f>+G156*D156</f>
        <v>773269</v>
      </c>
      <c r="J156" s="4"/>
      <c r="K156" s="10"/>
      <c r="L156" s="306"/>
      <c r="M156" s="5"/>
    </row>
    <row r="157" spans="1:13" ht="15.5">
      <c r="A157" s="5">
        <v>14</v>
      </c>
      <c r="B157" s="2" t="s">
        <v>78</v>
      </c>
      <c r="C157" s="4" t="s">
        <v>77</v>
      </c>
      <c r="D157" s="318">
        <f>'WP05 Other Tax'!D12</f>
        <v>7966</v>
      </c>
      <c r="E157" s="4"/>
      <c r="F157" s="4" t="str">
        <f>+F156</f>
        <v>W/S</v>
      </c>
      <c r="G157" s="310">
        <f>+G156</f>
        <v>1</v>
      </c>
      <c r="H157" s="4"/>
      <c r="I157" s="280">
        <f>+G157*D157</f>
        <v>7966</v>
      </c>
      <c r="J157" s="4"/>
      <c r="K157" s="10"/>
      <c r="L157" s="306"/>
      <c r="M157" s="5"/>
    </row>
    <row r="158" spans="1:13" ht="15.5">
      <c r="A158" s="5">
        <v>15</v>
      </c>
      <c r="B158" s="2" t="s">
        <v>79</v>
      </c>
      <c r="C158" s="4" t="s">
        <v>3</v>
      </c>
      <c r="D158" s="280"/>
      <c r="E158" s="4"/>
      <c r="F158" s="4"/>
      <c r="H158" s="4"/>
      <c r="I158" s="280"/>
      <c r="J158" s="4"/>
      <c r="K158" s="10"/>
      <c r="L158" s="306"/>
      <c r="M158" s="5"/>
    </row>
    <row r="159" spans="1:13" ht="15.5">
      <c r="A159" s="5">
        <v>16</v>
      </c>
      <c r="B159" s="2" t="s">
        <v>80</v>
      </c>
      <c r="C159" s="4" t="s">
        <v>77</v>
      </c>
      <c r="D159" s="318">
        <f>'WP05 Other Tax'!D18</f>
        <v>241109571</v>
      </c>
      <c r="E159" s="4"/>
      <c r="F159" s="4" t="s">
        <v>67</v>
      </c>
      <c r="G159" s="310">
        <f>+G70</f>
        <v>1</v>
      </c>
      <c r="H159" s="4"/>
      <c r="I159" s="280">
        <f>+G159*D159</f>
        <v>241109571</v>
      </c>
      <c r="J159" s="4"/>
      <c r="K159" s="10"/>
      <c r="L159" s="306"/>
      <c r="M159" s="300"/>
    </row>
    <row r="160" spans="1:13" ht="15.5">
      <c r="A160" s="5">
        <v>17</v>
      </c>
      <c r="B160" s="2" t="s">
        <v>81</v>
      </c>
      <c r="C160" s="4" t="s">
        <v>77</v>
      </c>
      <c r="D160" s="318">
        <f>'WP05 Other Tax'!D22</f>
        <v>195976</v>
      </c>
      <c r="E160" s="4"/>
      <c r="F160" s="4" t="str">
        <f>+F89</f>
        <v>NA</v>
      </c>
      <c r="G160" s="234"/>
      <c r="H160" s="4"/>
      <c r="I160" s="280">
        <v>0</v>
      </c>
      <c r="J160" s="4"/>
      <c r="K160" s="10"/>
      <c r="L160" s="306"/>
      <c r="M160" s="5"/>
    </row>
    <row r="161" spans="1:13" ht="15.5">
      <c r="A161" s="5">
        <v>18</v>
      </c>
      <c r="B161" s="2" t="s">
        <v>82</v>
      </c>
      <c r="C161" s="4" t="s">
        <v>77</v>
      </c>
      <c r="D161" s="318">
        <f>'WP05 Other Tax'!D28</f>
        <v>-7163</v>
      </c>
      <c r="E161" s="4"/>
      <c r="F161" s="4" t="str">
        <f>+F159</f>
        <v>GP</v>
      </c>
      <c r="G161" s="310">
        <f>+G159</f>
        <v>1</v>
      </c>
      <c r="H161" s="4"/>
      <c r="I161" s="280">
        <f>+G161*D161</f>
        <v>-7163</v>
      </c>
      <c r="J161" s="4"/>
      <c r="K161" s="10"/>
      <c r="L161" s="306"/>
      <c r="M161" s="5"/>
    </row>
    <row r="162" spans="1:13" ht="16" thickBot="1">
      <c r="A162" s="5">
        <v>19</v>
      </c>
      <c r="B162" s="2" t="s">
        <v>83</v>
      </c>
      <c r="C162" s="4"/>
      <c r="D162" s="541">
        <f>'WP05 Other Tax'!D30</f>
        <v>0</v>
      </c>
      <c r="E162" s="4"/>
      <c r="F162" s="4" t="s">
        <v>67</v>
      </c>
      <c r="G162" s="310">
        <f>+G159</f>
        <v>1</v>
      </c>
      <c r="H162" s="4"/>
      <c r="I162" s="296">
        <f>+G162*D162</f>
        <v>0</v>
      </c>
      <c r="J162" s="4"/>
      <c r="K162" s="10"/>
      <c r="L162" s="306"/>
      <c r="M162" s="5"/>
    </row>
    <row r="163" spans="1:13" ht="15.5">
      <c r="A163" s="5">
        <v>20</v>
      </c>
      <c r="B163" s="2" t="s">
        <v>84</v>
      </c>
      <c r="C163" s="4"/>
      <c r="D163" s="298">
        <f>SUM(D156:D162)</f>
        <v>242079619</v>
      </c>
      <c r="E163" s="4"/>
      <c r="F163" s="4"/>
      <c r="G163" s="310"/>
      <c r="H163" s="4"/>
      <c r="I163" s="280">
        <f>SUM(I156:I162)</f>
        <v>241883643</v>
      </c>
      <c r="J163" s="4"/>
      <c r="K163" s="4"/>
      <c r="L163" s="300"/>
      <c r="M163" s="4"/>
    </row>
    <row r="164" spans="1:13" ht="15.5">
      <c r="A164" s="5"/>
      <c r="B164" s="2"/>
      <c r="C164" s="4"/>
      <c r="D164" s="4"/>
      <c r="E164" s="4"/>
      <c r="F164" s="4"/>
      <c r="G164" s="310"/>
      <c r="H164" s="4"/>
      <c r="I164" s="526"/>
      <c r="J164" s="4"/>
      <c r="K164" s="4"/>
      <c r="L164" s="300"/>
      <c r="M164" s="4"/>
    </row>
    <row r="165" spans="1:13" ht="15.5">
      <c r="A165" s="5" t="s">
        <v>3</v>
      </c>
      <c r="B165" s="2" t="s">
        <v>85</v>
      </c>
      <c r="C165" s="4" t="s">
        <v>187</v>
      </c>
      <c r="D165" s="9"/>
      <c r="E165" s="4"/>
      <c r="G165" s="549"/>
      <c r="H165" s="4"/>
      <c r="I165" s="526"/>
      <c r="J165" s="4"/>
      <c r="L165" s="306"/>
      <c r="M165" s="5"/>
    </row>
    <row r="166" spans="1:13" ht="15.5">
      <c r="A166" s="5">
        <v>21</v>
      </c>
      <c r="B166" s="308" t="s">
        <v>86</v>
      </c>
      <c r="C166" s="4"/>
      <c r="D166" s="550">
        <f>IF(D298&gt;0,1-(((1-D299)*(1-D298))/(1-D299*D298*D300)),0)</f>
        <v>0.22295752735977192</v>
      </c>
      <c r="E166" s="9"/>
      <c r="G166" s="549"/>
      <c r="H166" s="4"/>
      <c r="I166" s="526"/>
      <c r="J166" s="4"/>
      <c r="L166" s="551"/>
      <c r="M166" s="5"/>
    </row>
    <row r="167" spans="1:13" ht="15.5">
      <c r="A167" s="5">
        <v>22</v>
      </c>
      <c r="B167" s="1" t="s">
        <v>732</v>
      </c>
      <c r="C167" s="4"/>
      <c r="D167" s="550">
        <f>IF(I251&gt;0,(D166/(1-D166))*(1-I248/I251),0)</f>
        <v>0.22841809724521789</v>
      </c>
      <c r="E167" s="4"/>
      <c r="G167" s="549"/>
      <c r="H167" s="4"/>
      <c r="I167" s="526"/>
      <c r="J167" s="4"/>
      <c r="K167" s="250"/>
      <c r="L167" s="551"/>
      <c r="M167" s="5"/>
    </row>
    <row r="168" spans="1:13" ht="15.5">
      <c r="A168" s="5"/>
      <c r="B168" s="2" t="s">
        <v>87</v>
      </c>
      <c r="C168" s="4"/>
      <c r="D168" s="4"/>
      <c r="E168" s="4"/>
      <c r="G168" s="549"/>
      <c r="H168" s="4"/>
      <c r="I168" s="526"/>
      <c r="J168" s="4"/>
      <c r="K168" s="250"/>
      <c r="L168" s="552"/>
      <c r="M168" s="5"/>
    </row>
    <row r="169" spans="1:13" ht="15.5">
      <c r="A169" s="5"/>
      <c r="B169" s="2" t="s">
        <v>88</v>
      </c>
      <c r="C169" s="4"/>
      <c r="D169" s="4"/>
      <c r="E169" s="4"/>
      <c r="G169" s="549"/>
      <c r="H169" s="4"/>
      <c r="I169" s="526"/>
      <c r="J169" s="4"/>
      <c r="K169" s="250"/>
      <c r="L169" s="551"/>
      <c r="M169" s="5"/>
    </row>
    <row r="170" spans="1:13" ht="15.5">
      <c r="A170" s="5">
        <v>23</v>
      </c>
      <c r="B170" s="308" t="s">
        <v>89</v>
      </c>
      <c r="C170" s="4"/>
      <c r="D170" s="553">
        <f>IF(D166&gt;0,1/(1-D166),0)</f>
        <v>1.2869309403412774</v>
      </c>
      <c r="E170" s="4"/>
      <c r="G170" s="549"/>
      <c r="H170" s="4"/>
      <c r="I170" s="280"/>
      <c r="J170" s="4"/>
      <c r="K170" s="250"/>
      <c r="L170" s="554"/>
      <c r="M170" s="5"/>
    </row>
    <row r="171" spans="1:13" ht="15.5">
      <c r="A171" s="5">
        <v>24</v>
      </c>
      <c r="B171" s="2" t="s">
        <v>449</v>
      </c>
      <c r="C171" s="4"/>
      <c r="D171" s="318">
        <v>-385837</v>
      </c>
      <c r="E171" s="4"/>
      <c r="G171" s="549"/>
      <c r="H171" s="4"/>
      <c r="I171" s="280"/>
      <c r="J171" s="4"/>
      <c r="K171" s="250"/>
      <c r="L171" s="306"/>
      <c r="M171" s="5"/>
    </row>
    <row r="172" spans="1:13" ht="15.5">
      <c r="A172" s="5">
        <v>25</v>
      </c>
      <c r="B172" s="308" t="s">
        <v>90</v>
      </c>
      <c r="C172" s="303"/>
      <c r="D172" s="280">
        <f>D167*D178</f>
        <v>67495360.141576886</v>
      </c>
      <c r="E172" s="4"/>
      <c r="F172" s="4" t="s">
        <v>40</v>
      </c>
      <c r="G172" s="310"/>
      <c r="H172" s="4"/>
      <c r="I172" s="280">
        <f>D167*I178</f>
        <v>67483836.3725463</v>
      </c>
      <c r="J172" s="4"/>
      <c r="K172" s="551"/>
      <c r="L172" s="306"/>
      <c r="M172" s="4"/>
    </row>
    <row r="173" spans="1:13" ht="15.5">
      <c r="A173" s="5">
        <v>26</v>
      </c>
      <c r="B173" s="1" t="s">
        <v>91</v>
      </c>
      <c r="C173" s="303"/>
      <c r="D173" s="148">
        <f>D170*D171</f>
        <v>-496545.57322845748</v>
      </c>
      <c r="E173" s="304"/>
      <c r="F173" s="304" t="s">
        <v>58</v>
      </c>
      <c r="G173" s="305">
        <f>G86</f>
        <v>1</v>
      </c>
      <c r="H173" s="304"/>
      <c r="I173" s="302">
        <f>G173*D173</f>
        <v>-496545.57322845748</v>
      </c>
      <c r="J173" s="4"/>
      <c r="K173" s="306"/>
      <c r="L173" s="306"/>
      <c r="M173" s="4"/>
    </row>
    <row r="174" spans="1:13" ht="15.5">
      <c r="A174" s="5" t="s">
        <v>632</v>
      </c>
      <c r="B174" s="1" t="s">
        <v>638</v>
      </c>
      <c r="C174" s="303"/>
      <c r="D174" s="148">
        <f>'Appendix G-Inc Tax Adj'!G14</f>
        <v>1172989.6729807563</v>
      </c>
      <c r="E174" s="304"/>
      <c r="F174" s="304" t="s">
        <v>634</v>
      </c>
      <c r="G174" s="305">
        <v>1</v>
      </c>
      <c r="H174" s="304"/>
      <c r="I174" s="302">
        <f>D174*G174</f>
        <v>1172989.6729807563</v>
      </c>
      <c r="J174" s="4"/>
      <c r="K174" s="306"/>
      <c r="L174" s="297"/>
      <c r="M174" s="4"/>
    </row>
    <row r="175" spans="1:13" ht="16" thickBot="1">
      <c r="A175" s="5" t="s">
        <v>633</v>
      </c>
      <c r="B175" s="1" t="s">
        <v>688</v>
      </c>
      <c r="C175" s="303"/>
      <c r="D175" s="307">
        <f>'Appendix G-Inc Tax Adj'!E18+'Appendix G-Inc Tax Adj'!E19</f>
        <v>-2809544.7066365518</v>
      </c>
      <c r="E175" s="304"/>
      <c r="F175" s="304" t="s">
        <v>634</v>
      </c>
      <c r="G175" s="305">
        <v>1</v>
      </c>
      <c r="H175" s="304"/>
      <c r="I175" s="296">
        <f>D175*G175</f>
        <v>-2809544.7066365518</v>
      </c>
      <c r="J175" s="4"/>
      <c r="K175" s="306"/>
      <c r="L175" s="297"/>
      <c r="M175" s="4"/>
    </row>
    <row r="176" spans="1:13" ht="15.5">
      <c r="A176" s="5">
        <v>27</v>
      </c>
      <c r="B176" s="308" t="s">
        <v>92</v>
      </c>
      <c r="C176" s="1" t="s">
        <v>731</v>
      </c>
      <c r="D176" s="309">
        <f>SUM(D172:D175)</f>
        <v>65362259.534692645</v>
      </c>
      <c r="E176" s="4"/>
      <c r="F176" s="4" t="s">
        <v>3</v>
      </c>
      <c r="G176" s="310" t="s">
        <v>3</v>
      </c>
      <c r="H176" s="4"/>
      <c r="I176" s="309">
        <f>SUM(I172:I175)</f>
        <v>65350735.765662059</v>
      </c>
      <c r="J176" s="4"/>
      <c r="K176" s="4"/>
      <c r="L176" s="300"/>
      <c r="M176" s="4"/>
    </row>
    <row r="177" spans="1:13" ht="15.5">
      <c r="A177" s="5" t="s">
        <v>3</v>
      </c>
      <c r="C177" s="555"/>
      <c r="D177" s="280"/>
      <c r="E177" s="4"/>
      <c r="F177" s="4"/>
      <c r="G177" s="310"/>
      <c r="H177" s="4"/>
      <c r="I177" s="280"/>
      <c r="J177" s="4"/>
      <c r="K177" s="4"/>
      <c r="L177" s="306"/>
      <c r="M177" s="4"/>
    </row>
    <row r="178" spans="1:13" ht="15.5">
      <c r="A178" s="5">
        <v>28</v>
      </c>
      <c r="B178" s="2" t="s">
        <v>93</v>
      </c>
      <c r="C178" s="10"/>
      <c r="D178" s="280">
        <f>+$I251*D106</f>
        <v>295490422.84997827</v>
      </c>
      <c r="E178" s="4"/>
      <c r="F178" s="4" t="s">
        <v>40</v>
      </c>
      <c r="G178" s="549"/>
      <c r="H178" s="4"/>
      <c r="I178" s="280">
        <f>+$I251*I106</f>
        <v>295439972.51714754</v>
      </c>
      <c r="J178" s="4"/>
      <c r="L178" s="306"/>
      <c r="M178" s="5"/>
    </row>
    <row r="179" spans="1:13" ht="15.5">
      <c r="A179" s="5"/>
      <c r="B179" s="308" t="s">
        <v>184</v>
      </c>
      <c r="D179" s="280"/>
      <c r="E179" s="4"/>
      <c r="F179" s="4"/>
      <c r="G179" s="549"/>
      <c r="H179" s="4"/>
      <c r="I179" s="280"/>
      <c r="J179" s="4"/>
      <c r="K179" s="10"/>
      <c r="L179" s="306"/>
      <c r="M179" s="5"/>
    </row>
    <row r="180" spans="1:13" ht="16" thickBot="1">
      <c r="A180" s="5"/>
      <c r="B180" s="2"/>
      <c r="D180" s="296"/>
      <c r="E180" s="4"/>
      <c r="F180" s="4"/>
      <c r="G180" s="549"/>
      <c r="H180" s="4"/>
      <c r="I180" s="296"/>
      <c r="J180" s="4"/>
      <c r="K180" s="10"/>
      <c r="L180" s="306"/>
      <c r="M180" s="5"/>
    </row>
    <row r="181" spans="1:13" ht="16" thickBot="1">
      <c r="A181" s="5">
        <v>29</v>
      </c>
      <c r="B181" s="2" t="s">
        <v>216</v>
      </c>
      <c r="C181" s="4"/>
      <c r="D181" s="556">
        <f>+D146+D152+D163+D176+D178</f>
        <v>980299925.98467088</v>
      </c>
      <c r="E181" s="4"/>
      <c r="F181" s="4"/>
      <c r="G181" s="4"/>
      <c r="H181" s="4"/>
      <c r="I181" s="556">
        <f>+I146+I152+I163+I176+I178</f>
        <v>975088575.41754758</v>
      </c>
      <c r="J181" s="2"/>
      <c r="K181" s="2"/>
      <c r="L181" s="300"/>
      <c r="M181" s="2"/>
    </row>
    <row r="182" spans="1:13" ht="16" thickTop="1">
      <c r="A182" s="5"/>
      <c r="B182" s="308" t="s">
        <v>219</v>
      </c>
      <c r="C182" s="4"/>
      <c r="D182" s="4"/>
      <c r="E182" s="4"/>
      <c r="F182" s="4"/>
      <c r="G182" s="4"/>
      <c r="H182" s="4"/>
      <c r="I182" s="4"/>
      <c r="J182" s="2"/>
      <c r="K182" s="2"/>
      <c r="L182" s="300"/>
      <c r="M182" s="2"/>
    </row>
    <row r="183" spans="1:13" ht="15.5">
      <c r="A183" s="5"/>
      <c r="C183" s="4"/>
      <c r="J183" s="2"/>
      <c r="K183" s="2"/>
      <c r="L183" s="300"/>
      <c r="M183" s="2"/>
    </row>
    <row r="184" spans="1:13" ht="15.5">
      <c r="A184" s="5"/>
      <c r="B184" s="308"/>
      <c r="C184" s="4"/>
      <c r="D184" s="4"/>
      <c r="E184" s="4"/>
      <c r="F184" s="4"/>
      <c r="G184" s="4"/>
      <c r="H184" s="4"/>
      <c r="I184" s="4"/>
      <c r="J184" s="2"/>
      <c r="K184" s="2"/>
      <c r="L184" s="300"/>
      <c r="M184" s="2"/>
    </row>
    <row r="185" spans="1:13" ht="15.5">
      <c r="A185" s="5"/>
      <c r="B185" s="308"/>
      <c r="C185" s="4"/>
      <c r="D185" s="4"/>
      <c r="E185" s="4"/>
      <c r="F185" s="4"/>
      <c r="G185" s="4"/>
      <c r="H185" s="4"/>
      <c r="I185" s="4"/>
      <c r="J185" s="2"/>
      <c r="K185" s="2"/>
      <c r="L185" s="300"/>
      <c r="M185" s="2"/>
    </row>
    <row r="186" spans="1:13" ht="15.5">
      <c r="A186" s="5"/>
      <c r="B186" s="308"/>
      <c r="C186" s="4"/>
      <c r="D186" s="4"/>
      <c r="E186" s="4"/>
      <c r="F186" s="4"/>
      <c r="G186" s="4"/>
      <c r="H186" s="4"/>
      <c r="I186" s="4"/>
      <c r="J186" s="2"/>
      <c r="K186" s="2"/>
      <c r="L186" s="300"/>
      <c r="M186" s="2"/>
    </row>
    <row r="187" spans="1:13" ht="15.5">
      <c r="A187" s="5"/>
      <c r="B187" s="308"/>
      <c r="C187" s="4"/>
      <c r="D187" s="4"/>
      <c r="E187" s="4"/>
      <c r="F187" s="4"/>
      <c r="G187" s="4"/>
      <c r="H187" s="4"/>
      <c r="I187" s="4"/>
      <c r="J187" s="2"/>
      <c r="K187" s="2"/>
      <c r="L187" s="300"/>
      <c r="M187" s="2"/>
    </row>
    <row r="188" spans="1:13" ht="15.5">
      <c r="A188" s="5"/>
      <c r="B188" s="308"/>
      <c r="C188" s="4"/>
      <c r="D188" s="4"/>
      <c r="E188" s="4"/>
      <c r="F188" s="4"/>
      <c r="G188" s="4"/>
      <c r="H188" s="4"/>
      <c r="I188" s="4"/>
      <c r="J188" s="2"/>
      <c r="K188" s="2"/>
      <c r="L188" s="300"/>
      <c r="M188" s="2"/>
    </row>
    <row r="189" spans="1:13" ht="15.5">
      <c r="A189" s="5"/>
      <c r="B189" s="308"/>
      <c r="C189" s="4"/>
      <c r="D189" s="4"/>
      <c r="E189" s="4"/>
      <c r="F189" s="4"/>
      <c r="G189" s="4"/>
      <c r="H189" s="4"/>
      <c r="I189" s="4"/>
      <c r="J189" s="2"/>
      <c r="K189" s="2"/>
      <c r="L189" s="300"/>
      <c r="M189" s="2"/>
    </row>
    <row r="190" spans="1:13" ht="15.5">
      <c r="A190" s="5"/>
      <c r="B190" s="308"/>
      <c r="C190" s="4"/>
      <c r="D190" s="4"/>
      <c r="E190" s="4"/>
      <c r="F190" s="4"/>
      <c r="G190" s="4"/>
      <c r="H190" s="4"/>
      <c r="I190" s="4"/>
      <c r="J190" s="2"/>
      <c r="K190" s="2"/>
      <c r="L190" s="300"/>
      <c r="M190" s="2"/>
    </row>
    <row r="191" spans="1:13" ht="15.5">
      <c r="A191" s="5"/>
      <c r="B191" s="308"/>
      <c r="C191" s="4"/>
      <c r="D191" s="4"/>
      <c r="E191" s="4"/>
      <c r="F191" s="4"/>
      <c r="G191" s="4"/>
      <c r="H191" s="4"/>
      <c r="I191" s="4"/>
      <c r="J191" s="2"/>
      <c r="K191" s="2"/>
      <c r="L191" s="300"/>
      <c r="M191" s="2"/>
    </row>
    <row r="192" spans="1:13" ht="15.5">
      <c r="A192" s="5"/>
      <c r="B192" s="308"/>
      <c r="C192" s="4"/>
      <c r="D192" s="4"/>
      <c r="E192" s="4"/>
      <c r="F192" s="4"/>
      <c r="G192" s="4"/>
      <c r="H192" s="4"/>
      <c r="I192" s="4"/>
      <c r="J192" s="2"/>
      <c r="K192" s="2"/>
      <c r="L192" s="300"/>
      <c r="M192" s="2"/>
    </row>
    <row r="193" spans="1:12" ht="15.5">
      <c r="A193" s="546"/>
      <c r="B193" s="2"/>
      <c r="C193" s="4"/>
      <c r="D193" s="4"/>
      <c r="E193" s="4"/>
      <c r="F193" s="4"/>
      <c r="G193" s="10"/>
      <c r="H193" s="4"/>
      <c r="I193" s="4"/>
      <c r="J193" s="4"/>
      <c r="K193" s="540"/>
      <c r="L193" s="524"/>
    </row>
    <row r="194" spans="1:12" ht="15.5">
      <c r="A194" s="546"/>
      <c r="B194" s="2"/>
      <c r="C194" s="4"/>
      <c r="D194" s="4"/>
      <c r="E194" s="4"/>
      <c r="F194" s="4"/>
      <c r="G194" s="10"/>
      <c r="H194" s="4"/>
      <c r="I194" s="4"/>
      <c r="J194" s="4"/>
      <c r="K194" s="540"/>
      <c r="L194" s="524"/>
    </row>
    <row r="195" spans="2:13" ht="15.5">
      <c r="B195" s="2"/>
      <c r="C195" s="2"/>
      <c r="D195" s="300"/>
      <c r="E195" s="2"/>
      <c r="F195" s="2"/>
      <c r="G195" s="2"/>
      <c r="H195" s="2"/>
      <c r="I195" s="5"/>
      <c r="J195" s="5"/>
      <c r="K195" s="3"/>
      <c r="L195" s="300"/>
      <c r="M195" s="2"/>
    </row>
    <row r="196" spans="2:13" ht="15.5">
      <c r="B196" s="2"/>
      <c r="C196" s="2"/>
      <c r="D196" s="300"/>
      <c r="E196" s="2"/>
      <c r="F196" s="2"/>
      <c r="G196" s="2"/>
      <c r="H196" s="2"/>
      <c r="I196" s="3"/>
      <c r="J196" s="3"/>
      <c r="K196" s="3"/>
      <c r="L196" s="300"/>
      <c r="M196" s="2"/>
    </row>
    <row r="197" spans="2:13" ht="16.5" customHeight="1">
      <c r="B197" s="2"/>
      <c r="C197" s="2"/>
      <c r="D197" s="300"/>
      <c r="E197" s="2"/>
      <c r="F197" s="2"/>
      <c r="G197" s="2"/>
      <c r="H197" s="2"/>
      <c r="I197" s="2"/>
      <c r="K197" s="3" t="s">
        <v>305</v>
      </c>
      <c r="L197" s="300"/>
      <c r="M197" s="2"/>
    </row>
    <row r="198" spans="2:13" ht="16.5" customHeight="1">
      <c r="B198" s="2"/>
      <c r="C198" s="2"/>
      <c r="D198" s="300"/>
      <c r="E198" s="2"/>
      <c r="F198" s="2"/>
      <c r="G198" s="2"/>
      <c r="H198" s="2"/>
      <c r="I198" s="2"/>
      <c r="J198" s="2"/>
      <c r="K198" s="3" t="s">
        <v>183</v>
      </c>
      <c r="L198" s="300"/>
      <c r="M198" s="2"/>
    </row>
    <row r="199" spans="2:13" ht="16.5" customHeight="1">
      <c r="B199" s="2"/>
      <c r="C199" s="2"/>
      <c r="D199" s="300"/>
      <c r="E199" s="2"/>
      <c r="F199" s="2"/>
      <c r="G199" s="2"/>
      <c r="H199" s="2"/>
      <c r="I199" s="2"/>
      <c r="J199" s="2"/>
      <c r="K199" s="3"/>
      <c r="L199" s="300"/>
      <c r="M199" s="2"/>
    </row>
    <row r="200" spans="2:13" ht="15.5">
      <c r="B200" s="2" t="s">
        <v>1</v>
      </c>
      <c r="C200" s="2"/>
      <c r="D200" s="300" t="s">
        <v>2</v>
      </c>
      <c r="E200" s="2"/>
      <c r="F200" s="2"/>
      <c r="G200" s="2"/>
      <c r="H200" s="497"/>
      <c r="I200" s="497"/>
      <c r="J200" s="497"/>
      <c r="K200" s="423" t="str">
        <f>K4</f>
        <v>For the 12 months ended 12/31/2023</v>
      </c>
      <c r="L200" s="300"/>
      <c r="M200" s="2"/>
    </row>
    <row r="201" spans="2:13" ht="15.5">
      <c r="B201" s="2"/>
      <c r="C201" s="4" t="s">
        <v>3</v>
      </c>
      <c r="D201" s="4" t="s">
        <v>4</v>
      </c>
      <c r="E201" s="4"/>
      <c r="F201" s="4"/>
      <c r="G201" s="4"/>
      <c r="H201" s="2"/>
      <c r="I201" s="2"/>
      <c r="J201" s="2"/>
      <c r="K201" s="2"/>
      <c r="L201" s="300"/>
      <c r="M201" s="2"/>
    </row>
    <row r="202" spans="1:13" ht="9.75" customHeight="1">
      <c r="A202" s="5"/>
      <c r="J202" s="4"/>
      <c r="K202" s="4"/>
      <c r="L202" s="306"/>
      <c r="M202" s="4"/>
    </row>
    <row r="203" spans="1:13" ht="15.5">
      <c r="A203" s="5"/>
      <c r="D203" s="1" t="str">
        <f>D7</f>
        <v>American Transmission Systems, Inc.</v>
      </c>
      <c r="J203" s="4"/>
      <c r="K203" s="4"/>
      <c r="L203" s="306"/>
      <c r="M203" s="4"/>
    </row>
    <row r="204" spans="1:13" ht="15.5">
      <c r="A204" s="5"/>
      <c r="C204" s="18" t="s">
        <v>94</v>
      </c>
      <c r="E204" s="2"/>
      <c r="F204" s="2"/>
      <c r="G204" s="2"/>
      <c r="H204" s="2"/>
      <c r="I204" s="2"/>
      <c r="J204" s="4"/>
      <c r="K204" s="4"/>
      <c r="L204" s="300"/>
      <c r="M204" s="4"/>
    </row>
    <row r="205" spans="1:13" ht="15.5">
      <c r="A205" s="5" t="s">
        <v>5</v>
      </c>
      <c r="B205" s="5" t="s">
        <v>27</v>
      </c>
      <c r="C205" s="5" t="s">
        <v>28</v>
      </c>
      <c r="D205" s="5" t="s">
        <v>29</v>
      </c>
      <c r="E205" s="7" t="s">
        <v>30</v>
      </c>
      <c r="F205" s="4"/>
      <c r="G205" s="7" t="s">
        <v>31</v>
      </c>
      <c r="H205" s="4"/>
      <c r="I205" s="7" t="s">
        <v>32</v>
      </c>
      <c r="J205" s="4"/>
      <c r="L205" s="300"/>
      <c r="M205" s="4"/>
    </row>
    <row r="206" spans="1:13" ht="16" thickBot="1">
      <c r="A206" s="498" t="s">
        <v>7</v>
      </c>
      <c r="B206" s="2" t="s">
        <v>95</v>
      </c>
      <c r="C206" s="2"/>
      <c r="D206" s="2"/>
      <c r="E206" s="2"/>
      <c r="F206" s="2"/>
      <c r="G206" s="2"/>
      <c r="J206" s="4"/>
      <c r="K206" s="4"/>
      <c r="L206" s="300"/>
      <c r="M206" s="4"/>
    </row>
    <row r="207" spans="1:13" ht="15.5">
      <c r="A207" s="5">
        <v>1</v>
      </c>
      <c r="B207" s="2" t="s">
        <v>202</v>
      </c>
      <c r="C207" s="2"/>
      <c r="D207" s="4"/>
      <c r="E207" s="4"/>
      <c r="F207" s="4"/>
      <c r="G207" s="4"/>
      <c r="H207" s="4"/>
      <c r="I207" s="298">
        <f>D66</f>
        <v>5736002767.4030781</v>
      </c>
      <c r="J207" s="4"/>
      <c r="K207" s="4"/>
      <c r="L207" s="300"/>
      <c r="M207" s="4"/>
    </row>
    <row r="208" spans="1:13" ht="15.5">
      <c r="A208" s="5">
        <v>2</v>
      </c>
      <c r="B208" s="2" t="s">
        <v>450</v>
      </c>
      <c r="I208" s="318">
        <v>0</v>
      </c>
      <c r="J208" s="4"/>
      <c r="K208" s="4"/>
      <c r="L208" s="300"/>
      <c r="M208" s="4"/>
    </row>
    <row r="209" spans="1:13" ht="16" thickBot="1">
      <c r="A209" s="5">
        <v>3</v>
      </c>
      <c r="B209" s="557" t="s">
        <v>451</v>
      </c>
      <c r="C209" s="557"/>
      <c r="D209" s="4"/>
      <c r="E209" s="4"/>
      <c r="F209" s="4"/>
      <c r="G209" s="151"/>
      <c r="H209" s="4"/>
      <c r="I209" s="541">
        <v>0</v>
      </c>
      <c r="J209" s="4"/>
      <c r="K209" s="4"/>
      <c r="L209" s="300"/>
      <c r="M209" s="4"/>
    </row>
    <row r="210" spans="1:13" ht="15.5">
      <c r="A210" s="5">
        <v>4</v>
      </c>
      <c r="B210" s="2" t="s">
        <v>96</v>
      </c>
      <c r="C210" s="2"/>
      <c r="D210" s="4"/>
      <c r="E210" s="4"/>
      <c r="F210" s="4"/>
      <c r="G210" s="151"/>
      <c r="H210" s="4"/>
      <c r="I210" s="298">
        <f>I207-I208-I209</f>
        <v>5736002767.4030781</v>
      </c>
      <c r="J210" s="4"/>
      <c r="K210" s="4"/>
      <c r="L210" s="300"/>
      <c r="M210" s="4"/>
    </row>
    <row r="211" spans="1:13" ht="15.5">
      <c r="A211" s="5">
        <v>5</v>
      </c>
      <c r="B211" s="2" t="s">
        <v>206</v>
      </c>
      <c r="C211" s="11"/>
      <c r="D211" s="11"/>
      <c r="E211" s="11"/>
      <c r="F211" s="11"/>
      <c r="G211" s="7"/>
      <c r="H211" s="4" t="s">
        <v>97</v>
      </c>
      <c r="I211" s="506">
        <f>IF(I207&gt;0,I210/I207,0)</f>
        <v>1</v>
      </c>
      <c r="J211" s="4"/>
      <c r="K211" s="4"/>
      <c r="L211" s="300"/>
      <c r="M211" s="4"/>
    </row>
    <row r="212" spans="1:13" ht="9.75" customHeight="1">
      <c r="A212" s="5"/>
      <c r="B212" s="2"/>
      <c r="C212" s="11"/>
      <c r="D212" s="11"/>
      <c r="E212" s="11"/>
      <c r="F212" s="11"/>
      <c r="G212" s="7"/>
      <c r="H212" s="4"/>
      <c r="I212" s="506"/>
      <c r="J212" s="4"/>
      <c r="K212" s="4"/>
      <c r="L212" s="300"/>
      <c r="M212" s="4"/>
    </row>
    <row r="213" spans="1:13" ht="15.5">
      <c r="A213" s="5"/>
      <c r="B213" s="2" t="s">
        <v>98</v>
      </c>
      <c r="J213" s="4"/>
      <c r="K213" s="4"/>
      <c r="L213" s="300"/>
      <c r="M213" s="4"/>
    </row>
    <row r="214" spans="1:13" ht="9.75" customHeight="1">
      <c r="A214" s="5"/>
      <c r="J214" s="4"/>
      <c r="K214" s="4"/>
      <c r="L214" s="300"/>
      <c r="M214" s="4"/>
    </row>
    <row r="215" spans="1:13" ht="15.5">
      <c r="A215" s="5">
        <v>6</v>
      </c>
      <c r="B215" s="1" t="s">
        <v>203</v>
      </c>
      <c r="D215" s="2"/>
      <c r="E215" s="2"/>
      <c r="F215" s="2"/>
      <c r="G215" s="5"/>
      <c r="H215" s="2"/>
      <c r="I215" s="298">
        <f>D135</f>
        <v>126117662</v>
      </c>
      <c r="J215" s="4"/>
      <c r="K215" s="4"/>
      <c r="L215" s="306"/>
      <c r="M215" s="4"/>
    </row>
    <row r="216" spans="1:13" ht="16" thickBot="1">
      <c r="A216" s="5">
        <v>7</v>
      </c>
      <c r="B216" s="557" t="s">
        <v>452</v>
      </c>
      <c r="C216" s="557"/>
      <c r="D216" s="4"/>
      <c r="E216" s="4"/>
      <c r="F216" s="4"/>
      <c r="G216" s="7"/>
      <c r="H216" s="4"/>
      <c r="I216" s="541">
        <v>4939974</v>
      </c>
      <c r="J216" s="4"/>
      <c r="K216" s="4"/>
      <c r="L216" s="306"/>
      <c r="M216" s="4"/>
    </row>
    <row r="217" spans="1:13" ht="15.5">
      <c r="A217" s="5">
        <v>8</v>
      </c>
      <c r="B217" s="2" t="s">
        <v>198</v>
      </c>
      <c r="C217" s="11"/>
      <c r="D217" s="11"/>
      <c r="E217" s="11"/>
      <c r="F217" s="11"/>
      <c r="H217" s="11"/>
      <c r="I217" s="298">
        <f>SUM(I215-I216)</f>
        <v>121177688</v>
      </c>
      <c r="L217" s="306"/>
      <c r="M217" s="4"/>
    </row>
    <row r="218" spans="1:13" ht="15.5">
      <c r="A218" s="5">
        <v>9</v>
      </c>
      <c r="B218" s="2" t="s">
        <v>199</v>
      </c>
      <c r="C218" s="2"/>
      <c r="D218" s="4"/>
      <c r="E218" s="4"/>
      <c r="F218" s="4"/>
      <c r="G218" s="4"/>
      <c r="H218" s="4"/>
      <c r="I218" s="301">
        <f>IF(I215&gt;0,I217/I215,0)</f>
        <v>0.96083043467773765</v>
      </c>
      <c r="L218" s="306"/>
      <c r="M218" s="4"/>
    </row>
    <row r="219" spans="1:13" ht="15.5">
      <c r="A219" s="5">
        <v>10</v>
      </c>
      <c r="B219" s="2" t="s">
        <v>200</v>
      </c>
      <c r="C219" s="2"/>
      <c r="D219" s="4"/>
      <c r="E219" s="4"/>
      <c r="F219" s="4"/>
      <c r="G219" s="4"/>
      <c r="H219" s="2" t="s">
        <v>14</v>
      </c>
      <c r="I219" s="301">
        <f>I211</f>
        <v>1</v>
      </c>
      <c r="L219" s="306"/>
      <c r="M219" s="4"/>
    </row>
    <row r="220" spans="1:13" ht="15.5">
      <c r="A220" s="5">
        <v>11</v>
      </c>
      <c r="B220" s="2" t="s">
        <v>201</v>
      </c>
      <c r="C220" s="2"/>
      <c r="D220" s="2"/>
      <c r="E220" s="2"/>
      <c r="F220" s="2"/>
      <c r="G220" s="2"/>
      <c r="H220" s="2" t="s">
        <v>99</v>
      </c>
      <c r="I220" s="310">
        <f>+I219*I218</f>
        <v>0.96083043467773765</v>
      </c>
      <c r="L220" s="306"/>
      <c r="M220" s="4"/>
    </row>
    <row r="221" spans="1:13" ht="9.75" customHeight="1">
      <c r="A221" s="5"/>
      <c r="C221" s="2"/>
      <c r="D221" s="4"/>
      <c r="E221" s="4"/>
      <c r="F221" s="4"/>
      <c r="G221" s="151"/>
      <c r="H221" s="4"/>
      <c r="L221" s="306"/>
      <c r="M221" s="4"/>
    </row>
    <row r="222" spans="1:13" ht="15.5">
      <c r="A222" s="5" t="s">
        <v>3</v>
      </c>
      <c r="B222" s="2" t="s">
        <v>100</v>
      </c>
      <c r="C222" s="4"/>
      <c r="D222" s="4"/>
      <c r="E222" s="4"/>
      <c r="F222" s="4"/>
      <c r="G222" s="4"/>
      <c r="H222" s="4"/>
      <c r="I222" s="4"/>
      <c r="J222" s="4"/>
      <c r="K222" s="4"/>
      <c r="L222" s="306"/>
      <c r="M222" s="4"/>
    </row>
    <row r="223" spans="1:13" ht="16" thickBot="1">
      <c r="A223" s="5" t="s">
        <v>3</v>
      </c>
      <c r="B223" s="2"/>
      <c r="C223" s="558" t="s">
        <v>101</v>
      </c>
      <c r="D223" s="522" t="s">
        <v>102</v>
      </c>
      <c r="E223" s="522" t="s">
        <v>14</v>
      </c>
      <c r="F223" s="4"/>
      <c r="G223" s="522" t="s">
        <v>103</v>
      </c>
      <c r="H223" s="4"/>
      <c r="I223" s="4"/>
      <c r="J223" s="4"/>
      <c r="K223" s="4"/>
      <c r="L223" s="306"/>
      <c r="M223" s="4"/>
    </row>
    <row r="224" spans="1:13" ht="15.5">
      <c r="A224" s="5">
        <v>12</v>
      </c>
      <c r="B224" s="2" t="s">
        <v>39</v>
      </c>
      <c r="C224" s="4" t="s">
        <v>175</v>
      </c>
      <c r="D224" s="318">
        <v>0</v>
      </c>
      <c r="E224" s="559">
        <v>0</v>
      </c>
      <c r="F224" s="559"/>
      <c r="G224" s="280">
        <f>D224*E224</f>
        <v>0</v>
      </c>
      <c r="H224" s="4"/>
      <c r="I224" s="4"/>
      <c r="J224" s="4"/>
      <c r="K224" s="4"/>
      <c r="L224" s="306"/>
      <c r="M224" s="4"/>
    </row>
    <row r="225" spans="1:13" ht="15.5">
      <c r="A225" s="5">
        <v>13</v>
      </c>
      <c r="B225" s="2" t="s">
        <v>41</v>
      </c>
      <c r="C225" s="4" t="s">
        <v>176</v>
      </c>
      <c r="D225" s="318">
        <v>0</v>
      </c>
      <c r="E225" s="559">
        <f>+I211</f>
        <v>1</v>
      </c>
      <c r="F225" s="559"/>
      <c r="G225" s="280">
        <f>D225*E225</f>
        <v>0</v>
      </c>
      <c r="H225" s="4"/>
      <c r="I225" s="4"/>
      <c r="J225" s="4"/>
      <c r="K225" s="4"/>
      <c r="L225" s="306"/>
      <c r="M225" s="4"/>
    </row>
    <row r="226" spans="1:13" ht="15.5">
      <c r="A226" s="5">
        <v>14</v>
      </c>
      <c r="B226" s="2" t="s">
        <v>42</v>
      </c>
      <c r="C226" s="4" t="s">
        <v>177</v>
      </c>
      <c r="D226" s="318">
        <v>0</v>
      </c>
      <c r="E226" s="559">
        <v>0</v>
      </c>
      <c r="F226" s="559"/>
      <c r="G226" s="280">
        <f>D226*E226</f>
        <v>0</v>
      </c>
      <c r="H226" s="4"/>
      <c r="I226" s="151" t="s">
        <v>104</v>
      </c>
      <c r="J226" s="4"/>
      <c r="K226" s="4"/>
      <c r="L226" s="306"/>
      <c r="M226" s="4"/>
    </row>
    <row r="227" spans="1:13" ht="16" thickBot="1">
      <c r="A227" s="5">
        <v>15</v>
      </c>
      <c r="B227" s="2" t="s">
        <v>105</v>
      </c>
      <c r="C227" s="4" t="s">
        <v>178</v>
      </c>
      <c r="D227" s="541">
        <v>0</v>
      </c>
      <c r="E227" s="559">
        <v>0</v>
      </c>
      <c r="F227" s="559"/>
      <c r="G227" s="296">
        <f>D227*E227</f>
        <v>0</v>
      </c>
      <c r="H227" s="4"/>
      <c r="I227" s="498" t="s">
        <v>106</v>
      </c>
      <c r="J227" s="4"/>
      <c r="K227" s="4"/>
      <c r="L227" s="306"/>
      <c r="M227" s="4"/>
    </row>
    <row r="228" spans="1:13" ht="15.5">
      <c r="A228" s="5">
        <v>16</v>
      </c>
      <c r="B228" s="2" t="s">
        <v>107</v>
      </c>
      <c r="C228" s="4"/>
      <c r="D228" s="298">
        <f>SUM(D224:D227)</f>
        <v>0</v>
      </c>
      <c r="E228" s="4"/>
      <c r="F228" s="4"/>
      <c r="G228" s="280">
        <f>SUM(G224:G227)</f>
        <v>0</v>
      </c>
      <c r="H228" s="5" t="s">
        <v>108</v>
      </c>
      <c r="I228" s="301">
        <f>IF(G228&gt;0,G228/D228,1)</f>
        <v>1</v>
      </c>
      <c r="J228" s="560" t="s">
        <v>205</v>
      </c>
      <c r="K228" s="4"/>
      <c r="L228" s="306"/>
      <c r="M228" s="4"/>
    </row>
    <row r="229" spans="1:13" ht="9.75" customHeight="1">
      <c r="A229" s="5"/>
      <c r="B229" s="2"/>
      <c r="C229" s="4"/>
      <c r="D229" s="4"/>
      <c r="E229" s="4"/>
      <c r="F229" s="4"/>
      <c r="G229" s="4"/>
      <c r="H229" s="4"/>
      <c r="I229" s="4"/>
      <c r="J229" s="4"/>
      <c r="K229" s="4"/>
      <c r="L229" s="306"/>
      <c r="M229" s="4"/>
    </row>
    <row r="230" spans="1:13" ht="15.5">
      <c r="A230" s="5"/>
      <c r="B230" s="2" t="s">
        <v>197</v>
      </c>
      <c r="C230" s="4"/>
      <c r="D230" s="4"/>
      <c r="E230" s="4"/>
      <c r="F230" s="4"/>
      <c r="G230" s="4"/>
      <c r="H230" s="4"/>
      <c r="I230" s="4"/>
      <c r="J230" s="4"/>
      <c r="K230" s="4"/>
      <c r="L230" s="306"/>
      <c r="M230" s="4"/>
    </row>
    <row r="231" spans="1:13" ht="15.5">
      <c r="A231" s="5"/>
      <c r="B231" s="2"/>
      <c r="C231" s="4"/>
      <c r="D231" s="17" t="s">
        <v>102</v>
      </c>
      <c r="E231" s="4"/>
      <c r="F231" s="4"/>
      <c r="G231" s="151" t="s">
        <v>109</v>
      </c>
      <c r="H231" s="549" t="s">
        <v>3</v>
      </c>
      <c r="I231" s="10" t="str">
        <f>+I226</f>
        <v>W&amp;S Allocator</v>
      </c>
      <c r="L231" s="306"/>
      <c r="M231" s="4"/>
    </row>
    <row r="232" spans="1:13" ht="15.5">
      <c r="A232" s="5">
        <v>17</v>
      </c>
      <c r="B232" s="2" t="s">
        <v>110</v>
      </c>
      <c r="C232" s="4" t="s">
        <v>111</v>
      </c>
      <c r="D232" s="318">
        <v>5819698172</v>
      </c>
      <c r="E232" s="4"/>
      <c r="G232" s="5" t="s">
        <v>112</v>
      </c>
      <c r="H232" s="549"/>
      <c r="I232" s="5" t="s">
        <v>113</v>
      </c>
      <c r="J232" s="4"/>
      <c r="K232" s="5" t="s">
        <v>46</v>
      </c>
      <c r="L232" s="306"/>
      <c r="M232" s="4"/>
    </row>
    <row r="233" spans="1:18" ht="15.5">
      <c r="A233" s="5">
        <v>18</v>
      </c>
      <c r="B233" s="2" t="s">
        <v>114</v>
      </c>
      <c r="C233" s="4" t="s">
        <v>115</v>
      </c>
      <c r="D233" s="561">
        <v>0</v>
      </c>
      <c r="E233" s="4"/>
      <c r="G233" s="310">
        <f>IF(D235&gt;0,D232/D235,1)</f>
        <v>1</v>
      </c>
      <c r="H233" s="151" t="s">
        <v>116</v>
      </c>
      <c r="I233" s="310">
        <f>I228</f>
        <v>1</v>
      </c>
      <c r="J233" s="549" t="s">
        <v>108</v>
      </c>
      <c r="K233" s="310">
        <f>G233*I233</f>
        <v>1</v>
      </c>
      <c r="L233" s="306"/>
      <c r="M233" s="235"/>
      <c r="N233" s="235"/>
      <c r="O233" s="236"/>
      <c r="P233" s="52"/>
      <c r="Q233" s="52"/>
      <c r="R233" s="52"/>
    </row>
    <row r="234" spans="1:18" ht="16" thickBot="1">
      <c r="A234" s="5">
        <v>19</v>
      </c>
      <c r="B234" s="557" t="s">
        <v>117</v>
      </c>
      <c r="C234" s="558" t="s">
        <v>118</v>
      </c>
      <c r="D234" s="562">
        <v>0</v>
      </c>
      <c r="E234" s="4"/>
      <c r="F234" s="4"/>
      <c r="G234" s="4" t="s">
        <v>3</v>
      </c>
      <c r="H234" s="4"/>
      <c r="I234" s="4"/>
      <c r="J234" s="4"/>
      <c r="K234" s="4"/>
      <c r="L234" s="306"/>
      <c r="M234" s="563"/>
      <c r="N234" s="563"/>
      <c r="O234" s="52"/>
      <c r="P234" s="52"/>
      <c r="Q234" s="52"/>
      <c r="R234" s="52"/>
    </row>
    <row r="235" spans="1:18" ht="15.5">
      <c r="A235" s="5">
        <v>20</v>
      </c>
      <c r="B235" s="2" t="s">
        <v>119</v>
      </c>
      <c r="C235" s="4"/>
      <c r="D235" s="298">
        <f>SUM(D232:D234)</f>
        <v>5819698172</v>
      </c>
      <c r="E235" s="4"/>
      <c r="F235" s="4"/>
      <c r="G235" s="4"/>
      <c r="H235" s="4"/>
      <c r="I235" s="4"/>
      <c r="J235" s="4"/>
      <c r="K235" s="4"/>
      <c r="L235" s="306"/>
      <c r="N235" s="237"/>
      <c r="O235" s="238"/>
      <c r="P235" s="239"/>
      <c r="Q235" s="237"/>
      <c r="R235" s="237"/>
    </row>
    <row r="236" spans="1:18" ht="15.5">
      <c r="A236" s="5"/>
      <c r="B236" s="2"/>
      <c r="C236" s="4"/>
      <c r="E236" s="4"/>
      <c r="F236" s="4"/>
      <c r="G236" s="4"/>
      <c r="H236" s="4"/>
      <c r="I236" s="4"/>
      <c r="J236" s="4"/>
      <c r="K236" s="4"/>
      <c r="L236" s="306"/>
      <c r="M236" s="677"/>
      <c r="N236" s="677"/>
      <c r="O236" s="677"/>
      <c r="P236" s="677"/>
      <c r="Q236" s="677"/>
      <c r="R236" s="677"/>
    </row>
    <row r="237" spans="1:18" ht="16" thickBot="1">
      <c r="A237" s="5"/>
      <c r="B237" s="2" t="s">
        <v>120</v>
      </c>
      <c r="C237" s="4"/>
      <c r="D237" s="4"/>
      <c r="E237" s="4"/>
      <c r="F237" s="4"/>
      <c r="G237" s="4"/>
      <c r="H237" s="4"/>
      <c r="I237" s="522" t="s">
        <v>102</v>
      </c>
      <c r="J237" s="4"/>
      <c r="K237" s="4"/>
      <c r="L237" s="306"/>
      <c r="M237" s="237"/>
      <c r="N237" s="237"/>
      <c r="O237" s="238"/>
      <c r="P237" s="239"/>
      <c r="Q237" s="237"/>
      <c r="R237" s="237"/>
    </row>
    <row r="238" spans="1:18" ht="15.5">
      <c r="A238" s="5">
        <v>21</v>
      </c>
      <c r="B238" s="2"/>
      <c r="C238" s="4" t="s">
        <v>525</v>
      </c>
      <c r="D238" s="4"/>
      <c r="E238" s="4"/>
      <c r="F238" s="4"/>
      <c r="G238" s="4"/>
      <c r="H238" s="4"/>
      <c r="I238" s="318">
        <f>61821875+1260879+4782664-4782664</f>
        <v>63082754</v>
      </c>
      <c r="J238" s="4"/>
      <c r="K238" s="4"/>
      <c r="L238" s="306"/>
      <c r="M238" s="238"/>
      <c r="N238" s="238"/>
      <c r="O238" s="238"/>
      <c r="P238" s="239"/>
      <c r="Q238" s="237"/>
      <c r="R238" s="237"/>
    </row>
    <row r="239" spans="1:18" ht="15.5">
      <c r="A239" s="5">
        <v>22</v>
      </c>
      <c r="B239" s="2"/>
      <c r="C239" s="4" t="s">
        <v>207</v>
      </c>
      <c r="D239" s="4"/>
      <c r="E239" s="4"/>
      <c r="F239" s="4"/>
      <c r="G239" s="4"/>
      <c r="H239" s="4"/>
      <c r="I239" s="318">
        <v>0</v>
      </c>
      <c r="J239" s="4"/>
      <c r="K239" s="4"/>
      <c r="L239" s="306"/>
      <c r="M239" s="238"/>
      <c r="N239" s="237"/>
      <c r="O239" s="240"/>
      <c r="P239" s="240"/>
      <c r="Q239" s="237"/>
      <c r="R239" s="237"/>
    </row>
    <row r="240" spans="1:18" ht="15.5">
      <c r="A240" s="5"/>
      <c r="B240" s="2"/>
      <c r="C240" s="4"/>
      <c r="D240" s="4"/>
      <c r="E240" s="4"/>
      <c r="F240" s="4"/>
      <c r="G240" s="4"/>
      <c r="H240" s="4"/>
      <c r="I240" s="280"/>
      <c r="J240" s="4"/>
      <c r="K240" s="4"/>
      <c r="L240" s="306"/>
      <c r="M240" s="238"/>
      <c r="N240" s="237"/>
      <c r="O240" s="237"/>
      <c r="P240" s="237"/>
      <c r="Q240" s="237"/>
      <c r="R240" s="237"/>
    </row>
    <row r="241" spans="1:18" ht="15.5">
      <c r="A241" s="5"/>
      <c r="B241" s="2" t="s">
        <v>121</v>
      </c>
      <c r="C241" s="4"/>
      <c r="D241" s="4"/>
      <c r="E241" s="4"/>
      <c r="F241" s="4"/>
      <c r="G241" s="4"/>
      <c r="H241" s="4"/>
      <c r="I241" s="280"/>
      <c r="J241" s="4"/>
      <c r="K241" s="4"/>
      <c r="L241" s="306"/>
      <c r="M241" s="238"/>
      <c r="N241" s="241"/>
      <c r="O241" s="237"/>
      <c r="P241" s="237"/>
      <c r="Q241" s="237"/>
      <c r="R241" s="237"/>
    </row>
    <row r="242" spans="1:18" ht="15.5">
      <c r="A242" s="5">
        <v>23</v>
      </c>
      <c r="B242" s="2"/>
      <c r="C242" s="4" t="s">
        <v>498</v>
      </c>
      <c r="D242" s="2"/>
      <c r="E242" s="4"/>
      <c r="F242" s="4"/>
      <c r="G242" s="4"/>
      <c r="H242" s="4"/>
      <c r="I242" s="318">
        <f>'WP06 Cap Structure'!E20</f>
        <v>2372425592.5084639</v>
      </c>
      <c r="J242" s="4"/>
      <c r="K242" s="4"/>
      <c r="L242" s="306"/>
      <c r="M242" s="238"/>
      <c r="N242" s="237"/>
      <c r="O242" s="237"/>
      <c r="P242" s="237"/>
      <c r="Q242" s="237"/>
      <c r="R242" s="237"/>
    </row>
    <row r="243" spans="1:18" ht="15.5">
      <c r="A243" s="5">
        <v>24</v>
      </c>
      <c r="B243" s="2"/>
      <c r="C243" s="4" t="s">
        <v>208</v>
      </c>
      <c r="D243" s="4"/>
      <c r="E243" s="4"/>
      <c r="F243" s="4"/>
      <c r="G243" s="4"/>
      <c r="H243" s="4"/>
      <c r="I243" s="298">
        <v>0</v>
      </c>
      <c r="J243" s="4"/>
      <c r="K243" s="4"/>
      <c r="L243" s="306"/>
      <c r="M243" s="238"/>
      <c r="N243" s="237"/>
      <c r="O243" s="237"/>
      <c r="P243" s="237"/>
      <c r="Q243" s="237"/>
      <c r="R243" s="237"/>
    </row>
    <row r="244" spans="1:18" ht="16" thickBot="1">
      <c r="A244" s="5">
        <v>25</v>
      </c>
      <c r="B244" s="2"/>
      <c r="C244" s="4" t="s">
        <v>499</v>
      </c>
      <c r="D244" s="4"/>
      <c r="E244" s="4"/>
      <c r="F244" s="4"/>
      <c r="G244" s="4"/>
      <c r="H244" s="4"/>
      <c r="I244" s="541">
        <f>'WP06 Cap Structure'!G20</f>
        <v>0</v>
      </c>
      <c r="J244" s="4"/>
      <c r="K244" s="4"/>
      <c r="L244" s="306"/>
      <c r="M244" s="238"/>
      <c r="N244" s="237"/>
      <c r="O244" s="237"/>
      <c r="P244" s="242"/>
      <c r="Q244" s="237"/>
      <c r="R244" s="237"/>
    </row>
    <row r="245" spans="1:18" ht="15.5">
      <c r="A245" s="5">
        <v>26</v>
      </c>
      <c r="B245" s="2"/>
      <c r="C245" s="4" t="s">
        <v>122</v>
      </c>
      <c r="D245" s="2" t="s">
        <v>123</v>
      </c>
      <c r="E245" s="2"/>
      <c r="F245" s="2"/>
      <c r="G245" s="2"/>
      <c r="H245" s="2"/>
      <c r="I245" s="298">
        <f>SUM(I242:I244)</f>
        <v>2372425592.5084639</v>
      </c>
      <c r="J245" s="4"/>
      <c r="K245" s="4"/>
      <c r="L245" s="306"/>
      <c r="M245" s="238"/>
      <c r="N245" s="237"/>
      <c r="O245" s="238"/>
      <c r="P245" s="239"/>
      <c r="Q245" s="237"/>
      <c r="R245" s="237"/>
    </row>
    <row r="246" spans="1:18" ht="15.5">
      <c r="A246" s="5"/>
      <c r="B246" s="2"/>
      <c r="C246" s="4"/>
      <c r="D246" s="4"/>
      <c r="E246" s="4"/>
      <c r="F246" s="4"/>
      <c r="G246" s="151" t="s">
        <v>124</v>
      </c>
      <c r="H246" s="4"/>
      <c r="I246" s="4"/>
      <c r="J246" s="4"/>
      <c r="K246" s="4"/>
      <c r="L246" s="306"/>
      <c r="M246" s="238"/>
      <c r="N246" s="237"/>
      <c r="O246" s="238"/>
      <c r="P246" s="239"/>
      <c r="Q246" s="237"/>
      <c r="R246" s="237"/>
    </row>
    <row r="247" spans="1:14" ht="16" thickBot="1">
      <c r="A247" s="5"/>
      <c r="B247" s="2"/>
      <c r="C247" s="4"/>
      <c r="D247" s="498" t="s">
        <v>102</v>
      </c>
      <c r="E247" s="498" t="s">
        <v>125</v>
      </c>
      <c r="F247" s="4"/>
      <c r="G247" s="498" t="s">
        <v>126</v>
      </c>
      <c r="H247" s="4"/>
      <c r="I247" s="498" t="s">
        <v>127</v>
      </c>
      <c r="J247" s="4"/>
      <c r="K247" s="4"/>
      <c r="L247" s="306"/>
      <c r="M247" s="4"/>
      <c r="N247" s="239"/>
    </row>
    <row r="248" spans="1:13" ht="15.5">
      <c r="A248" s="5">
        <v>27</v>
      </c>
      <c r="B248" s="2" t="s">
        <v>500</v>
      </c>
      <c r="D248" s="318">
        <f>'WP06 Cap Structure'!I20</f>
        <v>1592307692.3076923</v>
      </c>
      <c r="E248" s="564">
        <f>IF($D$251&gt;0,D248/$D$251,0)</f>
        <v>0.40161785873612105</v>
      </c>
      <c r="F248" s="565"/>
      <c r="G248" s="565">
        <f>IF(D248&gt;0,I238/D248,0)</f>
        <v>0.039617188502415461</v>
      </c>
      <c r="I248" s="565">
        <f>G248*E248</f>
        <v>0.015910970415485372</v>
      </c>
      <c r="J248" s="560" t="s">
        <v>128</v>
      </c>
      <c r="L248" s="306"/>
      <c r="M248" s="4"/>
    </row>
    <row r="249" spans="1:13" ht="15.5">
      <c r="A249" s="5">
        <v>28</v>
      </c>
      <c r="B249" s="2" t="s">
        <v>501</v>
      </c>
      <c r="D249" s="318">
        <f>'WP06 Cap Structure'!F20</f>
        <v>0</v>
      </c>
      <c r="E249" s="564">
        <f>IF($D$251&gt;0,D249/$D$251,0)</f>
        <v>0</v>
      </c>
      <c r="F249" s="565"/>
      <c r="G249" s="565">
        <f>IF(D249&gt;0,I239/D249,0)</f>
        <v>0</v>
      </c>
      <c r="I249" s="565">
        <f>G249*E249</f>
        <v>0</v>
      </c>
      <c r="J249" s="4"/>
      <c r="L249" s="306"/>
      <c r="M249" s="4"/>
    </row>
    <row r="250" spans="1:13" ht="16" thickBot="1">
      <c r="A250" s="5">
        <v>29</v>
      </c>
      <c r="B250" s="2" t="s">
        <v>129</v>
      </c>
      <c r="D250" s="296">
        <f>I245</f>
        <v>2372425592.5084639</v>
      </c>
      <c r="E250" s="564">
        <f>IF($D$251&gt;0,D250/$D$251,0)</f>
        <v>0.5983821412638789</v>
      </c>
      <c r="F250" s="565"/>
      <c r="G250" s="566">
        <v>0.1038</v>
      </c>
      <c r="I250" s="567">
        <f>G250*E250</f>
        <v>0.06211206626319063</v>
      </c>
      <c r="J250" s="4"/>
      <c r="L250" s="306"/>
      <c r="M250" s="4"/>
    </row>
    <row r="251" spans="1:13" ht="15.5">
      <c r="A251" s="5">
        <v>30</v>
      </c>
      <c r="B251" s="2" t="s">
        <v>130</v>
      </c>
      <c r="D251" s="298">
        <f>SUM(D248:D250)</f>
        <v>3964733284.8161564</v>
      </c>
      <c r="E251" s="4" t="s">
        <v>3</v>
      </c>
      <c r="F251" s="4"/>
      <c r="G251" s="233"/>
      <c r="H251" s="4"/>
      <c r="I251" s="565">
        <f>SUM(I248:I250)</f>
        <v>0.078023036678675994</v>
      </c>
      <c r="J251" s="560" t="s">
        <v>131</v>
      </c>
      <c r="L251" s="306"/>
      <c r="M251" s="4"/>
    </row>
    <row r="252" spans="1:13" ht="9.75" customHeight="1">
      <c r="A252" s="5"/>
      <c r="K252" s="4"/>
      <c r="L252" s="306"/>
      <c r="M252" s="4"/>
    </row>
    <row r="253" spans="1:13" ht="15.5">
      <c r="A253" s="5"/>
      <c r="B253" s="2" t="s">
        <v>132</v>
      </c>
      <c r="C253" s="2"/>
      <c r="D253" s="2"/>
      <c r="E253" s="2"/>
      <c r="F253" s="2"/>
      <c r="G253" s="2"/>
      <c r="H253" s="2"/>
      <c r="I253" s="2"/>
      <c r="J253" s="2"/>
      <c r="K253" s="2"/>
      <c r="L253" s="552"/>
      <c r="M253" s="4"/>
    </row>
    <row r="254" spans="1:13" ht="15.5">
      <c r="A254" s="5"/>
      <c r="B254" s="2" t="s">
        <v>133</v>
      </c>
      <c r="C254" s="2"/>
      <c r="D254" s="2" t="s">
        <v>134</v>
      </c>
      <c r="E254" s="2" t="s">
        <v>135</v>
      </c>
      <c r="F254" s="2"/>
      <c r="G254" s="2" t="s">
        <v>3</v>
      </c>
      <c r="I254" s="568"/>
      <c r="J254" s="568"/>
      <c r="L254" s="524"/>
      <c r="M254" s="4"/>
    </row>
    <row r="255" spans="1:13" ht="15.5">
      <c r="A255" s="5">
        <v>31</v>
      </c>
      <c r="B255" s="1" t="s">
        <v>453</v>
      </c>
      <c r="C255" s="2"/>
      <c r="D255" s="2"/>
      <c r="F255" s="2"/>
      <c r="I255" s="569">
        <v>0</v>
      </c>
      <c r="J255" s="570"/>
      <c r="L255" s="524"/>
      <c r="M255" s="4"/>
    </row>
    <row r="256" spans="1:13" ht="16" thickBot="1">
      <c r="A256" s="5">
        <v>32</v>
      </c>
      <c r="B256" s="59" t="s">
        <v>454</v>
      </c>
      <c r="C256" s="557"/>
      <c r="E256" s="2"/>
      <c r="F256" s="2"/>
      <c r="G256" s="2"/>
      <c r="H256" s="2"/>
      <c r="I256" s="571">
        <v>0</v>
      </c>
      <c r="J256" s="572"/>
      <c r="L256" s="524"/>
      <c r="M256" s="4"/>
    </row>
    <row r="257" spans="1:13" ht="15.5">
      <c r="A257" s="5">
        <v>33</v>
      </c>
      <c r="B257" s="1" t="s">
        <v>565</v>
      </c>
      <c r="C257" s="2"/>
      <c r="E257" s="2"/>
      <c r="F257" s="2"/>
      <c r="G257" s="2"/>
      <c r="H257" s="2"/>
      <c r="I257" s="573">
        <f>+I255-I256</f>
        <v>0</v>
      </c>
      <c r="J257" s="570"/>
      <c r="L257" s="524"/>
      <c r="M257" s="4"/>
    </row>
    <row r="258" spans="1:13" ht="15.5">
      <c r="A258" s="5"/>
      <c r="B258" s="1" t="s">
        <v>3</v>
      </c>
      <c r="C258" s="2"/>
      <c r="E258" s="2"/>
      <c r="F258" s="2"/>
      <c r="G258" s="574"/>
      <c r="H258" s="2"/>
      <c r="I258" s="573"/>
      <c r="J258" s="568"/>
      <c r="K258" s="575"/>
      <c r="L258" s="306"/>
      <c r="M258" s="4"/>
    </row>
    <row r="259" spans="1:13" ht="15.5">
      <c r="A259" s="5">
        <v>34</v>
      </c>
      <c r="B259" s="1" t="s">
        <v>526</v>
      </c>
      <c r="C259" s="2"/>
      <c r="D259" s="1" t="s">
        <v>527</v>
      </c>
      <c r="E259" s="2"/>
      <c r="F259" s="2"/>
      <c r="G259" s="574"/>
      <c r="H259" s="2"/>
      <c r="I259" s="576">
        <v>167331</v>
      </c>
      <c r="J259" s="568"/>
      <c r="K259" s="575"/>
      <c r="L259" s="306"/>
      <c r="M259" s="4"/>
    </row>
    <row r="260" spans="1:13" ht="15.5">
      <c r="A260" s="5"/>
      <c r="C260" s="2"/>
      <c r="E260" s="2"/>
      <c r="F260" s="2"/>
      <c r="G260" s="574"/>
      <c r="H260" s="2"/>
      <c r="I260" s="573"/>
      <c r="J260" s="568"/>
      <c r="K260" s="575"/>
      <c r="L260" s="306"/>
      <c r="M260" s="4"/>
    </row>
    <row r="261" spans="1:13" ht="15.5">
      <c r="A261" s="5">
        <v>35</v>
      </c>
      <c r="B261" s="2" t="s">
        <v>455</v>
      </c>
      <c r="C261" s="2"/>
      <c r="D261" s="1" t="s">
        <v>528</v>
      </c>
      <c r="E261" s="2"/>
      <c r="F261" s="2"/>
      <c r="G261" s="529"/>
      <c r="H261" s="2"/>
      <c r="I261" s="576">
        <v>17825526</v>
      </c>
      <c r="J261" s="568"/>
      <c r="K261" s="577"/>
      <c r="L261" s="306"/>
      <c r="M261" s="4"/>
    </row>
    <row r="262" spans="1:13" ht="15.75" customHeight="1">
      <c r="A262" s="5"/>
      <c r="C262" s="2"/>
      <c r="D262" s="2"/>
      <c r="E262" s="2"/>
      <c r="F262" s="2"/>
      <c r="G262" s="2"/>
      <c r="H262" s="2"/>
      <c r="I262" s="573"/>
      <c r="J262" s="568"/>
      <c r="K262" s="577"/>
      <c r="L262" s="306"/>
      <c r="M262" s="4"/>
    </row>
    <row r="263" spans="1:13" ht="15.5">
      <c r="A263" s="5">
        <v>36</v>
      </c>
      <c r="B263" s="2" t="s">
        <v>456</v>
      </c>
      <c r="C263" s="2"/>
      <c r="D263" s="2" t="s">
        <v>136</v>
      </c>
      <c r="E263" s="2"/>
      <c r="F263" s="2"/>
      <c r="G263" s="2"/>
      <c r="H263" s="2"/>
      <c r="I263" s="578">
        <v>6106643.6499999994</v>
      </c>
      <c r="K263" s="577"/>
      <c r="L263" s="306"/>
      <c r="M263" s="2"/>
    </row>
    <row r="264" spans="2:13" ht="15.5">
      <c r="B264" s="2"/>
      <c r="C264" s="2"/>
      <c r="D264" s="4"/>
      <c r="E264" s="4"/>
      <c r="F264" s="4"/>
      <c r="G264" s="4"/>
      <c r="H264" s="4"/>
      <c r="J264" s="579"/>
      <c r="K264" s="577"/>
      <c r="L264" s="306"/>
      <c r="M264" s="2"/>
    </row>
    <row r="265" spans="1:13" ht="15.65" customHeight="1">
      <c r="A265" s="5"/>
      <c r="B265" s="2"/>
      <c r="C265" s="2"/>
      <c r="D265" s="2"/>
      <c r="E265" s="2"/>
      <c r="F265" s="2"/>
      <c r="G265" s="2"/>
      <c r="H265" s="2"/>
      <c r="I265" s="608"/>
      <c r="J265" s="608"/>
      <c r="K265" s="580"/>
      <c r="L265" s="306"/>
      <c r="M265" s="2"/>
    </row>
    <row r="266" spans="1:13" ht="15.5">
      <c r="A266" s="5"/>
      <c r="C266" s="5"/>
      <c r="D266" s="4"/>
      <c r="E266" s="4"/>
      <c r="F266" s="4"/>
      <c r="G266" s="4"/>
      <c r="H266" s="2"/>
      <c r="I266" s="608"/>
      <c r="J266" s="608"/>
      <c r="K266" s="581"/>
      <c r="L266" s="300"/>
      <c r="M266" s="2"/>
    </row>
    <row r="267" spans="1:13" ht="15.5">
      <c r="A267" s="5"/>
      <c r="C267" s="5"/>
      <c r="D267" s="4"/>
      <c r="E267" s="4"/>
      <c r="F267" s="4"/>
      <c r="G267" s="4"/>
      <c r="H267" s="2"/>
      <c r="I267" s="608"/>
      <c r="J267" s="608"/>
      <c r="K267" s="581"/>
      <c r="L267" s="300"/>
      <c r="M267" s="2"/>
    </row>
    <row r="268" spans="1:13" ht="15.5">
      <c r="A268" s="5"/>
      <c r="C268" s="5"/>
      <c r="D268" s="4"/>
      <c r="E268" s="4"/>
      <c r="F268" s="4"/>
      <c r="G268" s="4"/>
      <c r="H268" s="2"/>
      <c r="I268" s="608"/>
      <c r="J268" s="608"/>
      <c r="K268" s="581"/>
      <c r="L268" s="300"/>
      <c r="M268" s="2"/>
    </row>
    <row r="269" spans="1:13" ht="15.5">
      <c r="A269" s="5"/>
      <c r="C269" s="5"/>
      <c r="D269" s="4"/>
      <c r="E269" s="4"/>
      <c r="F269" s="4"/>
      <c r="G269" s="4"/>
      <c r="H269" s="2"/>
      <c r="I269" s="608"/>
      <c r="J269" s="608"/>
      <c r="K269" s="581"/>
      <c r="L269" s="300"/>
      <c r="M269" s="2"/>
    </row>
    <row r="270" spans="1:13" ht="15.5">
      <c r="A270" s="5"/>
      <c r="C270" s="5"/>
      <c r="D270" s="4"/>
      <c r="E270" s="4"/>
      <c r="F270" s="4"/>
      <c r="G270" s="4"/>
      <c r="H270" s="2"/>
      <c r="I270" s="581"/>
      <c r="J270" s="579"/>
      <c r="K270" s="581"/>
      <c r="L270" s="300"/>
      <c r="M270" s="2"/>
    </row>
    <row r="271" spans="1:12" ht="15.5">
      <c r="A271" s="546"/>
      <c r="B271" s="2"/>
      <c r="C271" s="4"/>
      <c r="D271" s="4"/>
      <c r="E271" s="4"/>
      <c r="F271" s="4"/>
      <c r="G271" s="10"/>
      <c r="H271" s="4"/>
      <c r="I271" s="4"/>
      <c r="J271" s="4"/>
      <c r="K271" s="540"/>
      <c r="L271" s="524"/>
    </row>
    <row r="272" spans="1:12" ht="15.5">
      <c r="A272" s="546"/>
      <c r="B272" s="2"/>
      <c r="C272" s="4"/>
      <c r="D272" s="4"/>
      <c r="E272" s="4"/>
      <c r="F272" s="4"/>
      <c r="G272" s="10"/>
      <c r="H272" s="4"/>
      <c r="I272" s="4"/>
      <c r="J272" s="4"/>
      <c r="K272" s="540"/>
      <c r="L272" s="524"/>
    </row>
    <row r="273" spans="2:13" ht="15.5">
      <c r="B273" s="2"/>
      <c r="C273" s="2"/>
      <c r="D273" s="300"/>
      <c r="E273" s="2"/>
      <c r="F273" s="2"/>
      <c r="G273" s="2"/>
      <c r="H273" s="2"/>
      <c r="I273" s="5"/>
      <c r="J273" s="5"/>
      <c r="K273" s="3"/>
      <c r="L273" s="300"/>
      <c r="M273" s="2"/>
    </row>
    <row r="274" spans="2:13" ht="15.5">
      <c r="B274" s="2"/>
      <c r="C274" s="2"/>
      <c r="D274" s="300"/>
      <c r="E274" s="2"/>
      <c r="F274" s="2"/>
      <c r="G274" s="2"/>
      <c r="H274" s="2"/>
      <c r="I274" s="3"/>
      <c r="J274" s="3"/>
      <c r="K274" s="3"/>
      <c r="L274" s="300"/>
      <c r="M274" s="2"/>
    </row>
    <row r="275" spans="2:13" ht="16.5" customHeight="1">
      <c r="B275" s="2"/>
      <c r="C275" s="2"/>
      <c r="D275" s="300"/>
      <c r="E275" s="2"/>
      <c r="F275" s="2"/>
      <c r="G275" s="2"/>
      <c r="H275" s="2"/>
      <c r="I275" s="2"/>
      <c r="K275" s="3" t="s">
        <v>305</v>
      </c>
      <c r="L275" s="300"/>
      <c r="M275" s="2"/>
    </row>
    <row r="276" spans="2:13" ht="16.5" customHeight="1">
      <c r="B276" s="2"/>
      <c r="C276" s="2"/>
      <c r="D276" s="300"/>
      <c r="E276" s="2"/>
      <c r="F276" s="2"/>
      <c r="G276" s="2"/>
      <c r="H276" s="2"/>
      <c r="I276" s="2"/>
      <c r="J276" s="2"/>
      <c r="K276" s="3" t="s">
        <v>137</v>
      </c>
      <c r="L276" s="300"/>
      <c r="M276" s="2"/>
    </row>
    <row r="277" spans="2:13" ht="16.5" customHeight="1">
      <c r="B277" s="2"/>
      <c r="C277" s="2"/>
      <c r="D277" s="300"/>
      <c r="E277" s="2"/>
      <c r="F277" s="2"/>
      <c r="G277" s="2"/>
      <c r="H277" s="2"/>
      <c r="I277" s="2"/>
      <c r="J277" s="2"/>
      <c r="K277" s="3"/>
      <c r="L277" s="300"/>
      <c r="M277" s="2"/>
    </row>
    <row r="278" spans="2:13" ht="15.5">
      <c r="B278" s="2" t="s">
        <v>1</v>
      </c>
      <c r="C278" s="2"/>
      <c r="D278" s="300" t="s">
        <v>2</v>
      </c>
      <c r="E278" s="2"/>
      <c r="F278" s="2"/>
      <c r="G278" s="2"/>
      <c r="H278" s="497"/>
      <c r="I278" s="282"/>
      <c r="J278" s="497"/>
      <c r="K278" s="423" t="str">
        <f>K4</f>
        <v>For the 12 months ended 12/31/2023</v>
      </c>
      <c r="L278" s="300"/>
      <c r="M278" s="2"/>
    </row>
    <row r="279" spans="2:13" ht="15.5">
      <c r="B279" s="2"/>
      <c r="C279" s="4" t="s">
        <v>3</v>
      </c>
      <c r="D279" s="4" t="s">
        <v>4</v>
      </c>
      <c r="E279" s="4"/>
      <c r="F279" s="4"/>
      <c r="G279" s="4"/>
      <c r="H279" s="2"/>
      <c r="I279" s="2"/>
      <c r="J279" s="2"/>
      <c r="K279" s="2"/>
      <c r="L279" s="300"/>
      <c r="M279" s="2"/>
    </row>
    <row r="280" spans="1:13" ht="15.5">
      <c r="A280" s="5"/>
      <c r="C280" s="5"/>
      <c r="D280" s="4"/>
      <c r="E280" s="4"/>
      <c r="F280" s="4"/>
      <c r="G280" s="4"/>
      <c r="H280" s="2"/>
      <c r="I280" s="582"/>
      <c r="J280" s="568"/>
      <c r="K280" s="579"/>
      <c r="L280" s="300"/>
      <c r="M280" s="2"/>
    </row>
    <row r="281" spans="1:13" ht="15.5">
      <c r="A281" s="5"/>
      <c r="C281" s="5"/>
      <c r="D281" s="4" t="str">
        <f>D7</f>
        <v>American Transmission Systems, Inc.</v>
      </c>
      <c r="E281" s="4"/>
      <c r="F281" s="4"/>
      <c r="G281" s="4"/>
      <c r="H281" s="2"/>
      <c r="I281" s="582"/>
      <c r="J281" s="568"/>
      <c r="K281" s="579"/>
      <c r="L281" s="300"/>
      <c r="M281" s="2"/>
    </row>
    <row r="282" spans="1:13" ht="15.5">
      <c r="A282" s="5"/>
      <c r="C282" s="5"/>
      <c r="D282" s="4"/>
      <c r="E282" s="4"/>
      <c r="F282" s="4"/>
      <c r="G282" s="4"/>
      <c r="H282" s="2"/>
      <c r="I282" s="582"/>
      <c r="J282" s="568"/>
      <c r="K282" s="579"/>
      <c r="L282" s="300"/>
      <c r="M282" s="2"/>
    </row>
    <row r="283" spans="1:13" ht="15.5">
      <c r="A283" s="5"/>
      <c r="B283" s="2" t="s">
        <v>138</v>
      </c>
      <c r="C283" s="5"/>
      <c r="D283" s="4"/>
      <c r="E283" s="4"/>
      <c r="F283" s="4"/>
      <c r="G283" s="4"/>
      <c r="H283" s="2"/>
      <c r="I283" s="4"/>
      <c r="J283" s="2"/>
      <c r="K283" s="4"/>
      <c r="L283" s="300"/>
      <c r="M283" s="2"/>
    </row>
    <row r="284" spans="1:13" ht="15.5">
      <c r="A284" s="5"/>
      <c r="B284" s="583" t="s">
        <v>188</v>
      </c>
      <c r="C284" s="5"/>
      <c r="D284" s="4"/>
      <c r="E284" s="4"/>
      <c r="F284" s="4"/>
      <c r="G284" s="4"/>
      <c r="H284" s="2"/>
      <c r="I284" s="4"/>
      <c r="J284" s="2"/>
      <c r="K284" s="4"/>
      <c r="L284" s="300"/>
      <c r="M284" s="2"/>
    </row>
    <row r="285" spans="1:13" ht="15.5">
      <c r="A285" s="5" t="s">
        <v>139</v>
      </c>
      <c r="B285" s="2"/>
      <c r="C285" s="2"/>
      <c r="D285" s="4"/>
      <c r="E285" s="4"/>
      <c r="F285" s="4"/>
      <c r="G285" s="4"/>
      <c r="H285" s="2"/>
      <c r="I285" s="4"/>
      <c r="J285" s="2"/>
      <c r="K285" s="4"/>
      <c r="L285" s="300"/>
      <c r="M285" s="2"/>
    </row>
    <row r="286" spans="1:13" ht="16" thickBot="1">
      <c r="A286" s="498" t="s">
        <v>140</v>
      </c>
      <c r="B286" s="2"/>
      <c r="C286" s="2"/>
      <c r="D286" s="4"/>
      <c r="E286" s="4"/>
      <c r="F286" s="4"/>
      <c r="G286" s="4"/>
      <c r="H286" s="2"/>
      <c r="I286" s="4"/>
      <c r="J286" s="2"/>
      <c r="K286" s="4"/>
      <c r="L286" s="300"/>
      <c r="M286" s="2"/>
    </row>
    <row r="287" spans="1:13" ht="19.75" customHeight="1">
      <c r="A287" s="584" t="s">
        <v>141</v>
      </c>
      <c r="B287" s="678" t="s">
        <v>459</v>
      </c>
      <c r="C287" s="678"/>
      <c r="D287" s="678"/>
      <c r="E287" s="678"/>
      <c r="F287" s="678"/>
      <c r="G287" s="678"/>
      <c r="H287" s="678"/>
      <c r="I287" s="678"/>
      <c r="J287" s="678"/>
      <c r="K287" s="678"/>
      <c r="L287" s="300"/>
      <c r="M287" s="2"/>
    </row>
    <row r="288" spans="1:13" ht="15.5">
      <c r="A288" s="584" t="s">
        <v>142</v>
      </c>
      <c r="B288" s="678" t="s">
        <v>460</v>
      </c>
      <c r="C288" s="678"/>
      <c r="D288" s="678"/>
      <c r="E288" s="678"/>
      <c r="F288" s="678"/>
      <c r="G288" s="678"/>
      <c r="H288" s="678"/>
      <c r="I288" s="678"/>
      <c r="J288" s="678"/>
      <c r="K288" s="678"/>
      <c r="L288" s="300"/>
      <c r="M288" s="2"/>
    </row>
    <row r="289" spans="1:13" ht="15.75" customHeight="1">
      <c r="A289" s="584" t="s">
        <v>143</v>
      </c>
      <c r="B289" s="678" t="s">
        <v>566</v>
      </c>
      <c r="C289" s="678"/>
      <c r="D289" s="678"/>
      <c r="E289" s="678"/>
      <c r="F289" s="678"/>
      <c r="G289" s="678"/>
      <c r="H289" s="678"/>
      <c r="I289" s="678"/>
      <c r="J289" s="678"/>
      <c r="K289" s="678"/>
      <c r="L289" s="306"/>
      <c r="M289" s="2"/>
    </row>
    <row r="290" spans="1:13" ht="15.75" customHeight="1">
      <c r="A290" s="584" t="s">
        <v>144</v>
      </c>
      <c r="B290" s="678" t="s">
        <v>224</v>
      </c>
      <c r="C290" s="678"/>
      <c r="D290" s="678"/>
      <c r="E290" s="678"/>
      <c r="F290" s="678"/>
      <c r="G290" s="678"/>
      <c r="H290" s="678"/>
      <c r="I290" s="678"/>
      <c r="J290" s="678"/>
      <c r="K290" s="678"/>
      <c r="L290" s="306"/>
      <c r="M290" s="2"/>
    </row>
    <row r="291" spans="1:13" ht="15.5">
      <c r="A291" s="584" t="s">
        <v>145</v>
      </c>
      <c r="B291" s="678" t="s">
        <v>224</v>
      </c>
      <c r="C291" s="678"/>
      <c r="D291" s="678"/>
      <c r="E291" s="678"/>
      <c r="F291" s="678"/>
      <c r="G291" s="678"/>
      <c r="H291" s="678"/>
      <c r="I291" s="678"/>
      <c r="J291" s="678"/>
      <c r="K291" s="678"/>
      <c r="L291" s="300"/>
      <c r="M291" s="2"/>
    </row>
    <row r="292" spans="1:13" ht="196.75" customHeight="1">
      <c r="A292" s="584" t="s">
        <v>146</v>
      </c>
      <c r="B292" s="678" t="s">
        <v>884</v>
      </c>
      <c r="C292" s="678"/>
      <c r="D292" s="678"/>
      <c r="E292" s="678"/>
      <c r="F292" s="678"/>
      <c r="G292" s="678"/>
      <c r="H292" s="678"/>
      <c r="I292" s="678"/>
      <c r="J292" s="678"/>
      <c r="K292" s="678"/>
      <c r="L292" s="269"/>
      <c r="M292" s="2"/>
    </row>
    <row r="293" spans="1:13" ht="15.5">
      <c r="A293" s="584" t="s">
        <v>147</v>
      </c>
      <c r="B293" s="678" t="s">
        <v>148</v>
      </c>
      <c r="C293" s="678"/>
      <c r="D293" s="678"/>
      <c r="E293" s="678"/>
      <c r="F293" s="678"/>
      <c r="G293" s="678"/>
      <c r="H293" s="678"/>
      <c r="I293" s="678"/>
      <c r="J293" s="678"/>
      <c r="K293" s="678"/>
      <c r="L293" s="300"/>
      <c r="M293" s="2"/>
    </row>
    <row r="294" spans="1:13" ht="32.25" customHeight="1">
      <c r="A294" s="584" t="s">
        <v>149</v>
      </c>
      <c r="B294" s="678" t="s">
        <v>326</v>
      </c>
      <c r="C294" s="678"/>
      <c r="D294" s="678"/>
      <c r="E294" s="678"/>
      <c r="F294" s="678"/>
      <c r="G294" s="678"/>
      <c r="H294" s="678"/>
      <c r="I294" s="678"/>
      <c r="J294" s="678"/>
      <c r="K294" s="678"/>
      <c r="L294" s="300"/>
      <c r="M294" s="2"/>
    </row>
    <row r="295" spans="1:13" ht="32.25" customHeight="1">
      <c r="A295" s="584" t="s">
        <v>150</v>
      </c>
      <c r="B295" s="678" t="s">
        <v>215</v>
      </c>
      <c r="C295" s="678"/>
      <c r="D295" s="678"/>
      <c r="E295" s="678"/>
      <c r="F295" s="678"/>
      <c r="G295" s="678"/>
      <c r="H295" s="678"/>
      <c r="I295" s="678"/>
      <c r="J295" s="678"/>
      <c r="K295" s="678"/>
      <c r="L295" s="300"/>
      <c r="M295" s="2"/>
    </row>
    <row r="296" spans="1:13" ht="32.25" customHeight="1">
      <c r="A296" s="584" t="s">
        <v>151</v>
      </c>
      <c r="B296" s="678" t="s">
        <v>214</v>
      </c>
      <c r="C296" s="678"/>
      <c r="D296" s="678"/>
      <c r="E296" s="678"/>
      <c r="F296" s="678"/>
      <c r="G296" s="678"/>
      <c r="H296" s="678"/>
      <c r="I296" s="678"/>
      <c r="J296" s="678"/>
      <c r="K296" s="678"/>
      <c r="L296" s="469"/>
      <c r="M296" s="2"/>
    </row>
    <row r="297" spans="1:13" ht="65.4" customHeight="1">
      <c r="A297" s="584" t="s">
        <v>152</v>
      </c>
      <c r="B297" s="678" t="s">
        <v>213</v>
      </c>
      <c r="C297" s="678"/>
      <c r="D297" s="678"/>
      <c r="E297" s="678"/>
      <c r="F297" s="678"/>
      <c r="G297" s="678"/>
      <c r="H297" s="678"/>
      <c r="I297" s="678"/>
      <c r="J297" s="678"/>
      <c r="K297" s="678"/>
      <c r="L297" s="300"/>
      <c r="M297" s="2"/>
    </row>
    <row r="298" spans="1:13" ht="15.5">
      <c r="A298" s="584" t="s">
        <v>3</v>
      </c>
      <c r="B298" s="585" t="s">
        <v>210</v>
      </c>
      <c r="C298" s="470" t="s">
        <v>153</v>
      </c>
      <c r="D298" s="591">
        <f>'WP08 Tax Rates'!D6</f>
        <v>0.20999999999999999</v>
      </c>
      <c r="E298" s="678"/>
      <c r="F298" s="678"/>
      <c r="G298" s="678"/>
      <c r="H298" s="678"/>
      <c r="I298" s="678"/>
      <c r="J298" s="678"/>
      <c r="K298" s="678"/>
      <c r="L298" s="300"/>
      <c r="M298" s="2"/>
    </row>
    <row r="299" spans="1:13" ht="15.5">
      <c r="A299" s="584"/>
      <c r="B299" s="470"/>
      <c r="C299" s="470" t="s">
        <v>154</v>
      </c>
      <c r="D299" s="591">
        <f>'WP08 Tax Rates'!G16</f>
        <v>0.016401933366799997</v>
      </c>
      <c r="E299" s="678" t="s">
        <v>457</v>
      </c>
      <c r="F299" s="678"/>
      <c r="G299" s="678"/>
      <c r="H299" s="678"/>
      <c r="I299" s="678"/>
      <c r="J299" s="678"/>
      <c r="K299" s="678"/>
      <c r="L299" s="300"/>
      <c r="M299" s="2"/>
    </row>
    <row r="300" spans="1:13" ht="15.5">
      <c r="A300" s="584"/>
      <c r="B300" s="470"/>
      <c r="C300" s="470" t="s">
        <v>155</v>
      </c>
      <c r="D300" s="586"/>
      <c r="E300" s="678" t="s">
        <v>458</v>
      </c>
      <c r="F300" s="678"/>
      <c r="G300" s="678"/>
      <c r="H300" s="678"/>
      <c r="I300" s="678"/>
      <c r="J300" s="678"/>
      <c r="K300" s="678"/>
      <c r="L300" s="552"/>
      <c r="M300" s="2"/>
    </row>
    <row r="301" spans="1:13" ht="15.5">
      <c r="A301" s="584" t="s">
        <v>156</v>
      </c>
      <c r="B301" s="678" t="s">
        <v>170</v>
      </c>
      <c r="C301" s="678"/>
      <c r="D301" s="678"/>
      <c r="E301" s="678"/>
      <c r="F301" s="678"/>
      <c r="G301" s="678"/>
      <c r="H301" s="678"/>
      <c r="I301" s="678"/>
      <c r="J301" s="678"/>
      <c r="K301" s="678"/>
      <c r="L301" s="300"/>
      <c r="M301" s="2"/>
    </row>
    <row r="302" spans="1:13" ht="18" customHeight="1">
      <c r="A302" s="584" t="s">
        <v>157</v>
      </c>
      <c r="B302" s="678" t="s">
        <v>212</v>
      </c>
      <c r="C302" s="678"/>
      <c r="D302" s="678"/>
      <c r="E302" s="678"/>
      <c r="F302" s="678"/>
      <c r="G302" s="678"/>
      <c r="H302" s="678"/>
      <c r="I302" s="678"/>
      <c r="J302" s="678"/>
      <c r="K302" s="678"/>
      <c r="L302" s="300"/>
      <c r="M302" s="2"/>
    </row>
    <row r="303" spans="1:13" ht="36" customHeight="1">
      <c r="A303" s="584" t="s">
        <v>158</v>
      </c>
      <c r="B303" s="678" t="s">
        <v>502</v>
      </c>
      <c r="C303" s="678"/>
      <c r="D303" s="678"/>
      <c r="E303" s="678"/>
      <c r="F303" s="678"/>
      <c r="G303" s="678"/>
      <c r="H303" s="678"/>
      <c r="I303" s="678"/>
      <c r="J303" s="678"/>
      <c r="K303" s="678"/>
      <c r="L303" s="300"/>
      <c r="M303" s="2"/>
    </row>
    <row r="304" spans="1:13" ht="15.5">
      <c r="A304" s="584" t="s">
        <v>159</v>
      </c>
      <c r="B304" s="678" t="s">
        <v>160</v>
      </c>
      <c r="C304" s="678"/>
      <c r="D304" s="678"/>
      <c r="E304" s="678"/>
      <c r="F304" s="678"/>
      <c r="G304" s="678"/>
      <c r="H304" s="678"/>
      <c r="I304" s="678"/>
      <c r="J304" s="678"/>
      <c r="K304" s="678"/>
      <c r="L304" s="300"/>
      <c r="M304" s="2"/>
    </row>
    <row r="305" spans="1:14" ht="48" customHeight="1">
      <c r="A305" s="584" t="s">
        <v>161</v>
      </c>
      <c r="B305" s="678" t="s">
        <v>567</v>
      </c>
      <c r="C305" s="678"/>
      <c r="D305" s="678"/>
      <c r="E305" s="678"/>
      <c r="F305" s="678"/>
      <c r="G305" s="678"/>
      <c r="H305" s="678"/>
      <c r="I305" s="678"/>
      <c r="J305" s="678"/>
      <c r="K305" s="678"/>
      <c r="L305" s="679"/>
      <c r="M305" s="679"/>
      <c r="N305" s="679"/>
    </row>
    <row r="306" spans="1:13" ht="23.4" customHeight="1">
      <c r="A306" s="584" t="s">
        <v>162</v>
      </c>
      <c r="B306" s="678" t="s">
        <v>211</v>
      </c>
      <c r="C306" s="678"/>
      <c r="D306" s="678"/>
      <c r="E306" s="678"/>
      <c r="F306" s="678"/>
      <c r="G306" s="678"/>
      <c r="H306" s="678"/>
      <c r="I306" s="678"/>
      <c r="J306" s="678"/>
      <c r="K306" s="678"/>
      <c r="L306" s="300"/>
      <c r="M306" s="2"/>
    </row>
    <row r="307" spans="1:13" ht="15.5">
      <c r="A307" s="584" t="s">
        <v>163</v>
      </c>
      <c r="B307" s="678" t="s">
        <v>164</v>
      </c>
      <c r="C307" s="678"/>
      <c r="D307" s="678"/>
      <c r="E307" s="678"/>
      <c r="F307" s="678"/>
      <c r="G307" s="678"/>
      <c r="H307" s="678"/>
      <c r="I307" s="678"/>
      <c r="J307" s="678"/>
      <c r="K307" s="678"/>
      <c r="L307" s="300"/>
      <c r="M307" s="2"/>
    </row>
    <row r="308" spans="1:13" ht="20.25" customHeight="1">
      <c r="A308" s="584" t="s">
        <v>165</v>
      </c>
      <c r="B308" s="678" t="s">
        <v>535</v>
      </c>
      <c r="C308" s="678"/>
      <c r="D308" s="678"/>
      <c r="E308" s="678"/>
      <c r="F308" s="678"/>
      <c r="G308" s="678"/>
      <c r="H308" s="678"/>
      <c r="I308" s="678"/>
      <c r="J308" s="678"/>
      <c r="K308" s="678"/>
      <c r="L308" s="300"/>
      <c r="M308" s="2"/>
    </row>
    <row r="309" spans="1:13" ht="61.25" customHeight="1">
      <c r="A309" s="248" t="s">
        <v>166</v>
      </c>
      <c r="B309" s="678" t="s">
        <v>537</v>
      </c>
      <c r="C309" s="678"/>
      <c r="D309" s="678"/>
      <c r="E309" s="678"/>
      <c r="F309" s="678"/>
      <c r="G309" s="678"/>
      <c r="H309" s="678"/>
      <c r="I309" s="678"/>
      <c r="J309" s="678"/>
      <c r="K309" s="678"/>
      <c r="L309" s="300"/>
      <c r="M309" s="2"/>
    </row>
    <row r="310" spans="1:13" ht="81" customHeight="1">
      <c r="A310" s="248" t="s">
        <v>167</v>
      </c>
      <c r="B310" s="678" t="s">
        <v>568</v>
      </c>
      <c r="C310" s="678"/>
      <c r="D310" s="678"/>
      <c r="E310" s="678"/>
      <c r="F310" s="678"/>
      <c r="G310" s="678"/>
      <c r="H310" s="678"/>
      <c r="I310" s="678"/>
      <c r="J310" s="678"/>
      <c r="K310" s="678"/>
      <c r="L310" s="300"/>
      <c r="M310" s="2"/>
    </row>
    <row r="311" spans="1:12" ht="39" customHeight="1">
      <c r="A311" s="248" t="s">
        <v>168</v>
      </c>
      <c r="B311" s="678" t="s">
        <v>866</v>
      </c>
      <c r="C311" s="678"/>
      <c r="D311" s="678"/>
      <c r="E311" s="678"/>
      <c r="F311" s="678"/>
      <c r="G311" s="678"/>
      <c r="H311" s="678"/>
      <c r="I311" s="678"/>
      <c r="J311" s="678"/>
      <c r="K311" s="678"/>
      <c r="L311" s="462"/>
    </row>
    <row r="312" spans="1:11" ht="15.75" customHeight="1">
      <c r="A312" s="248" t="s">
        <v>169</v>
      </c>
      <c r="B312" s="683" t="s">
        <v>185</v>
      </c>
      <c r="C312" s="683"/>
      <c r="D312" s="683"/>
      <c r="E312" s="683"/>
      <c r="F312" s="683"/>
      <c r="G312" s="683"/>
      <c r="H312" s="683"/>
      <c r="I312" s="683"/>
      <c r="J312" s="683"/>
      <c r="K312" s="683"/>
    </row>
    <row r="313" spans="1:11" ht="15.75" customHeight="1">
      <c r="A313" s="248" t="s">
        <v>180</v>
      </c>
      <c r="B313" s="678" t="s">
        <v>462</v>
      </c>
      <c r="C313" s="678"/>
      <c r="D313" s="678"/>
      <c r="E313" s="678"/>
      <c r="F313" s="678"/>
      <c r="G313" s="678"/>
      <c r="H313" s="678"/>
      <c r="I313" s="678"/>
      <c r="J313" s="678"/>
      <c r="K313" s="678"/>
    </row>
    <row r="314" spans="1:11" ht="15.75" customHeight="1">
      <c r="A314" s="248" t="s">
        <v>181</v>
      </c>
      <c r="B314" s="678" t="s">
        <v>679</v>
      </c>
      <c r="C314" s="678"/>
      <c r="D314" s="678"/>
      <c r="E314" s="678"/>
      <c r="F314" s="678"/>
      <c r="G314" s="678"/>
      <c r="H314" s="678"/>
      <c r="I314" s="678"/>
      <c r="J314" s="678"/>
      <c r="K314" s="678"/>
    </row>
    <row r="315" spans="1:11" ht="15.5">
      <c r="A315" s="248" t="s">
        <v>225</v>
      </c>
      <c r="B315" s="681" t="s">
        <v>536</v>
      </c>
      <c r="C315" s="681"/>
      <c r="D315" s="681"/>
      <c r="E315" s="681"/>
      <c r="F315" s="681"/>
      <c r="G315" s="681"/>
      <c r="H315" s="681"/>
      <c r="I315" s="681"/>
      <c r="J315" s="681"/>
      <c r="K315" s="681"/>
    </row>
    <row r="316" spans="1:11" ht="15.5">
      <c r="A316" s="60" t="s">
        <v>529</v>
      </c>
      <c r="B316" s="681" t="s">
        <v>530</v>
      </c>
      <c r="C316" s="681"/>
      <c r="D316" s="681"/>
      <c r="E316" s="681"/>
      <c r="F316" s="681"/>
      <c r="G316" s="681"/>
      <c r="H316" s="681"/>
      <c r="I316" s="681"/>
      <c r="J316" s="681"/>
      <c r="K316" s="681"/>
    </row>
    <row r="317" spans="1:11" ht="48.65" customHeight="1">
      <c r="A317" s="60" t="s">
        <v>531</v>
      </c>
      <c r="B317" s="679" t="s">
        <v>569</v>
      </c>
      <c r="C317" s="682"/>
      <c r="D317" s="682"/>
      <c r="E317" s="682"/>
      <c r="F317" s="682"/>
      <c r="G317" s="682"/>
      <c r="H317" s="682"/>
      <c r="I317" s="682"/>
      <c r="J317" s="682"/>
      <c r="K317" s="682"/>
    </row>
    <row r="318" spans="1:11" ht="15.5">
      <c r="A318" s="60" t="s">
        <v>532</v>
      </c>
      <c r="B318" s="682" t="s">
        <v>533</v>
      </c>
      <c r="C318" s="682"/>
      <c r="D318" s="682"/>
      <c r="E318" s="682"/>
      <c r="F318" s="682"/>
      <c r="G318" s="682"/>
      <c r="H318" s="682"/>
      <c r="I318" s="682"/>
      <c r="J318" s="682"/>
      <c r="K318" s="682"/>
    </row>
    <row r="319" spans="1:11" ht="33" customHeight="1">
      <c r="A319" s="60" t="s">
        <v>534</v>
      </c>
      <c r="B319" s="680" t="s">
        <v>562</v>
      </c>
      <c r="C319" s="680"/>
      <c r="D319" s="680"/>
      <c r="E319" s="680"/>
      <c r="F319" s="680"/>
      <c r="G319" s="680"/>
      <c r="H319" s="680"/>
      <c r="I319" s="680"/>
      <c r="J319" s="680"/>
      <c r="K319" s="680"/>
    </row>
    <row r="320" spans="1:11" ht="67.25" customHeight="1">
      <c r="A320" s="60" t="s">
        <v>618</v>
      </c>
      <c r="B320" s="680" t="s">
        <v>802</v>
      </c>
      <c r="C320" s="680"/>
      <c r="D320" s="680"/>
      <c r="E320" s="680"/>
      <c r="F320" s="680"/>
      <c r="G320" s="680"/>
      <c r="H320" s="680"/>
      <c r="I320" s="680"/>
      <c r="J320" s="680"/>
      <c r="K320" s="680"/>
    </row>
    <row r="321" spans="1:11" ht="69" customHeight="1">
      <c r="A321" s="60" t="s">
        <v>630</v>
      </c>
      <c r="B321" s="680" t="s">
        <v>803</v>
      </c>
      <c r="C321" s="680"/>
      <c r="D321" s="680"/>
      <c r="E321" s="680"/>
      <c r="F321" s="680"/>
      <c r="G321" s="680"/>
      <c r="H321" s="680"/>
      <c r="I321" s="680"/>
      <c r="J321" s="680"/>
      <c r="K321" s="680"/>
    </row>
    <row r="322" spans="1:11" ht="50.15" customHeight="1">
      <c r="A322" s="60" t="s">
        <v>631</v>
      </c>
      <c r="B322" s="680" t="s">
        <v>878</v>
      </c>
      <c r="C322" s="680"/>
      <c r="D322" s="680"/>
      <c r="E322" s="680"/>
      <c r="F322" s="680"/>
      <c r="G322" s="680"/>
      <c r="H322" s="680"/>
      <c r="I322" s="680"/>
      <c r="J322" s="680"/>
      <c r="K322" s="680"/>
    </row>
    <row r="323" spans="1:9" ht="15.5">
      <c r="A323" s="32" t="s">
        <v>885</v>
      </c>
      <c r="B323" s="2" t="s">
        <v>886</v>
      </c>
      <c r="C323" s="2"/>
      <c r="D323" s="300"/>
      <c r="E323" s="2"/>
      <c r="F323" s="2"/>
      <c r="G323" s="2"/>
      <c r="H323" s="2"/>
      <c r="I323" s="2"/>
    </row>
    <row r="324" spans="1:11" ht="15.5">
      <c r="A324" s="5"/>
      <c r="B324" s="684"/>
      <c r="C324" s="684"/>
      <c r="D324" s="684"/>
      <c r="E324" s="684"/>
      <c r="F324" s="684"/>
      <c r="G324" s="684"/>
      <c r="H324" s="684"/>
      <c r="I324" s="684"/>
      <c r="J324" s="684"/>
      <c r="K324" s="684"/>
    </row>
    <row r="325" spans="1:11" ht="15.5">
      <c r="A325" s="5"/>
      <c r="B325" s="684"/>
      <c r="C325" s="684"/>
      <c r="D325" s="684"/>
      <c r="E325" s="684"/>
      <c r="F325" s="684"/>
      <c r="G325" s="684"/>
      <c r="H325" s="684"/>
      <c r="I325" s="684"/>
      <c r="J325" s="684"/>
      <c r="K325" s="684"/>
    </row>
    <row r="326" spans="1:11" ht="15.5">
      <c r="A326" s="5"/>
      <c r="B326" s="684"/>
      <c r="C326" s="684"/>
      <c r="D326" s="684"/>
      <c r="E326" s="684"/>
      <c r="F326" s="684"/>
      <c r="G326" s="684"/>
      <c r="H326" s="684"/>
      <c r="I326" s="684"/>
      <c r="J326" s="684"/>
      <c r="K326" s="684"/>
    </row>
    <row r="327" spans="1:9" ht="15.5">
      <c r="A327" s="5"/>
      <c r="C327" s="2"/>
      <c r="D327" s="11"/>
      <c r="E327" s="2"/>
      <c r="F327" s="2"/>
      <c r="G327" s="2"/>
      <c r="H327" s="2"/>
      <c r="I327" s="2"/>
    </row>
    <row r="328" spans="1:11" ht="15.5">
      <c r="A328" s="5"/>
      <c r="B328" s="684"/>
      <c r="C328" s="684"/>
      <c r="D328" s="684"/>
      <c r="E328" s="684"/>
      <c r="F328" s="684"/>
      <c r="G328" s="684"/>
      <c r="H328" s="684"/>
      <c r="I328" s="684"/>
      <c r="J328" s="684"/>
      <c r="K328" s="684"/>
    </row>
    <row r="329" spans="1:11" ht="15.5">
      <c r="A329" s="5"/>
      <c r="B329" s="684"/>
      <c r="C329" s="684"/>
      <c r="D329" s="684"/>
      <c r="E329" s="684"/>
      <c r="F329" s="684"/>
      <c r="G329" s="684"/>
      <c r="H329" s="684"/>
      <c r="I329" s="684"/>
      <c r="J329" s="684"/>
      <c r="K329" s="684"/>
    </row>
    <row r="330" spans="1:11" ht="15.5">
      <c r="A330" s="5"/>
      <c r="B330" s="684"/>
      <c r="C330" s="684"/>
      <c r="D330" s="684"/>
      <c r="E330" s="684"/>
      <c r="F330" s="684"/>
      <c r="G330" s="684"/>
      <c r="H330" s="684"/>
      <c r="I330" s="684"/>
      <c r="J330" s="684"/>
      <c r="K330" s="684"/>
    </row>
    <row r="331" spans="1:9" ht="15.5">
      <c r="A331" s="5"/>
      <c r="C331" s="2"/>
      <c r="D331" s="11"/>
      <c r="E331" s="2"/>
      <c r="F331" s="2"/>
      <c r="G331" s="2"/>
      <c r="H331" s="2"/>
      <c r="I331" s="2"/>
    </row>
    <row r="332" spans="1:9" ht="15.5">
      <c r="A332" s="5"/>
      <c r="C332" s="2"/>
      <c r="D332" s="11"/>
      <c r="E332" s="2"/>
      <c r="F332" s="2"/>
      <c r="G332" s="2"/>
      <c r="H332" s="2"/>
      <c r="I332" s="2"/>
    </row>
    <row r="333" spans="1:9" ht="15.5">
      <c r="A333" s="5"/>
      <c r="C333" s="2"/>
      <c r="D333" s="11"/>
      <c r="E333" s="2"/>
      <c r="F333" s="2"/>
      <c r="G333" s="2"/>
      <c r="H333" s="2"/>
      <c r="I333" s="5"/>
    </row>
    <row r="334" spans="1:9" ht="15.5">
      <c r="A334" s="5"/>
      <c r="C334" s="2"/>
      <c r="D334" s="2"/>
      <c r="E334" s="2"/>
      <c r="F334" s="2"/>
      <c r="G334" s="5"/>
      <c r="H334" s="2"/>
      <c r="I334" s="5"/>
    </row>
    <row r="335" spans="1:9" ht="15.5">
      <c r="A335" s="5"/>
      <c r="C335" s="2"/>
      <c r="D335" s="4"/>
      <c r="E335" s="2"/>
      <c r="F335" s="2"/>
      <c r="G335" s="2"/>
      <c r="H335" s="2"/>
      <c r="I335" s="499"/>
    </row>
    <row r="336" spans="3:9" ht="15.5">
      <c r="C336" s="5"/>
      <c r="D336" s="5"/>
      <c r="E336" s="4"/>
      <c r="F336" s="4"/>
      <c r="G336" s="6"/>
      <c r="H336" s="4"/>
      <c r="I336" s="7"/>
    </row>
    <row r="337" spans="3:9" ht="15.5">
      <c r="C337" s="17"/>
      <c r="D337" s="4"/>
      <c r="E337" s="4"/>
      <c r="F337" s="4"/>
      <c r="G337" s="5"/>
      <c r="H337" s="4"/>
      <c r="I337" s="8"/>
    </row>
    <row r="338" spans="1:9" ht="15.5">
      <c r="A338" s="5"/>
      <c r="B338" s="2"/>
      <c r="C338" s="152"/>
      <c r="D338" s="8"/>
      <c r="E338" s="9"/>
      <c r="F338" s="8"/>
      <c r="H338" s="9"/>
      <c r="I338" s="5"/>
    </row>
    <row r="339" spans="1:9" ht="15.5">
      <c r="A339" s="5"/>
      <c r="B339" s="18"/>
      <c r="C339" s="4"/>
      <c r="D339" s="4"/>
      <c r="E339" s="4"/>
      <c r="F339" s="4"/>
      <c r="G339" s="4"/>
      <c r="H339" s="4"/>
      <c r="I339" s="4"/>
    </row>
    <row r="340" spans="1:9" ht="15.5">
      <c r="A340" s="5"/>
      <c r="B340" s="2"/>
      <c r="C340" s="4"/>
      <c r="D340" s="4"/>
      <c r="E340" s="4"/>
      <c r="F340" s="4"/>
      <c r="G340" s="4"/>
      <c r="H340" s="4"/>
      <c r="I340" s="4"/>
    </row>
    <row r="341" spans="1:9" ht="15.5">
      <c r="A341" s="5"/>
      <c r="B341" s="2"/>
      <c r="C341" s="4"/>
      <c r="D341" s="4"/>
      <c r="E341" s="4"/>
      <c r="F341" s="4"/>
      <c r="G341" s="4"/>
      <c r="H341" s="4"/>
      <c r="I341" s="4"/>
    </row>
    <row r="342" spans="1:9" ht="15.5">
      <c r="A342" s="5"/>
      <c r="B342" s="308"/>
      <c r="D342" s="4"/>
      <c r="E342" s="4"/>
      <c r="F342" s="4"/>
      <c r="G342" s="549"/>
      <c r="H342" s="4"/>
      <c r="I342" s="4"/>
    </row>
    <row r="343" spans="1:9" ht="15.5">
      <c r="A343" s="5"/>
      <c r="B343" s="2"/>
      <c r="D343" s="4"/>
      <c r="E343" s="4"/>
      <c r="F343" s="4"/>
      <c r="G343" s="549"/>
      <c r="H343" s="4"/>
      <c r="I343" s="4"/>
    </row>
    <row r="344" spans="1:9" ht="15.5">
      <c r="A344" s="5"/>
      <c r="B344" s="2"/>
      <c r="C344" s="4"/>
      <c r="D344" s="4"/>
      <c r="E344" s="4"/>
      <c r="F344" s="4"/>
      <c r="G344" s="4"/>
      <c r="H344" s="4"/>
      <c r="I344" s="4"/>
    </row>
    <row r="345" spans="1:9" ht="15.5">
      <c r="A345" s="5"/>
      <c r="B345" s="2"/>
      <c r="C345" s="4"/>
      <c r="D345" s="4"/>
      <c r="E345" s="4"/>
      <c r="F345" s="4"/>
      <c r="G345" s="4"/>
      <c r="H345" s="4"/>
      <c r="I345" s="4"/>
    </row>
    <row r="346" spans="1:9" ht="15.5">
      <c r="A346" s="5"/>
      <c r="B346" s="2"/>
      <c r="C346" s="2"/>
      <c r="D346" s="4"/>
      <c r="E346" s="4"/>
      <c r="F346" s="4"/>
      <c r="G346" s="4"/>
      <c r="H346" s="2"/>
      <c r="I346" s="4"/>
    </row>
    <row r="347" spans="1:9" ht="15.5">
      <c r="A347" s="5"/>
      <c r="B347" s="2"/>
      <c r="C347" s="2"/>
      <c r="D347" s="4"/>
      <c r="E347" s="4"/>
      <c r="F347" s="4"/>
      <c r="G347" s="4"/>
      <c r="H347" s="2"/>
      <c r="I347" s="4"/>
    </row>
    <row r="348" spans="1:9" ht="15.5">
      <c r="A348" s="5"/>
      <c r="B348" s="2"/>
      <c r="C348" s="2"/>
      <c r="D348" s="2"/>
      <c r="E348" s="2"/>
      <c r="F348" s="2"/>
      <c r="G348" s="2"/>
      <c r="H348" s="2"/>
      <c r="I348" s="2"/>
    </row>
    <row r="349" spans="1:9" ht="15.5">
      <c r="A349" s="5"/>
      <c r="B349" s="2"/>
      <c r="C349" s="2"/>
      <c r="D349" s="2"/>
      <c r="E349" s="2"/>
      <c r="F349" s="2"/>
      <c r="G349" s="2"/>
      <c r="H349" s="2"/>
      <c r="I349" s="2"/>
    </row>
    <row r="350" spans="1:9" ht="15.5">
      <c r="A350" s="5"/>
      <c r="B350" s="2"/>
      <c r="C350" s="2"/>
      <c r="D350" s="2"/>
      <c r="E350" s="2"/>
      <c r="F350" s="2"/>
      <c r="G350" s="2"/>
      <c r="H350" s="2"/>
      <c r="I350" s="2"/>
    </row>
    <row r="351" spans="1:9" ht="15.5">
      <c r="A351" s="5"/>
      <c r="B351" s="587"/>
      <c r="C351" s="2"/>
      <c r="D351" s="2"/>
      <c r="E351" s="2"/>
      <c r="F351" s="2"/>
      <c r="G351" s="2"/>
      <c r="H351" s="2"/>
      <c r="I351" s="2"/>
    </row>
    <row r="352" spans="1:9" ht="15.5">
      <c r="A352" s="5"/>
      <c r="B352" s="587"/>
      <c r="C352" s="2"/>
      <c r="D352" s="2"/>
      <c r="E352" s="2"/>
      <c r="F352" s="2"/>
      <c r="G352" s="2"/>
      <c r="H352" s="2"/>
      <c r="I352" s="2"/>
    </row>
    <row r="353" spans="1:9" ht="15.5">
      <c r="A353" s="5"/>
      <c r="B353" s="587"/>
      <c r="C353" s="2"/>
      <c r="D353" s="2"/>
      <c r="E353" s="2"/>
      <c r="F353" s="2"/>
      <c r="G353" s="2"/>
      <c r="H353" s="2"/>
      <c r="I353" s="2"/>
    </row>
    <row r="354" spans="1:9" ht="15.5">
      <c r="A354" s="5"/>
      <c r="B354" s="587"/>
      <c r="C354" s="2"/>
      <c r="D354" s="2"/>
      <c r="E354" s="2"/>
      <c r="F354" s="2"/>
      <c r="G354" s="2"/>
      <c r="H354" s="2"/>
      <c r="I354" s="2"/>
    </row>
    <row r="355" spans="1:9" ht="15.5">
      <c r="A355" s="5"/>
      <c r="B355" s="587"/>
      <c r="C355" s="2"/>
      <c r="D355" s="2"/>
      <c r="E355" s="2"/>
      <c r="F355" s="2"/>
      <c r="G355" s="2"/>
      <c r="H355" s="2"/>
      <c r="I355" s="2"/>
    </row>
    <row r="356" spans="1:9" ht="15.5">
      <c r="A356" s="5"/>
      <c r="B356" s="587"/>
      <c r="C356" s="2"/>
      <c r="D356" s="2"/>
      <c r="E356" s="2"/>
      <c r="F356" s="2"/>
      <c r="G356" s="2"/>
      <c r="H356" s="2"/>
      <c r="I356" s="2"/>
    </row>
    <row r="357" spans="1:9" ht="15.5">
      <c r="A357" s="5"/>
      <c r="B357" s="587"/>
      <c r="C357" s="2"/>
      <c r="D357" s="2"/>
      <c r="E357" s="2"/>
      <c r="F357" s="2"/>
      <c r="G357" s="2"/>
      <c r="H357" s="2"/>
      <c r="I357" s="2"/>
    </row>
    <row r="358" spans="1:9" ht="15.5">
      <c r="A358" s="5"/>
      <c r="B358" s="2"/>
      <c r="C358" s="2"/>
      <c r="D358" s="2"/>
      <c r="E358" s="2"/>
      <c r="F358" s="2"/>
      <c r="G358" s="2"/>
      <c r="H358" s="2"/>
      <c r="I358" s="2"/>
    </row>
    <row r="359" spans="1:9" ht="15.5">
      <c r="A359" s="5"/>
      <c r="B359" s="2"/>
      <c r="C359" s="2"/>
      <c r="D359" s="2"/>
      <c r="E359" s="2"/>
      <c r="F359" s="2"/>
      <c r="G359" s="2"/>
      <c r="H359" s="2"/>
      <c r="I359" s="2"/>
    </row>
    <row r="360" spans="1:2" ht="15.5">
      <c r="A360" s="32"/>
      <c r="B360" s="300"/>
    </row>
    <row r="361" spans="2:2" ht="15.5">
      <c r="B361" s="300"/>
    </row>
    <row r="362" spans="2:2" ht="15.5">
      <c r="B362" s="300"/>
    </row>
    <row r="363" spans="2:2" ht="15.5">
      <c r="B363" s="300"/>
    </row>
    <row r="364" spans="2:2" ht="15.5">
      <c r="B364" s="300"/>
    </row>
    <row r="365" spans="2:2" ht="15.5">
      <c r="B365" s="300"/>
    </row>
    <row r="366" spans="2:2" ht="15.5">
      <c r="B366" s="300"/>
    </row>
    <row r="367" spans="2:2" ht="15.5">
      <c r="B367" s="300"/>
    </row>
    <row r="369" spans="1:12" ht="15.5">
      <c r="A369" s="2"/>
      <c r="B369" s="4"/>
      <c r="C369" s="4"/>
      <c r="D369" s="4"/>
      <c r="E369" s="4"/>
      <c r="F369" s="10"/>
      <c r="G369" s="4"/>
      <c r="H369" s="4"/>
      <c r="I369" s="4"/>
      <c r="K369" s="540"/>
      <c r="L369" s="524"/>
    </row>
    <row r="370" spans="1:12" ht="15.5">
      <c r="A370" s="2"/>
      <c r="B370" s="4"/>
      <c r="C370" s="4"/>
      <c r="D370" s="4"/>
      <c r="E370" s="4"/>
      <c r="F370" s="10"/>
      <c r="G370" s="4"/>
      <c r="H370" s="4"/>
      <c r="I370" s="4"/>
      <c r="K370" s="540"/>
      <c r="L370" s="524"/>
    </row>
    <row r="371" spans="1:12" ht="15.5">
      <c r="A371" s="2"/>
      <c r="B371" s="4"/>
      <c r="C371" s="4"/>
      <c r="D371" s="4"/>
      <c r="E371" s="4"/>
      <c r="F371" s="10"/>
      <c r="G371" s="4"/>
      <c r="H371" s="4"/>
      <c r="I371" s="4"/>
      <c r="J371" s="10"/>
      <c r="K371" s="10"/>
      <c r="L371" s="524"/>
    </row>
  </sheetData>
  <customSheetViews>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2"/>
      <headerFooter alignWithMargins="0"/>
    </customSheetView>
  </customSheetViews>
  <mergeCells count="46">
    <mergeCell ref="D45:E45"/>
    <mergeCell ref="I45:J45"/>
    <mergeCell ref="B324:K324"/>
    <mergeCell ref="E300:K300"/>
    <mergeCell ref="E298:K298"/>
    <mergeCell ref="B294:K294"/>
    <mergeCell ref="B302:K302"/>
    <mergeCell ref="B305:K305"/>
    <mergeCell ref="B304:K304"/>
    <mergeCell ref="B310:K310"/>
    <mergeCell ref="B309:K309"/>
    <mergeCell ref="B308:K308"/>
    <mergeCell ref="B307:K307"/>
    <mergeCell ref="B306:K306"/>
    <mergeCell ref="B301:K301"/>
    <mergeCell ref="B315:K315"/>
    <mergeCell ref="B330:K330"/>
    <mergeCell ref="B329:K329"/>
    <mergeCell ref="B328:K328"/>
    <mergeCell ref="B326:K326"/>
    <mergeCell ref="B325:K325"/>
    <mergeCell ref="B322:K322"/>
    <mergeCell ref="B314:K314"/>
    <mergeCell ref="B289:K289"/>
    <mergeCell ref="B292:K292"/>
    <mergeCell ref="B316:K316"/>
    <mergeCell ref="B317:K317"/>
    <mergeCell ref="B318:K318"/>
    <mergeCell ref="B319:K319"/>
    <mergeCell ref="B320:K320"/>
    <mergeCell ref="B313:K313"/>
    <mergeCell ref="B296:K296"/>
    <mergeCell ref="B295:K295"/>
    <mergeCell ref="B297:K297"/>
    <mergeCell ref="B290:K290"/>
    <mergeCell ref="B312:K312"/>
    <mergeCell ref="B321:K321"/>
    <mergeCell ref="M236:R236"/>
    <mergeCell ref="E299:K299"/>
    <mergeCell ref="B287:K287"/>
    <mergeCell ref="B291:K291"/>
    <mergeCell ref="B311:K311"/>
    <mergeCell ref="B303:K303"/>
    <mergeCell ref="B293:K293"/>
    <mergeCell ref="B288:K288"/>
    <mergeCell ref="L305:N305"/>
  </mergeCells>
  <printOptions horizontalCentered="1"/>
  <pageMargins left="0.7" right="0.7" top="0.75" bottom="0.75" header="0.3" footer="0.3"/>
  <pageSetup fitToHeight="0" fitToWidth="0" orientation="portrait" scale="44" r:id="rId1"/>
  <headerFooter alignWithMargins="0"/>
  <rowBreaks count="4" manualBreakCount="4">
    <brk id="52" max="10" man="1"/>
    <brk id="123" max="10" man="1"/>
    <brk id="196" max="10" man="1"/>
    <brk id="274"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J18"/>
  <sheetViews>
    <sheetView view="pageBreakPreview" zoomScale="75" zoomScaleNormal="75" zoomScaleSheetLayoutView="75" workbookViewId="0" topLeftCell="A1"/>
  </sheetViews>
  <sheetFormatPr defaultColWidth="7.07714285714286" defaultRowHeight="12.5"/>
  <cols>
    <col min="1" max="1" width="47.8571428571429" style="13" customWidth="1"/>
    <col min="2" max="2" width="7.07142857142857" style="13" customWidth="1"/>
    <col min="3" max="3" width="2.5" style="13" customWidth="1"/>
    <col min="4" max="4" width="10.8571428571429" style="13" bestFit="1" customWidth="1"/>
    <col min="5" max="8" width="7.07142857142857" style="13" customWidth="1"/>
    <col min="9" max="9" width="13.4285714285714" style="13" customWidth="1"/>
    <col min="10" max="10" width="47.8571428571429" style="13" customWidth="1"/>
    <col min="11" max="16384" width="7.07142857142857" style="13"/>
  </cols>
  <sheetData>
    <row r="1" spans="4:10" ht="16.5" customHeight="1">
      <c r="D1" s="601"/>
      <c r="E1" s="601"/>
      <c r="F1" s="601"/>
      <c r="G1" s="601"/>
      <c r="H1" s="601"/>
      <c r="J1" s="3" t="s">
        <v>306</v>
      </c>
    </row>
    <row r="2" spans="4:10" ht="16.5" customHeight="1">
      <c r="D2" s="601"/>
      <c r="E2" s="601"/>
      <c r="F2" s="601"/>
      <c r="G2" s="601"/>
      <c r="H2" s="601"/>
      <c r="J2" s="3" t="s">
        <v>275</v>
      </c>
    </row>
    <row r="3" spans="4:10" ht="16.5" customHeight="1">
      <c r="D3" s="601"/>
      <c r="E3" s="601"/>
      <c r="F3" s="601"/>
      <c r="G3" s="601"/>
      <c r="H3" s="601"/>
      <c r="J3" s="3" t="str">
        <f>'Attachment H-21-A ATSI '!K4</f>
        <v>For the 12 months ended 12/31/2023</v>
      </c>
    </row>
    <row r="4" spans="4:9" ht="15.5">
      <c r="D4" s="601"/>
      <c r="E4" s="601"/>
      <c r="F4" s="601"/>
      <c r="G4" s="601"/>
      <c r="H4" s="601"/>
      <c r="I4" s="3"/>
    </row>
    <row r="5" spans="7:9" ht="15.5">
      <c r="G5" s="1"/>
      <c r="H5" s="2"/>
      <c r="I5" s="3"/>
    </row>
    <row r="6" spans="2:9" ht="15.75" customHeight="1">
      <c r="B6" s="689" t="s">
        <v>276</v>
      </c>
      <c r="C6" s="689"/>
      <c r="D6" s="689"/>
      <c r="E6" s="689"/>
      <c r="F6" s="689"/>
      <c r="G6" s="689"/>
      <c r="H6" s="689"/>
      <c r="I6" s="689"/>
    </row>
    <row r="7" spans="2:9" ht="15.5">
      <c r="B7" s="12"/>
      <c r="C7" s="12"/>
      <c r="D7" s="15"/>
      <c r="E7" s="15"/>
      <c r="F7" s="14"/>
      <c r="G7" s="14" t="s">
        <v>3</v>
      </c>
      <c r="H7" s="14"/>
      <c r="I7" s="14"/>
    </row>
    <row r="8" spans="2:9" ht="15.5">
      <c r="B8" s="12"/>
      <c r="C8" s="12">
        <v>1</v>
      </c>
      <c r="D8" s="19">
        <f>'Attachment H-21-A ATSI '!I216</f>
        <v>4939974</v>
      </c>
      <c r="E8" s="12" t="s">
        <v>311</v>
      </c>
      <c r="F8" s="12"/>
      <c r="G8" s="16"/>
      <c r="H8" s="16"/>
      <c r="I8" s="16"/>
    </row>
    <row r="9" spans="2:9" ht="15.5">
      <c r="B9" s="12"/>
      <c r="C9" s="12">
        <v>2</v>
      </c>
      <c r="D9" s="170">
        <v>142907.72999999998</v>
      </c>
      <c r="E9" s="20" t="s">
        <v>227</v>
      </c>
      <c r="F9" s="16"/>
      <c r="G9" s="16"/>
      <c r="H9" s="16"/>
      <c r="I9" s="16"/>
    </row>
    <row r="10" spans="2:9" ht="15.5">
      <c r="B10" s="12"/>
      <c r="C10" s="12">
        <v>3</v>
      </c>
      <c r="D10" s="21">
        <f>D8-D9</f>
        <v>4797066.2699999996</v>
      </c>
      <c r="E10" s="16" t="s">
        <v>228</v>
      </c>
      <c r="F10" s="12"/>
      <c r="G10" s="16"/>
      <c r="H10" s="16"/>
      <c r="I10" s="16"/>
    </row>
    <row r="11" spans="2:9" ht="7.5" customHeight="1">
      <c r="B11" s="12"/>
      <c r="C11" s="12"/>
      <c r="D11" s="12"/>
      <c r="E11" s="16"/>
      <c r="F11" s="16"/>
      <c r="G11" s="16"/>
      <c r="H11" s="16"/>
      <c r="I11" s="16"/>
    </row>
    <row r="12" spans="2:9" ht="15.5">
      <c r="B12" s="12"/>
      <c r="C12" s="12">
        <v>4</v>
      </c>
      <c r="D12" s="169">
        <v>65020475.005000003</v>
      </c>
      <c r="E12" s="16" t="s">
        <v>229</v>
      </c>
      <c r="F12" s="16"/>
      <c r="G12" s="16"/>
      <c r="H12" s="16"/>
      <c r="I12" s="16"/>
    </row>
    <row r="13" spans="2:9" ht="15.5">
      <c r="B13" s="16"/>
      <c r="C13" s="12">
        <v>5</v>
      </c>
      <c r="D13" s="22">
        <f>D10/D12</f>
        <v>0.073777779532233662</v>
      </c>
      <c r="E13" s="16" t="s">
        <v>300</v>
      </c>
      <c r="F13" s="16"/>
      <c r="G13" s="16"/>
      <c r="H13" s="16"/>
      <c r="I13" s="16"/>
    </row>
    <row r="14" spans="2:9" ht="15.5">
      <c r="B14" s="16"/>
      <c r="C14" s="16"/>
      <c r="D14" s="16"/>
      <c r="E14" s="16"/>
      <c r="F14" s="16"/>
      <c r="G14" s="16"/>
      <c r="H14" s="16"/>
      <c r="I14" s="16"/>
    </row>
    <row r="15" spans="2:9" ht="15.5">
      <c r="B15" s="25" t="s">
        <v>230</v>
      </c>
      <c r="D15" s="16"/>
      <c r="E15" s="16"/>
      <c r="F15" s="16"/>
      <c r="G15" s="16"/>
      <c r="H15" s="16"/>
      <c r="I15" s="16"/>
    </row>
    <row r="16" spans="2:9" ht="45.75" customHeight="1">
      <c r="B16" s="66" t="s">
        <v>141</v>
      </c>
      <c r="C16" s="687" t="s">
        <v>327</v>
      </c>
      <c r="D16" s="688"/>
      <c r="E16" s="688"/>
      <c r="F16" s="688"/>
      <c r="G16" s="688"/>
      <c r="H16" s="688"/>
      <c r="I16" s="688"/>
    </row>
    <row r="17" spans="2:9" ht="12" customHeight="1">
      <c r="B17" s="66"/>
      <c r="C17" s="23"/>
      <c r="D17" s="24"/>
      <c r="E17" s="24"/>
      <c r="F17" s="24"/>
      <c r="G17" s="24"/>
      <c r="H17" s="24"/>
      <c r="I17" s="24"/>
    </row>
    <row r="18" spans="2:9" ht="49.5" customHeight="1">
      <c r="B18" s="66" t="s">
        <v>142</v>
      </c>
      <c r="C18" s="687" t="s">
        <v>299</v>
      </c>
      <c r="D18" s="687"/>
      <c r="E18" s="687"/>
      <c r="F18" s="687"/>
      <c r="G18" s="687"/>
      <c r="H18" s="687"/>
      <c r="I18" s="687"/>
    </row>
  </sheetData>
  <customSheetViews>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2"/>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29"/>
  <sheetViews>
    <sheetView view="pageBreakPreview" zoomScale="70" zoomScaleNormal="65" zoomScaleSheetLayoutView="70" workbookViewId="0" topLeftCell="A1">
      <selection pane="topLeft" activeCell="D2" sqref="D2"/>
    </sheetView>
  </sheetViews>
  <sheetFormatPr defaultColWidth="8.91714285714286" defaultRowHeight="15.5"/>
  <cols>
    <col min="1" max="1" width="5.35714285714286" style="51" bestFit="1" customWidth="1"/>
    <col min="2" max="2" width="15.8571428571429" style="11" customWidth="1"/>
    <col min="3" max="3" width="5.85714285714286" style="208" customWidth="1"/>
    <col min="4" max="4" width="31.9285714285714" style="1" bestFit="1" customWidth="1"/>
    <col min="5" max="5" width="4.85714285714286" style="26" customWidth="1"/>
    <col min="6" max="6" width="18.8571428571429" style="208" customWidth="1"/>
    <col min="7" max="10" width="18.8571428571429" style="1" customWidth="1"/>
    <col min="11" max="11" width="4.85714285714286" style="1" customWidth="1"/>
    <col min="12" max="16384" width="8.92857142857143" style="1"/>
  </cols>
  <sheetData>
    <row r="1" spans="1:11" ht="15.5">
      <c r="A1" s="311"/>
      <c r="B1" s="311"/>
      <c r="C1" s="311"/>
      <c r="D1" s="311"/>
      <c r="K1" s="3" t="s">
        <v>461</v>
      </c>
    </row>
    <row r="2" spans="1:11" ht="15.5">
      <c r="A2" s="311"/>
      <c r="B2" s="311"/>
      <c r="C2" s="311"/>
      <c r="D2" s="311"/>
      <c r="K2" s="3" t="s">
        <v>275</v>
      </c>
    </row>
    <row r="3" spans="1:11" ht="15.5">
      <c r="A3" s="311"/>
      <c r="B3" s="311"/>
      <c r="C3" s="311"/>
      <c r="D3" s="311"/>
      <c r="K3" s="3" t="str">
        <f>'Attachment H-21-A ATSI '!K4</f>
        <v>For the 12 months ended 12/31/2023</v>
      </c>
    </row>
    <row r="5" spans="2:10" ht="15.5">
      <c r="B5" s="690" t="s">
        <v>621</v>
      </c>
      <c r="C5" s="690"/>
      <c r="D5" s="690"/>
      <c r="E5" s="690"/>
      <c r="F5" s="690"/>
      <c r="G5" s="690"/>
      <c r="H5" s="690"/>
      <c r="I5" s="690"/>
      <c r="J5" s="690"/>
    </row>
    <row r="6" spans="2:10" ht="15.5">
      <c r="B6" s="691" t="s">
        <v>312</v>
      </c>
      <c r="C6" s="691"/>
      <c r="D6" s="691"/>
      <c r="E6" s="691"/>
      <c r="F6" s="691"/>
      <c r="G6" s="691"/>
      <c r="H6" s="691"/>
      <c r="I6" s="691"/>
      <c r="J6" s="691"/>
    </row>
    <row r="8" spans="1:10" s="32" customFormat="1" ht="15.5">
      <c r="A8" s="51"/>
      <c r="B8" s="7" t="s">
        <v>363</v>
      </c>
      <c r="C8" s="51" t="s">
        <v>377</v>
      </c>
      <c r="D8" s="32" t="s">
        <v>506</v>
      </c>
      <c r="E8" s="26"/>
      <c r="F8" s="32" t="s">
        <v>547</v>
      </c>
      <c r="G8" s="51" t="s">
        <v>550</v>
      </c>
      <c r="H8" s="32" t="s">
        <v>611</v>
      </c>
      <c r="I8" s="32" t="s">
        <v>612</v>
      </c>
      <c r="J8" s="32" t="s">
        <v>613</v>
      </c>
    </row>
    <row r="9" spans="2:10" s="210" customFormat="1" ht="65.15" customHeight="1">
      <c r="B9" s="210" t="s">
        <v>601</v>
      </c>
      <c r="D9" s="210" t="s">
        <v>602</v>
      </c>
      <c r="E9" s="212"/>
      <c r="F9" s="211" t="s">
        <v>605</v>
      </c>
      <c r="G9" s="210" t="s">
        <v>606</v>
      </c>
      <c r="H9" s="210" t="s">
        <v>607</v>
      </c>
      <c r="I9" s="210" t="s">
        <v>608</v>
      </c>
      <c r="J9" s="210" t="s">
        <v>609</v>
      </c>
    </row>
    <row r="10" spans="5:10" s="210" customFormat="1" ht="15.5">
      <c r="E10" s="212"/>
      <c r="F10" s="211"/>
      <c r="G10" s="252" t="s">
        <v>646</v>
      </c>
      <c r="H10" s="252" t="s">
        <v>647</v>
      </c>
      <c r="I10" s="252"/>
      <c r="J10" s="252" t="s">
        <v>651</v>
      </c>
    </row>
    <row r="11" spans="1:11" ht="15.5">
      <c r="A11" s="51">
        <v>1</v>
      </c>
      <c r="B11" s="11" t="s">
        <v>332</v>
      </c>
      <c r="C11" s="209">
        <v>2022</v>
      </c>
      <c r="D11" s="1" t="s">
        <v>603</v>
      </c>
      <c r="F11" s="213">
        <v>97</v>
      </c>
      <c r="G11" s="148"/>
      <c r="H11" s="148"/>
      <c r="I11" s="148"/>
      <c r="J11" s="162">
        <v>7476655.9999999963</v>
      </c>
      <c r="K11" s="151"/>
    </row>
    <row r="12" spans="1:10" ht="15.5">
      <c r="A12" s="51">
        <v>2</v>
      </c>
      <c r="B12" s="11" t="s">
        <v>333</v>
      </c>
      <c r="C12" s="209">
        <f>C11+1</f>
        <v>2023</v>
      </c>
      <c r="D12" s="1" t="s">
        <v>635</v>
      </c>
      <c r="F12" s="213">
        <f>F11-1</f>
        <v>96</v>
      </c>
      <c r="G12" s="148">
        <f>J11</f>
        <v>7476655.9999999963</v>
      </c>
      <c r="H12" s="148">
        <f>G12/F12</f>
        <v>77881.833333333299</v>
      </c>
      <c r="I12" s="162">
        <v>0</v>
      </c>
      <c r="J12" s="148">
        <f>G12-H12+I12</f>
        <v>7398774.1666666633</v>
      </c>
    </row>
    <row r="13" spans="1:10" ht="15.5">
      <c r="A13" s="51">
        <v>3</v>
      </c>
      <c r="B13" s="11" t="s">
        <v>334</v>
      </c>
      <c r="C13" s="209">
        <f>C12</f>
        <v>2023</v>
      </c>
      <c r="D13" s="1" t="s">
        <v>635</v>
      </c>
      <c r="F13" s="213">
        <f t="shared" si="0" ref="F13:F23">F12-1</f>
        <v>95</v>
      </c>
      <c r="G13" s="148">
        <f t="shared" si="1" ref="G13:G22">J12</f>
        <v>7398774.1666666633</v>
      </c>
      <c r="H13" s="148">
        <f t="shared" si="2" ref="H13:H23">G13/F13</f>
        <v>77881.833333333299</v>
      </c>
      <c r="I13" s="162">
        <v>0</v>
      </c>
      <c r="J13" s="148">
        <f t="shared" si="3" ref="J13:J23">G13-H13+I13</f>
        <v>7320892.3333333302</v>
      </c>
    </row>
    <row r="14" spans="1:10" ht="15.5">
      <c r="A14" s="51">
        <v>4</v>
      </c>
      <c r="B14" s="11" t="s">
        <v>335</v>
      </c>
      <c r="C14" s="209">
        <f t="shared" si="4" ref="C14:C23">C13</f>
        <v>2023</v>
      </c>
      <c r="D14" s="1" t="s">
        <v>635</v>
      </c>
      <c r="F14" s="213">
        <f t="shared" si="0"/>
        <v>94</v>
      </c>
      <c r="G14" s="148">
        <f t="shared" si="1"/>
        <v>7320892.3333333302</v>
      </c>
      <c r="H14" s="148">
        <f t="shared" si="2"/>
        <v>77881.833333333299</v>
      </c>
      <c r="I14" s="162">
        <v>0</v>
      </c>
      <c r="J14" s="148">
        <f t="shared" si="3"/>
        <v>7243010.4999999972</v>
      </c>
    </row>
    <row r="15" spans="1:10" ht="15.5">
      <c r="A15" s="51">
        <v>5</v>
      </c>
      <c r="B15" s="11" t="s">
        <v>336</v>
      </c>
      <c r="C15" s="209">
        <f t="shared" si="4"/>
        <v>2023</v>
      </c>
      <c r="D15" s="1" t="s">
        <v>635</v>
      </c>
      <c r="F15" s="213">
        <f t="shared" si="0"/>
        <v>93</v>
      </c>
      <c r="G15" s="148">
        <f t="shared" si="1"/>
        <v>7243010.4999999972</v>
      </c>
      <c r="H15" s="148">
        <f t="shared" si="2"/>
        <v>77881.833333333299</v>
      </c>
      <c r="I15" s="162">
        <v>0</v>
      </c>
      <c r="J15" s="148">
        <f t="shared" si="3"/>
        <v>7165128.6666666642</v>
      </c>
    </row>
    <row r="16" spans="1:10" ht="15.5">
      <c r="A16" s="51">
        <v>6</v>
      </c>
      <c r="B16" s="11" t="s">
        <v>337</v>
      </c>
      <c r="C16" s="209">
        <f t="shared" si="4"/>
        <v>2023</v>
      </c>
      <c r="D16" s="1" t="s">
        <v>635</v>
      </c>
      <c r="F16" s="213">
        <f t="shared" si="0"/>
        <v>92</v>
      </c>
      <c r="G16" s="148">
        <f t="shared" si="1"/>
        <v>7165128.6666666642</v>
      </c>
      <c r="H16" s="148">
        <f t="shared" si="2"/>
        <v>77881.833333333299</v>
      </c>
      <c r="I16" s="162">
        <v>0</v>
      </c>
      <c r="J16" s="148">
        <f t="shared" si="3"/>
        <v>7087246.8333333312</v>
      </c>
    </row>
    <row r="17" spans="1:10" ht="15.5">
      <c r="A17" s="51">
        <v>7</v>
      </c>
      <c r="B17" s="11" t="s">
        <v>353</v>
      </c>
      <c r="C17" s="209">
        <f t="shared" si="4"/>
        <v>2023</v>
      </c>
      <c r="D17" s="1" t="s">
        <v>635</v>
      </c>
      <c r="F17" s="213">
        <f t="shared" si="0"/>
        <v>91</v>
      </c>
      <c r="G17" s="148">
        <f t="shared" si="1"/>
        <v>7087246.8333333312</v>
      </c>
      <c r="H17" s="148">
        <f t="shared" si="2"/>
        <v>77881.833333333314</v>
      </c>
      <c r="I17" s="162">
        <v>0</v>
      </c>
      <c r="J17" s="148">
        <f t="shared" si="3"/>
        <v>7009364.9999999981</v>
      </c>
    </row>
    <row r="18" spans="1:10" ht="15.5">
      <c r="A18" s="51">
        <v>8</v>
      </c>
      <c r="B18" s="11" t="s">
        <v>338</v>
      </c>
      <c r="C18" s="209">
        <f t="shared" si="4"/>
        <v>2023</v>
      </c>
      <c r="D18" s="1" t="s">
        <v>635</v>
      </c>
      <c r="F18" s="213">
        <f t="shared" si="0"/>
        <v>90</v>
      </c>
      <c r="G18" s="148">
        <f t="shared" si="1"/>
        <v>7009364.9999999981</v>
      </c>
      <c r="H18" s="148">
        <f t="shared" si="2"/>
        <v>77881.833333333314</v>
      </c>
      <c r="I18" s="162">
        <v>0</v>
      </c>
      <c r="J18" s="148">
        <f t="shared" si="3"/>
        <v>6931483.1666666651</v>
      </c>
    </row>
    <row r="19" spans="1:10" ht="15.5">
      <c r="A19" s="51">
        <v>9</v>
      </c>
      <c r="B19" s="11" t="s">
        <v>339</v>
      </c>
      <c r="C19" s="209">
        <f t="shared" si="4"/>
        <v>2023</v>
      </c>
      <c r="D19" s="1" t="s">
        <v>635</v>
      </c>
      <c r="F19" s="213">
        <f t="shared" si="0"/>
        <v>89</v>
      </c>
      <c r="G19" s="148">
        <f t="shared" si="1"/>
        <v>6931483.1666666651</v>
      </c>
      <c r="H19" s="148">
        <f t="shared" si="2"/>
        <v>77881.833333333314</v>
      </c>
      <c r="I19" s="162">
        <v>0</v>
      </c>
      <c r="J19" s="148">
        <f t="shared" si="3"/>
        <v>6853601.3333333321</v>
      </c>
    </row>
    <row r="20" spans="1:10" ht="15.5">
      <c r="A20" s="51">
        <v>10</v>
      </c>
      <c r="B20" s="11" t="s">
        <v>340</v>
      </c>
      <c r="C20" s="209">
        <f t="shared" si="4"/>
        <v>2023</v>
      </c>
      <c r="D20" s="1" t="s">
        <v>635</v>
      </c>
      <c r="F20" s="213">
        <f t="shared" si="0"/>
        <v>88</v>
      </c>
      <c r="G20" s="148">
        <f t="shared" si="1"/>
        <v>6853601.3333333321</v>
      </c>
      <c r="H20" s="148">
        <f t="shared" si="2"/>
        <v>77881.833333333314</v>
      </c>
      <c r="I20" s="162">
        <v>0</v>
      </c>
      <c r="J20" s="148">
        <f t="shared" si="3"/>
        <v>6775719.4999999991</v>
      </c>
    </row>
    <row r="21" spans="1:10" ht="15.5">
      <c r="A21" s="51">
        <v>11</v>
      </c>
      <c r="B21" s="11" t="s">
        <v>342</v>
      </c>
      <c r="C21" s="209">
        <f t="shared" si="4"/>
        <v>2023</v>
      </c>
      <c r="D21" s="1" t="s">
        <v>635</v>
      </c>
      <c r="F21" s="213">
        <f t="shared" si="0"/>
        <v>87</v>
      </c>
      <c r="G21" s="148">
        <f t="shared" si="1"/>
        <v>6775719.4999999991</v>
      </c>
      <c r="H21" s="148">
        <f t="shared" si="2"/>
        <v>77881.833333333328</v>
      </c>
      <c r="I21" s="162">
        <v>0</v>
      </c>
      <c r="J21" s="148">
        <f t="shared" si="3"/>
        <v>6697837.666666666</v>
      </c>
    </row>
    <row r="22" spans="1:10" ht="15.5">
      <c r="A22" s="51">
        <v>12</v>
      </c>
      <c r="B22" s="11" t="s">
        <v>341</v>
      </c>
      <c r="C22" s="209">
        <f t="shared" si="4"/>
        <v>2023</v>
      </c>
      <c r="D22" s="1" t="s">
        <v>635</v>
      </c>
      <c r="F22" s="213">
        <f t="shared" si="0"/>
        <v>86</v>
      </c>
      <c r="G22" s="148">
        <f t="shared" si="1"/>
        <v>6697837.666666666</v>
      </c>
      <c r="H22" s="148">
        <f t="shared" si="2"/>
        <v>77881.833333333328</v>
      </c>
      <c r="I22" s="162">
        <v>0</v>
      </c>
      <c r="J22" s="148">
        <f t="shared" si="3"/>
        <v>6619955.833333333</v>
      </c>
    </row>
    <row r="23" spans="1:10" s="220" customFormat="1" ht="16" thickBot="1">
      <c r="A23" s="214">
        <v>13</v>
      </c>
      <c r="B23" s="215" t="s">
        <v>332</v>
      </c>
      <c r="C23" s="216">
        <f t="shared" si="4"/>
        <v>2023</v>
      </c>
      <c r="D23" s="220" t="s">
        <v>617</v>
      </c>
      <c r="E23" s="189"/>
      <c r="F23" s="217">
        <f t="shared" si="0"/>
        <v>85</v>
      </c>
      <c r="G23" s="218">
        <f>J22</f>
        <v>6619955.833333333</v>
      </c>
      <c r="H23" s="222">
        <f t="shared" si="2"/>
        <v>77881.833333333328</v>
      </c>
      <c r="I23" s="219">
        <v>0</v>
      </c>
      <c r="J23" s="218">
        <f t="shared" si="3"/>
        <v>6542074</v>
      </c>
    </row>
    <row r="24" spans="1:10" s="220" customFormat="1" ht="15.5">
      <c r="A24" s="214">
        <v>14</v>
      </c>
      <c r="B24" s="215"/>
      <c r="C24" s="221"/>
      <c r="E24" s="189"/>
      <c r="F24" s="214"/>
      <c r="G24" s="223" t="s">
        <v>615</v>
      </c>
      <c r="H24" s="218">
        <f>SUM(H12:H23)</f>
        <v>934581.99999999988</v>
      </c>
      <c r="I24" s="424"/>
      <c r="J24" s="425"/>
    </row>
    <row r="25" spans="1:10" ht="15.5">
      <c r="A25" s="51">
        <v>15</v>
      </c>
      <c r="G25" s="26" t="s">
        <v>616</v>
      </c>
      <c r="I25" s="426"/>
      <c r="J25" s="427"/>
    </row>
    <row r="26" spans="1:9" ht="15.5">
      <c r="A26" s="51">
        <v>16</v>
      </c>
      <c r="F26" s="26" t="s">
        <v>619</v>
      </c>
      <c r="G26" s="26" t="s">
        <v>728</v>
      </c>
      <c r="I26" s="426"/>
    </row>
    <row r="28" spans="1:1" ht="15.5">
      <c r="A28" s="62" t="s">
        <v>297</v>
      </c>
    </row>
    <row r="29" spans="1:11" s="361" customFormat="1" ht="33" customHeight="1">
      <c r="A29" s="60" t="s">
        <v>141</v>
      </c>
      <c r="B29" s="692" t="s">
        <v>805</v>
      </c>
      <c r="C29" s="692"/>
      <c r="D29" s="692"/>
      <c r="E29" s="692"/>
      <c r="F29" s="692"/>
      <c r="G29" s="692"/>
      <c r="H29" s="692"/>
      <c r="I29" s="692"/>
      <c r="J29" s="692"/>
      <c r="K29" s="692"/>
    </row>
  </sheetData>
  <mergeCells count="3">
    <mergeCell ref="B5:J5"/>
    <mergeCell ref="B6:J6"/>
    <mergeCell ref="B29:K29"/>
  </mergeCells>
  <printOptions horizontalCentered="1"/>
  <pageMargins left="0.7" right="0.7" top="0.75" bottom="0.75" header="0.3" footer="0.3"/>
  <pageSetup fitToHeight="0" fitToWidth="0" orientation="portrait" scale="4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29"/>
  <sheetViews>
    <sheetView view="pageBreakPreview" zoomScale="70" zoomScaleNormal="65" zoomScaleSheetLayoutView="70" workbookViewId="0" topLeftCell="A1">
      <selection pane="topLeft" activeCell="D2" sqref="D2"/>
    </sheetView>
  </sheetViews>
  <sheetFormatPr defaultColWidth="8.91714285714286" defaultRowHeight="15.5"/>
  <cols>
    <col min="1" max="1" width="5.35714285714286" style="51" bestFit="1" customWidth="1"/>
    <col min="2" max="2" width="15.8571428571429" style="11" customWidth="1"/>
    <col min="3" max="3" width="5.85714285714286" style="208" customWidth="1"/>
    <col min="4" max="4" width="31.9285714285714" style="1" bestFit="1" customWidth="1"/>
    <col min="5" max="5" width="4.85714285714286" style="26" customWidth="1"/>
    <col min="6" max="6" width="18.8571428571429" style="208" customWidth="1"/>
    <col min="7" max="10" width="18.8571428571429" style="1" customWidth="1"/>
    <col min="11" max="11" width="4.85714285714286" style="1" customWidth="1"/>
    <col min="12" max="16384" width="8.92857142857143" style="1"/>
  </cols>
  <sheetData>
    <row r="1" spans="1:11" ht="15.5">
      <c r="A1" s="311"/>
      <c r="B1" s="311"/>
      <c r="C1" s="311"/>
      <c r="D1" s="311"/>
      <c r="K1" s="3" t="s">
        <v>307</v>
      </c>
    </row>
    <row r="2" spans="1:11" ht="15.5">
      <c r="A2" s="311"/>
      <c r="B2" s="311"/>
      <c r="C2" s="311"/>
      <c r="D2" s="311"/>
      <c r="K2" s="3" t="s">
        <v>275</v>
      </c>
    </row>
    <row r="3" spans="1:11" ht="15.5">
      <c r="A3" s="311"/>
      <c r="B3" s="311"/>
      <c r="C3" s="311"/>
      <c r="D3" s="311"/>
      <c r="K3" s="3" t="str">
        <f>'Attachment H-21-A ATSI '!K4</f>
        <v>For the 12 months ended 12/31/2023</v>
      </c>
    </row>
    <row r="5" spans="2:10" ht="15.5">
      <c r="B5" s="690" t="s">
        <v>610</v>
      </c>
      <c r="C5" s="690"/>
      <c r="D5" s="690"/>
      <c r="E5" s="690"/>
      <c r="F5" s="690"/>
      <c r="G5" s="690"/>
      <c r="H5" s="690"/>
      <c r="I5" s="690"/>
      <c r="J5" s="690"/>
    </row>
    <row r="6" spans="2:10" ht="15.5">
      <c r="B6" s="691" t="s">
        <v>312</v>
      </c>
      <c r="C6" s="691"/>
      <c r="D6" s="691"/>
      <c r="E6" s="691"/>
      <c r="F6" s="691"/>
      <c r="G6" s="691"/>
      <c r="H6" s="691"/>
      <c r="I6" s="691"/>
      <c r="J6" s="691"/>
    </row>
    <row r="8" spans="1:10" s="32" customFormat="1" ht="15.5">
      <c r="A8" s="51"/>
      <c r="B8" s="7" t="s">
        <v>363</v>
      </c>
      <c r="C8" s="51" t="s">
        <v>377</v>
      </c>
      <c r="D8" s="32" t="s">
        <v>506</v>
      </c>
      <c r="E8" s="26"/>
      <c r="F8" s="32" t="s">
        <v>547</v>
      </c>
      <c r="G8" s="51" t="s">
        <v>550</v>
      </c>
      <c r="H8" s="32" t="s">
        <v>611</v>
      </c>
      <c r="I8" s="32" t="s">
        <v>612</v>
      </c>
      <c r="J8" s="32" t="s">
        <v>613</v>
      </c>
    </row>
    <row r="9" spans="2:10" s="210" customFormat="1" ht="65.15" customHeight="1">
      <c r="B9" s="210" t="s">
        <v>601</v>
      </c>
      <c r="D9" s="210" t="s">
        <v>602</v>
      </c>
      <c r="E9" s="212"/>
      <c r="F9" s="211" t="s">
        <v>605</v>
      </c>
      <c r="G9" s="210" t="s">
        <v>606</v>
      </c>
      <c r="H9" s="210" t="s">
        <v>607</v>
      </c>
      <c r="I9" s="210" t="s">
        <v>608</v>
      </c>
      <c r="J9" s="210" t="s">
        <v>609</v>
      </c>
    </row>
    <row r="10" spans="5:10" s="210" customFormat="1" ht="15.5">
      <c r="E10" s="212"/>
      <c r="F10" s="211"/>
      <c r="G10" s="252" t="s">
        <v>646</v>
      </c>
      <c r="H10" s="252" t="s">
        <v>647</v>
      </c>
      <c r="I10" s="252"/>
      <c r="J10" s="252" t="s">
        <v>651</v>
      </c>
    </row>
    <row r="11" spans="1:11" ht="15.5">
      <c r="A11" s="51">
        <v>1</v>
      </c>
      <c r="B11" s="11" t="s">
        <v>332</v>
      </c>
      <c r="C11" s="209">
        <f>'Appendix B-Veg'!C11</f>
        <v>2022</v>
      </c>
      <c r="D11" s="1" t="s">
        <v>603</v>
      </c>
      <c r="F11" s="213">
        <v>97</v>
      </c>
      <c r="G11" s="148"/>
      <c r="H11" s="148"/>
      <c r="I11" s="148"/>
      <c r="J11" s="162">
        <v>9212608.7999999821</v>
      </c>
      <c r="K11" s="151"/>
    </row>
    <row r="12" spans="1:10" ht="15.5">
      <c r="A12" s="51">
        <v>2</v>
      </c>
      <c r="B12" s="11" t="s">
        <v>333</v>
      </c>
      <c r="C12" s="209">
        <f>C11+1</f>
        <v>2023</v>
      </c>
      <c r="D12" s="1" t="s">
        <v>635</v>
      </c>
      <c r="F12" s="213">
        <f>F11-1</f>
        <v>96</v>
      </c>
      <c r="G12" s="148">
        <f t="shared" si="0" ref="G12:G22">J11</f>
        <v>9212608.7999999821</v>
      </c>
      <c r="H12" s="148">
        <f>G12/F12</f>
        <v>95964.674999999814</v>
      </c>
      <c r="I12" s="162">
        <v>0</v>
      </c>
      <c r="J12" s="148">
        <f>G12-H12+I12</f>
        <v>9116644.1249999814</v>
      </c>
    </row>
    <row r="13" spans="1:10" ht="15.5">
      <c r="A13" s="51">
        <v>3</v>
      </c>
      <c r="B13" s="11" t="s">
        <v>334</v>
      </c>
      <c r="C13" s="209">
        <f>C12</f>
        <v>2023</v>
      </c>
      <c r="D13" s="1" t="s">
        <v>635</v>
      </c>
      <c r="F13" s="213">
        <f t="shared" si="1" ref="F13:F23">F12-1</f>
        <v>95</v>
      </c>
      <c r="G13" s="148">
        <f t="shared" si="0"/>
        <v>9116644.1249999814</v>
      </c>
      <c r="H13" s="148">
        <f t="shared" si="2" ref="H13:H23">G13/F13</f>
        <v>95964.674999999799</v>
      </c>
      <c r="I13" s="162">
        <v>0</v>
      </c>
      <c r="J13" s="148">
        <f t="shared" si="3" ref="J13:J23">G13-H13+I13</f>
        <v>9020679.4499999825</v>
      </c>
    </row>
    <row r="14" spans="1:10" ht="15.5">
      <c r="A14" s="51">
        <v>4</v>
      </c>
      <c r="B14" s="11" t="s">
        <v>335</v>
      </c>
      <c r="C14" s="209">
        <f t="shared" si="4" ref="C14:C23">C13</f>
        <v>2023</v>
      </c>
      <c r="D14" s="1" t="s">
        <v>635</v>
      </c>
      <c r="F14" s="213">
        <f t="shared" si="1"/>
        <v>94</v>
      </c>
      <c r="G14" s="148">
        <f t="shared" si="0"/>
        <v>9020679.4499999825</v>
      </c>
      <c r="H14" s="148">
        <f t="shared" si="2"/>
        <v>95964.674999999814</v>
      </c>
      <c r="I14" s="162">
        <v>0</v>
      </c>
      <c r="J14" s="148">
        <f>G14-H14+I14</f>
        <v>8924714.7749999836</v>
      </c>
    </row>
    <row r="15" spans="1:10" ht="15.5">
      <c r="A15" s="51">
        <v>5</v>
      </c>
      <c r="B15" s="11" t="s">
        <v>336</v>
      </c>
      <c r="C15" s="209">
        <f t="shared" si="4"/>
        <v>2023</v>
      </c>
      <c r="D15" s="1" t="s">
        <v>635</v>
      </c>
      <c r="F15" s="213">
        <f t="shared" si="1"/>
        <v>93</v>
      </c>
      <c r="G15" s="148">
        <f t="shared" si="0"/>
        <v>8924714.7749999836</v>
      </c>
      <c r="H15" s="148">
        <f t="shared" si="2"/>
        <v>95964.674999999828</v>
      </c>
      <c r="I15" s="162">
        <v>0</v>
      </c>
      <c r="J15" s="148">
        <f t="shared" si="3"/>
        <v>8828750.0999999829</v>
      </c>
    </row>
    <row r="16" spans="1:10" ht="15.5">
      <c r="A16" s="51">
        <v>6</v>
      </c>
      <c r="B16" s="11" t="s">
        <v>337</v>
      </c>
      <c r="C16" s="209">
        <f t="shared" si="4"/>
        <v>2023</v>
      </c>
      <c r="D16" s="1" t="s">
        <v>635</v>
      </c>
      <c r="F16" s="213">
        <f t="shared" si="1"/>
        <v>92</v>
      </c>
      <c r="G16" s="148">
        <f t="shared" si="0"/>
        <v>8828750.0999999829</v>
      </c>
      <c r="H16" s="148">
        <f t="shared" si="2"/>
        <v>95964.674999999814</v>
      </c>
      <c r="I16" s="162">
        <v>0</v>
      </c>
      <c r="J16" s="148">
        <f t="shared" si="3"/>
        <v>8732785.4249999821</v>
      </c>
    </row>
    <row r="17" spans="1:10" ht="15.5">
      <c r="A17" s="51">
        <v>7</v>
      </c>
      <c r="B17" s="11" t="s">
        <v>353</v>
      </c>
      <c r="C17" s="209">
        <f t="shared" si="4"/>
        <v>2023</v>
      </c>
      <c r="D17" s="1" t="s">
        <v>635</v>
      </c>
      <c r="F17" s="213">
        <f t="shared" si="1"/>
        <v>91</v>
      </c>
      <c r="G17" s="148">
        <f t="shared" si="0"/>
        <v>8732785.4249999821</v>
      </c>
      <c r="H17" s="148">
        <f t="shared" si="2"/>
        <v>95964.674999999799</v>
      </c>
      <c r="I17" s="162">
        <v>0</v>
      </c>
      <c r="J17" s="148">
        <f t="shared" si="3"/>
        <v>8636820.7499999832</v>
      </c>
    </row>
    <row r="18" spans="1:10" ht="15.5">
      <c r="A18" s="51">
        <v>8</v>
      </c>
      <c r="B18" s="11" t="s">
        <v>338</v>
      </c>
      <c r="C18" s="209">
        <f t="shared" si="4"/>
        <v>2023</v>
      </c>
      <c r="D18" s="1" t="s">
        <v>635</v>
      </c>
      <c r="F18" s="213">
        <f t="shared" si="1"/>
        <v>90</v>
      </c>
      <c r="G18" s="148">
        <f t="shared" si="0"/>
        <v>8636820.7499999832</v>
      </c>
      <c r="H18" s="148">
        <f t="shared" si="2"/>
        <v>95964.674999999814</v>
      </c>
      <c r="I18" s="162">
        <v>0</v>
      </c>
      <c r="J18" s="148">
        <f t="shared" si="3"/>
        <v>8540856.0749999844</v>
      </c>
    </row>
    <row r="19" spans="1:10" ht="15.5">
      <c r="A19" s="51">
        <v>9</v>
      </c>
      <c r="B19" s="11" t="s">
        <v>339</v>
      </c>
      <c r="C19" s="209">
        <f t="shared" si="4"/>
        <v>2023</v>
      </c>
      <c r="D19" s="1" t="s">
        <v>635</v>
      </c>
      <c r="F19" s="213">
        <f t="shared" si="1"/>
        <v>89</v>
      </c>
      <c r="G19" s="148">
        <f t="shared" si="0"/>
        <v>8540856.0749999844</v>
      </c>
      <c r="H19" s="148">
        <f t="shared" si="2"/>
        <v>95964.674999999828</v>
      </c>
      <c r="I19" s="162">
        <v>0</v>
      </c>
      <c r="J19" s="148">
        <f t="shared" si="3"/>
        <v>8444891.3999999836</v>
      </c>
    </row>
    <row r="20" spans="1:10" ht="15.5">
      <c r="A20" s="51">
        <v>10</v>
      </c>
      <c r="B20" s="11" t="s">
        <v>340</v>
      </c>
      <c r="C20" s="209">
        <f t="shared" si="4"/>
        <v>2023</v>
      </c>
      <c r="D20" s="1" t="s">
        <v>635</v>
      </c>
      <c r="F20" s="213">
        <f t="shared" si="1"/>
        <v>88</v>
      </c>
      <c r="G20" s="148">
        <f t="shared" si="0"/>
        <v>8444891.3999999836</v>
      </c>
      <c r="H20" s="148">
        <f t="shared" si="2"/>
        <v>95964.674999999814</v>
      </c>
      <c r="I20" s="162">
        <v>0</v>
      </c>
      <c r="J20" s="148">
        <f t="shared" si="3"/>
        <v>8348926.7249999838</v>
      </c>
    </row>
    <row r="21" spans="1:10" ht="15.5">
      <c r="A21" s="51">
        <v>11</v>
      </c>
      <c r="B21" s="11" t="s">
        <v>342</v>
      </c>
      <c r="C21" s="209">
        <f t="shared" si="4"/>
        <v>2023</v>
      </c>
      <c r="D21" s="1" t="s">
        <v>635</v>
      </c>
      <c r="F21" s="213">
        <f t="shared" si="1"/>
        <v>87</v>
      </c>
      <c r="G21" s="148">
        <f t="shared" si="0"/>
        <v>8348926.7249999838</v>
      </c>
      <c r="H21" s="148">
        <f t="shared" si="2"/>
        <v>95964.674999999814</v>
      </c>
      <c r="I21" s="162">
        <v>0</v>
      </c>
      <c r="J21" s="148">
        <f t="shared" si="3"/>
        <v>8252962.049999984</v>
      </c>
    </row>
    <row r="22" spans="1:10" ht="15.5">
      <c r="A22" s="51">
        <v>12</v>
      </c>
      <c r="B22" s="11" t="s">
        <v>341</v>
      </c>
      <c r="C22" s="209">
        <f t="shared" si="4"/>
        <v>2023</v>
      </c>
      <c r="D22" s="1" t="s">
        <v>635</v>
      </c>
      <c r="F22" s="213">
        <f t="shared" si="1"/>
        <v>86</v>
      </c>
      <c r="G22" s="148">
        <f t="shared" si="0"/>
        <v>8252962.049999984</v>
      </c>
      <c r="H22" s="148">
        <f t="shared" si="2"/>
        <v>95964.674999999814</v>
      </c>
      <c r="I22" s="162">
        <v>0</v>
      </c>
      <c r="J22" s="148">
        <f t="shared" si="3"/>
        <v>8156997.3749999842</v>
      </c>
    </row>
    <row r="23" spans="1:10" s="220" customFormat="1" ht="16" thickBot="1">
      <c r="A23" s="214">
        <v>13</v>
      </c>
      <c r="B23" s="215" t="s">
        <v>332</v>
      </c>
      <c r="C23" s="216">
        <f t="shared" si="4"/>
        <v>2023</v>
      </c>
      <c r="D23" s="220" t="s">
        <v>617</v>
      </c>
      <c r="E23" s="189"/>
      <c r="F23" s="217">
        <f t="shared" si="1"/>
        <v>85</v>
      </c>
      <c r="G23" s="218">
        <f>J22</f>
        <v>8156997.3749999842</v>
      </c>
      <c r="H23" s="222">
        <f t="shared" si="2"/>
        <v>95964.674999999814</v>
      </c>
      <c r="I23" s="219">
        <v>0</v>
      </c>
      <c r="J23" s="218">
        <f t="shared" si="3"/>
        <v>8061032.6999999844</v>
      </c>
    </row>
    <row r="24" spans="1:10" s="220" customFormat="1" ht="15.5">
      <c r="A24" s="214">
        <v>14</v>
      </c>
      <c r="B24" s="215"/>
      <c r="C24" s="221"/>
      <c r="E24" s="189"/>
      <c r="F24" s="214"/>
      <c r="G24" s="223" t="s">
        <v>615</v>
      </c>
      <c r="H24" s="218">
        <f>SUM(H12:H23)</f>
        <v>1151576.0999999978</v>
      </c>
      <c r="I24" s="424"/>
      <c r="J24" s="425"/>
    </row>
    <row r="25" spans="1:10" ht="15.5">
      <c r="A25" s="51">
        <v>15</v>
      </c>
      <c r="G25" s="26" t="s">
        <v>616</v>
      </c>
      <c r="I25" s="426"/>
      <c r="J25" s="427"/>
    </row>
    <row r="26" spans="1:9" ht="15.5">
      <c r="A26" s="51">
        <v>16</v>
      </c>
      <c r="F26" s="26" t="s">
        <v>619</v>
      </c>
      <c r="G26" s="26" t="s">
        <v>728</v>
      </c>
      <c r="I26" s="426"/>
    </row>
    <row r="28" spans="1:1" ht="15.5">
      <c r="A28" s="62" t="s">
        <v>297</v>
      </c>
    </row>
    <row r="29" spans="1:11" ht="37.75" customHeight="1">
      <c r="A29" s="60" t="s">
        <v>141</v>
      </c>
      <c r="B29" s="692" t="s">
        <v>806</v>
      </c>
      <c r="C29" s="692"/>
      <c r="D29" s="692"/>
      <c r="E29" s="692"/>
      <c r="F29" s="692"/>
      <c r="G29" s="692"/>
      <c r="H29" s="692"/>
      <c r="I29" s="692"/>
      <c r="J29" s="692"/>
      <c r="K29" s="692"/>
    </row>
  </sheetData>
  <mergeCells count="3">
    <mergeCell ref="B5:J5"/>
    <mergeCell ref="B6:J6"/>
    <mergeCell ref="B29:K29"/>
  </mergeCells>
  <printOptions horizontalCentered="1"/>
  <pageMargins left="0.7" right="0.7" top="0.75" bottom="0.75" header="0.3" footer="0.3"/>
  <pageSetup fitToHeight="0" fitToWidth="0" orientation="portrait" scale="4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281"/>
  <sheetViews>
    <sheetView view="pageBreakPreview" zoomScale="65" zoomScaleNormal="85" zoomScaleSheetLayoutView="65" workbookViewId="0" topLeftCell="A1">
      <selection pane="topLeft" activeCell="A5" sqref="A5:O5"/>
    </sheetView>
  </sheetViews>
  <sheetFormatPr defaultColWidth="8.91714285714286" defaultRowHeight="15.5"/>
  <cols>
    <col min="1" max="1" width="6" style="1" customWidth="1"/>
    <col min="2" max="2" width="1.42857142857143" style="1" customWidth="1"/>
    <col min="3" max="3" width="59.2142857142857" style="1" bestFit="1" customWidth="1"/>
    <col min="4" max="4" width="12" style="1" customWidth="1"/>
    <col min="5" max="5" width="14.4285714285714" style="1" customWidth="1"/>
    <col min="6" max="6" width="11.9285714285714" style="1" customWidth="1"/>
    <col min="7" max="7" width="15.0714285714286" style="1" customWidth="1"/>
    <col min="8" max="8" width="13.9285714285714" style="1" customWidth="1"/>
    <col min="9" max="9" width="12.8571428571429" style="1" customWidth="1"/>
    <col min="10" max="10" width="12.0714285714286" style="1" customWidth="1"/>
    <col min="11" max="11" width="13.5" style="1" customWidth="1"/>
    <col min="12" max="12" width="13.5" style="224" customWidth="1"/>
    <col min="13" max="13" width="15.3571428571429" style="1" customWidth="1"/>
    <col min="14" max="14" width="13.8571428571429" style="1" customWidth="1"/>
    <col min="15" max="15" width="28.8571428571429" style="1" customWidth="1"/>
    <col min="16" max="16384" width="8.92857142857143" style="1"/>
  </cols>
  <sheetData>
    <row r="1" spans="15:15" ht="15.5">
      <c r="O1" s="3" t="s">
        <v>308</v>
      </c>
    </row>
    <row r="2" spans="7:15" ht="15.5">
      <c r="G2" s="33"/>
      <c r="O2" s="3" t="s">
        <v>278</v>
      </c>
    </row>
    <row r="3" spans="15:15" ht="15.5">
      <c r="O3" s="3" t="str">
        <f>'Attachment H-21-A ATSI '!K4</f>
        <v>For the 12 months ended 12/31/2023</v>
      </c>
    </row>
    <row r="5" spans="1:15" ht="15.5">
      <c r="A5" s="690" t="s">
        <v>295</v>
      </c>
      <c r="B5" s="690"/>
      <c r="C5" s="690"/>
      <c r="D5" s="690"/>
      <c r="E5" s="690"/>
      <c r="F5" s="690"/>
      <c r="G5" s="690"/>
      <c r="H5" s="690"/>
      <c r="I5" s="690"/>
      <c r="J5" s="690"/>
      <c r="K5" s="690"/>
      <c r="L5" s="690"/>
      <c r="M5" s="690"/>
      <c r="N5" s="690"/>
      <c r="O5" s="690"/>
    </row>
    <row r="6" spans="1:15" ht="15.5">
      <c r="A6" s="693" t="s">
        <v>312</v>
      </c>
      <c r="B6" s="693"/>
      <c r="C6" s="693"/>
      <c r="D6" s="693"/>
      <c r="E6" s="693"/>
      <c r="F6" s="693"/>
      <c r="G6" s="693"/>
      <c r="H6" s="693"/>
      <c r="I6" s="693"/>
      <c r="J6" s="693"/>
      <c r="K6" s="693"/>
      <c r="L6" s="693"/>
      <c r="M6" s="693"/>
      <c r="N6" s="693"/>
      <c r="O6" s="693"/>
    </row>
    <row r="7" spans="1:13" ht="15.5">
      <c r="A7" s="693"/>
      <c r="B7" s="693"/>
      <c r="C7" s="693"/>
      <c r="D7" s="693"/>
      <c r="E7" s="693"/>
      <c r="F7" s="693"/>
      <c r="G7" s="693"/>
      <c r="H7" s="693"/>
      <c r="I7" s="693"/>
      <c r="J7" s="693"/>
      <c r="K7" s="693"/>
      <c r="L7" s="693"/>
      <c r="M7" s="693"/>
    </row>
    <row r="8" spans="1:13" ht="15.5">
      <c r="A8" s="27"/>
      <c r="C8" s="2"/>
      <c r="D8" s="2"/>
      <c r="F8" s="2"/>
      <c r="H8" s="2"/>
      <c r="I8" s="2"/>
      <c r="J8" s="2"/>
      <c r="K8" s="2"/>
      <c r="L8" s="225"/>
      <c r="M8" s="2"/>
    </row>
    <row r="9" spans="1:13" ht="15.5">
      <c r="A9" s="27"/>
      <c r="C9" s="2"/>
      <c r="D9" s="2"/>
      <c r="E9" s="2"/>
      <c r="F9" s="2"/>
      <c r="G9" s="11"/>
      <c r="H9" s="2"/>
      <c r="I9" s="2"/>
      <c r="J9" s="2"/>
      <c r="K9" s="2"/>
      <c r="L9" s="225"/>
      <c r="M9" s="2"/>
    </row>
    <row r="10" spans="1:13" ht="15.5">
      <c r="A10" s="27"/>
      <c r="D10" s="2"/>
      <c r="E10" s="2"/>
      <c r="F10" s="2"/>
      <c r="G10" s="11"/>
      <c r="H10" s="2"/>
      <c r="I10" s="2"/>
      <c r="J10" s="2"/>
      <c r="K10" s="2"/>
      <c r="L10" s="225"/>
      <c r="M10" s="2"/>
    </row>
    <row r="11" spans="1:13" ht="15.5">
      <c r="A11" s="27"/>
      <c r="C11" s="2"/>
      <c r="D11" s="2"/>
      <c r="E11" s="2"/>
      <c r="F11" s="2"/>
      <c r="G11" s="11"/>
      <c r="M11" s="2"/>
    </row>
    <row r="12" spans="1:13" ht="15.5">
      <c r="A12" s="27"/>
      <c r="C12" s="2"/>
      <c r="D12" s="2"/>
      <c r="E12" s="2"/>
      <c r="F12" s="2"/>
      <c r="G12" s="2"/>
      <c r="M12" s="4"/>
    </row>
    <row r="13" spans="3:9" ht="15.5">
      <c r="C13" s="5" t="s">
        <v>27</v>
      </c>
      <c r="D13" s="5"/>
      <c r="E13" s="5" t="s">
        <v>28</v>
      </c>
      <c r="F13" s="5"/>
      <c r="G13" s="5" t="s">
        <v>29</v>
      </c>
      <c r="I13" s="7" t="s">
        <v>30</v>
      </c>
    </row>
    <row r="14" spans="3:7" ht="15.5">
      <c r="C14" s="2"/>
      <c r="D14" s="2"/>
      <c r="E14" s="17"/>
      <c r="F14" s="17"/>
      <c r="G14" s="4"/>
    </row>
    <row r="15" spans="1:9" ht="15.5">
      <c r="A15" s="27" t="s">
        <v>5</v>
      </c>
      <c r="C15" s="2"/>
      <c r="D15" s="2"/>
      <c r="E15" s="152" t="s">
        <v>277</v>
      </c>
      <c r="F15" s="152"/>
      <c r="G15" s="28" t="s">
        <v>33</v>
      </c>
      <c r="I15" s="28" t="s">
        <v>12</v>
      </c>
    </row>
    <row r="16" spans="1:9" ht="15.5">
      <c r="A16" s="27" t="s">
        <v>7</v>
      </c>
      <c r="C16" s="18"/>
      <c r="D16" s="18"/>
      <c r="E16" s="4"/>
      <c r="F16" s="4"/>
      <c r="G16" s="4"/>
      <c r="I16" s="4"/>
    </row>
    <row r="17" spans="1:9" ht="15.5">
      <c r="A17" s="29"/>
      <c r="C17" s="2"/>
      <c r="D17" s="2"/>
      <c r="E17" s="4"/>
      <c r="F17" s="4"/>
      <c r="G17" s="4"/>
      <c r="I17" s="4"/>
    </row>
    <row r="18" spans="1:7" ht="15.5">
      <c r="A18" s="151">
        <v>1</v>
      </c>
      <c r="C18" s="2" t="s">
        <v>231</v>
      </c>
      <c r="D18" s="2"/>
      <c r="E18" s="151" t="s">
        <v>314</v>
      </c>
      <c r="F18" s="151"/>
      <c r="G18" s="19">
        <f>'Attachment H-21-A ATSI '!I66</f>
        <v>5736002767.4030781</v>
      </c>
    </row>
    <row r="19" spans="1:7" ht="15.5">
      <c r="A19" s="151">
        <v>2</v>
      </c>
      <c r="C19" s="2" t="s">
        <v>232</v>
      </c>
      <c r="D19" s="2"/>
      <c r="E19" s="151" t="s">
        <v>315</v>
      </c>
      <c r="F19" s="151"/>
      <c r="G19" s="19">
        <f>'Attachment H-21-A ATSI '!I82</f>
        <v>4434415781.1944237</v>
      </c>
    </row>
    <row r="20" spans="1:6" ht="15.5">
      <c r="A20" s="151"/>
      <c r="E20" s="151"/>
      <c r="F20" s="151"/>
    </row>
    <row r="21" spans="1:9" ht="15.5">
      <c r="A21" s="151"/>
      <c r="C21" s="2" t="s">
        <v>233</v>
      </c>
      <c r="D21" s="2"/>
      <c r="E21" s="151"/>
      <c r="F21" s="151"/>
      <c r="G21" s="4"/>
      <c r="I21" s="4"/>
    </row>
    <row r="22" spans="1:7" ht="15.5">
      <c r="A22" s="151">
        <v>3</v>
      </c>
      <c r="C22" s="2" t="s">
        <v>234</v>
      </c>
      <c r="D22" s="2"/>
      <c r="E22" s="151" t="s">
        <v>316</v>
      </c>
      <c r="F22" s="151"/>
      <c r="G22" s="19">
        <f>'Attachment H-21-A ATSI '!I146</f>
        <v>206139690.13473797</v>
      </c>
    </row>
    <row r="23" spans="1:9" ht="15.5">
      <c r="A23" s="151">
        <v>4</v>
      </c>
      <c r="C23" s="2" t="s">
        <v>235</v>
      </c>
      <c r="D23" s="2"/>
      <c r="E23" s="151" t="s">
        <v>279</v>
      </c>
      <c r="F23" s="151"/>
      <c r="G23" s="67">
        <f>IF(G22=0,0,G22/G18)</f>
        <v>0.035937864483992533</v>
      </c>
      <c r="I23" s="68">
        <f>G23</f>
        <v>0.035937864483992533</v>
      </c>
    </row>
    <row r="24" spans="1:9" ht="15.5">
      <c r="A24" s="151"/>
      <c r="E24" s="151"/>
      <c r="F24" s="151"/>
      <c r="I24" s="67"/>
    </row>
    <row r="25" spans="1:9" ht="15.5">
      <c r="A25" s="7"/>
      <c r="C25" s="2" t="s">
        <v>236</v>
      </c>
      <c r="D25" s="2"/>
      <c r="E25" s="32"/>
      <c r="F25" s="32"/>
      <c r="G25" s="4"/>
      <c r="I25" s="67"/>
    </row>
    <row r="26" spans="1:9" ht="15.5">
      <c r="A26" s="7" t="s">
        <v>237</v>
      </c>
      <c r="C26" s="2" t="s">
        <v>238</v>
      </c>
      <c r="D26" s="2"/>
      <c r="E26" s="151" t="s">
        <v>313</v>
      </c>
      <c r="F26" s="151"/>
      <c r="G26" s="19">
        <f>'Attachment H-21-A ATSI '!I163</f>
        <v>241883643</v>
      </c>
      <c r="I26" s="67"/>
    </row>
    <row r="27" spans="1:9" ht="15.5">
      <c r="A27" s="7" t="s">
        <v>239</v>
      </c>
      <c r="C27" s="2" t="s">
        <v>240</v>
      </c>
      <c r="D27" s="2"/>
      <c r="E27" s="151" t="s">
        <v>280</v>
      </c>
      <c r="F27" s="151"/>
      <c r="G27" s="67">
        <f>IF(G26=0,0,G26/G18)</f>
        <v>0.042169373483323926</v>
      </c>
      <c r="I27" s="68">
        <f>G27</f>
        <v>0.042169373483323926</v>
      </c>
    </row>
    <row r="28" spans="1:9" ht="15.5">
      <c r="A28" s="7"/>
      <c r="C28" s="2"/>
      <c r="D28" s="2"/>
      <c r="E28" s="151"/>
      <c r="F28" s="151"/>
      <c r="G28" s="4"/>
      <c r="I28" s="67"/>
    </row>
    <row r="29" spans="1:9" ht="15.5">
      <c r="A29" s="150" t="s">
        <v>241</v>
      </c>
      <c r="B29" s="33"/>
      <c r="C29" s="18" t="s">
        <v>242</v>
      </c>
      <c r="D29" s="18"/>
      <c r="E29" s="17" t="s">
        <v>243</v>
      </c>
      <c r="F29" s="17"/>
      <c r="G29" s="9"/>
      <c r="I29" s="69">
        <f>I23+I27</f>
        <v>0.078107237967316459</v>
      </c>
    </row>
    <row r="30" spans="1:9" ht="15.5">
      <c r="A30" s="7"/>
      <c r="C30" s="2"/>
      <c r="D30" s="2"/>
      <c r="E30" s="151"/>
      <c r="F30" s="151"/>
      <c r="G30" s="4"/>
      <c r="I30" s="67"/>
    </row>
    <row r="31" spans="1:9" ht="15.5">
      <c r="A31" s="7"/>
      <c r="C31" s="4" t="s">
        <v>244</v>
      </c>
      <c r="D31" s="4"/>
      <c r="E31" s="151"/>
      <c r="F31" s="151"/>
      <c r="G31" s="4"/>
      <c r="I31" s="67"/>
    </row>
    <row r="32" spans="1:9" ht="15.5">
      <c r="A32" s="7" t="s">
        <v>245</v>
      </c>
      <c r="C32" s="4" t="s">
        <v>92</v>
      </c>
      <c r="D32" s="4"/>
      <c r="E32" s="151" t="s">
        <v>317</v>
      </c>
      <c r="F32" s="151"/>
      <c r="G32" s="19">
        <f>'Attachment H-21-A ATSI '!I176</f>
        <v>65350735.765662059</v>
      </c>
      <c r="I32" s="67"/>
    </row>
    <row r="33" spans="1:9" ht="15.5">
      <c r="A33" s="7" t="s">
        <v>246</v>
      </c>
      <c r="C33" s="4" t="s">
        <v>247</v>
      </c>
      <c r="D33" s="4"/>
      <c r="E33" s="151" t="s">
        <v>281</v>
      </c>
      <c r="F33" s="151"/>
      <c r="G33" s="67">
        <f>IF(G19=0,0,G32/G19)</f>
        <v>0.014737169221434539</v>
      </c>
      <c r="I33" s="68">
        <f>G33</f>
        <v>0.014737169221434539</v>
      </c>
    </row>
    <row r="34" spans="1:9" ht="15.5">
      <c r="A34" s="7"/>
      <c r="C34" s="4"/>
      <c r="D34" s="4"/>
      <c r="E34" s="151"/>
      <c r="F34" s="151"/>
      <c r="G34" s="4"/>
      <c r="I34" s="67"/>
    </row>
    <row r="35" spans="1:9" ht="15.5">
      <c r="A35" s="7"/>
      <c r="C35" s="2" t="s">
        <v>93</v>
      </c>
      <c r="D35" s="2"/>
      <c r="E35" s="10"/>
      <c r="F35" s="10"/>
      <c r="I35" s="67"/>
    </row>
    <row r="36" spans="1:9" ht="15.5">
      <c r="A36" s="7" t="s">
        <v>248</v>
      </c>
      <c r="C36" s="2" t="s">
        <v>249</v>
      </c>
      <c r="D36" s="2"/>
      <c r="E36" s="151" t="s">
        <v>318</v>
      </c>
      <c r="F36" s="151"/>
      <c r="G36" s="19">
        <f>'Attachment H-21-A ATSI '!I178</f>
        <v>295439972.51714754</v>
      </c>
      <c r="I36" s="67"/>
    </row>
    <row r="37" spans="1:9" ht="15.5">
      <c r="A37" s="7" t="s">
        <v>250</v>
      </c>
      <c r="C37" s="4" t="s">
        <v>251</v>
      </c>
      <c r="D37" s="4"/>
      <c r="E37" s="151" t="s">
        <v>282</v>
      </c>
      <c r="F37" s="151"/>
      <c r="G37" s="68">
        <f>IF(G19=0,0,G36/G19)</f>
        <v>0.066624328230576943</v>
      </c>
      <c r="I37" s="68">
        <f>G37</f>
        <v>0.066624328230576943</v>
      </c>
    </row>
    <row r="38" spans="1:9" ht="15.5">
      <c r="A38" s="7"/>
      <c r="C38" s="2"/>
      <c r="D38" s="2"/>
      <c r="E38" s="151"/>
      <c r="F38" s="151"/>
      <c r="G38" s="4"/>
      <c r="I38" s="67"/>
    </row>
    <row r="39" spans="1:9" ht="15.5">
      <c r="A39" s="150" t="s">
        <v>252</v>
      </c>
      <c r="B39" s="33"/>
      <c r="C39" s="18" t="s">
        <v>253</v>
      </c>
      <c r="D39" s="18"/>
      <c r="E39" s="17" t="s">
        <v>254</v>
      </c>
      <c r="F39" s="17"/>
      <c r="G39" s="9"/>
      <c r="I39" s="69">
        <f>I33+I37</f>
        <v>0.081361497452011489</v>
      </c>
    </row>
    <row r="42" spans="1:7" ht="15.5">
      <c r="A42" s="27"/>
      <c r="G42" s="4"/>
    </row>
    <row r="43" spans="4:15" ht="15.65" customHeight="1">
      <c r="D43" s="609"/>
      <c r="E43" s="609"/>
      <c r="F43" s="609"/>
      <c r="G43" s="609"/>
      <c r="H43" s="609"/>
      <c r="I43" s="609"/>
      <c r="J43" s="609"/>
      <c r="K43" s="609"/>
      <c r="L43" s="609"/>
      <c r="M43" s="609"/>
      <c r="O43" s="26" t="str">
        <f>O1</f>
        <v>Attachment  H-21A, Appendix D</v>
      </c>
    </row>
    <row r="44" spans="4:15" ht="15.65" customHeight="1">
      <c r="D44" s="609"/>
      <c r="E44" s="609"/>
      <c r="F44" s="609"/>
      <c r="G44" s="609"/>
      <c r="H44" s="609"/>
      <c r="I44" s="609"/>
      <c r="J44" s="609"/>
      <c r="K44" s="609"/>
      <c r="L44" s="609"/>
      <c r="M44" s="609"/>
      <c r="O44" s="26" t="s">
        <v>283</v>
      </c>
    </row>
    <row r="45" spans="4:15" ht="15.5">
      <c r="D45" s="609"/>
      <c r="E45" s="609"/>
      <c r="F45" s="609"/>
      <c r="G45" s="609"/>
      <c r="H45" s="609"/>
      <c r="I45" s="609"/>
      <c r="J45" s="609"/>
      <c r="K45" s="609"/>
      <c r="L45" s="609"/>
      <c r="M45" s="609"/>
      <c r="O45" s="26" t="str">
        <f>O3</f>
        <v>For the 12 months ended 12/31/2023</v>
      </c>
    </row>
    <row r="46" spans="1:13" ht="15.5">
      <c r="A46" s="27"/>
      <c r="D46" s="609"/>
      <c r="E46" s="609"/>
      <c r="F46" s="609"/>
      <c r="G46" s="609"/>
      <c r="H46" s="609"/>
      <c r="I46" s="609"/>
      <c r="J46" s="609"/>
      <c r="K46" s="609"/>
      <c r="L46" s="609"/>
      <c r="M46" s="609"/>
    </row>
    <row r="47" spans="1:13" ht="15.5">
      <c r="A47" s="27"/>
      <c r="C47" s="2"/>
      <c r="D47" s="609"/>
      <c r="E47" s="609"/>
      <c r="F47" s="609"/>
      <c r="G47" s="609"/>
      <c r="H47" s="609"/>
      <c r="I47" s="609"/>
      <c r="J47" s="609"/>
      <c r="K47" s="609"/>
      <c r="L47" s="609"/>
      <c r="M47" s="609"/>
    </row>
    <row r="48" spans="1:13" ht="15.5">
      <c r="A48" s="27"/>
      <c r="C48" s="2"/>
      <c r="D48" s="609"/>
      <c r="E48" s="609"/>
      <c r="F48" s="609"/>
      <c r="G48" s="609"/>
      <c r="H48" s="609"/>
      <c r="I48" s="609"/>
      <c r="J48" s="609"/>
      <c r="K48" s="609"/>
      <c r="L48" s="609"/>
      <c r="M48" s="609"/>
    </row>
    <row r="49" spans="1:13" ht="14.25" customHeight="1">
      <c r="A49" s="27"/>
      <c r="D49" s="609"/>
      <c r="E49" s="609"/>
      <c r="F49" s="609"/>
      <c r="G49" s="609"/>
      <c r="H49" s="609"/>
      <c r="I49" s="609"/>
      <c r="J49" s="609"/>
      <c r="K49" s="609"/>
      <c r="L49" s="609"/>
      <c r="M49" s="609"/>
    </row>
    <row r="50" spans="1:15" ht="15.5">
      <c r="A50" s="696" t="str">
        <f>A5</f>
        <v>Transmission Enhancement Credit</v>
      </c>
      <c r="B50" s="696"/>
      <c r="C50" s="696"/>
      <c r="D50" s="696"/>
      <c r="E50" s="696"/>
      <c r="F50" s="696"/>
      <c r="G50" s="696"/>
      <c r="H50" s="696"/>
      <c r="I50" s="696"/>
      <c r="J50" s="696"/>
      <c r="K50" s="696"/>
      <c r="L50" s="696"/>
      <c r="M50" s="696"/>
      <c r="N50" s="696"/>
      <c r="O50" s="696"/>
    </row>
    <row r="51" spans="1:15" ht="15.5">
      <c r="A51" s="697" t="str">
        <f>A6</f>
        <v>To be completed in conjunction with Attachment H-21A</v>
      </c>
      <c r="B51" s="697"/>
      <c r="C51" s="697"/>
      <c r="D51" s="697"/>
      <c r="E51" s="697"/>
      <c r="F51" s="697"/>
      <c r="G51" s="697"/>
      <c r="H51" s="697"/>
      <c r="I51" s="697"/>
      <c r="J51" s="697"/>
      <c r="K51" s="697"/>
      <c r="L51" s="697"/>
      <c r="M51" s="697"/>
      <c r="N51" s="697"/>
      <c r="O51" s="697"/>
    </row>
    <row r="52" spans="1:13" ht="15.5">
      <c r="A52" s="27"/>
      <c r="E52" s="18"/>
      <c r="H52" s="2"/>
      <c r="I52" s="2"/>
      <c r="J52" s="2"/>
      <c r="K52" s="2"/>
      <c r="L52" s="225"/>
      <c r="M52" s="2"/>
    </row>
    <row r="53" spans="1:13" ht="15.5">
      <c r="A53" s="27"/>
      <c r="E53" s="18"/>
      <c r="F53" s="18"/>
      <c r="H53" s="2"/>
      <c r="I53" s="2"/>
      <c r="J53" s="2"/>
      <c r="K53" s="2"/>
      <c r="L53" s="225"/>
      <c r="M53" s="2"/>
    </row>
    <row r="54" spans="1:14" ht="15.5">
      <c r="A54" s="27"/>
      <c r="C54" s="35">
        <v>-1</v>
      </c>
      <c r="D54" s="35">
        <v>-2</v>
      </c>
      <c r="E54" s="35">
        <v>-3</v>
      </c>
      <c r="F54" s="35">
        <v>-4</v>
      </c>
      <c r="G54" s="35">
        <v>-5</v>
      </c>
      <c r="H54" s="35">
        <v>-6</v>
      </c>
      <c r="I54" s="35">
        <v>-7</v>
      </c>
      <c r="J54" s="35">
        <v>-8</v>
      </c>
      <c r="K54" s="35">
        <v>-9</v>
      </c>
      <c r="L54" s="35">
        <v>-10</v>
      </c>
      <c r="M54" s="150" t="s">
        <v>713</v>
      </c>
      <c r="N54" s="150" t="s">
        <v>714</v>
      </c>
    </row>
    <row r="55" spans="1:14" ht="60.5">
      <c r="A55" s="36" t="s">
        <v>255</v>
      </c>
      <c r="B55" s="37"/>
      <c r="C55" s="64" t="s">
        <v>256</v>
      </c>
      <c r="D55" s="38" t="s">
        <v>296</v>
      </c>
      <c r="E55" s="39" t="s">
        <v>481</v>
      </c>
      <c r="F55" s="39" t="s">
        <v>242</v>
      </c>
      <c r="G55" s="40" t="s">
        <v>259</v>
      </c>
      <c r="H55" s="39" t="s">
        <v>260</v>
      </c>
      <c r="I55" s="39" t="s">
        <v>253</v>
      </c>
      <c r="J55" s="40" t="s">
        <v>261</v>
      </c>
      <c r="K55" s="39" t="s">
        <v>262</v>
      </c>
      <c r="L55" s="312" t="s">
        <v>636</v>
      </c>
      <c r="M55" s="41" t="s">
        <v>409</v>
      </c>
      <c r="N55" s="41" t="s">
        <v>503</v>
      </c>
    </row>
    <row r="56" spans="1:14" ht="46.5" customHeight="1">
      <c r="A56" s="42"/>
      <c r="B56" s="43"/>
      <c r="C56" s="43"/>
      <c r="D56" s="43"/>
      <c r="E56" s="44" t="s">
        <v>21</v>
      </c>
      <c r="F56" s="44" t="s">
        <v>285</v>
      </c>
      <c r="G56" s="45" t="s">
        <v>264</v>
      </c>
      <c r="H56" s="44" t="s">
        <v>22</v>
      </c>
      <c r="I56" s="44" t="s">
        <v>286</v>
      </c>
      <c r="J56" s="45" t="s">
        <v>265</v>
      </c>
      <c r="K56" s="44" t="s">
        <v>186</v>
      </c>
      <c r="L56" s="153" t="s">
        <v>639</v>
      </c>
      <c r="M56" s="153" t="s">
        <v>580</v>
      </c>
      <c r="N56" s="153" t="s">
        <v>715</v>
      </c>
    </row>
    <row r="57" spans="1:14" ht="15.5">
      <c r="A57" s="47"/>
      <c r="B57" s="2"/>
      <c r="C57" s="2"/>
      <c r="D57" s="2"/>
      <c r="E57" s="2"/>
      <c r="F57" s="2"/>
      <c r="G57" s="48"/>
      <c r="H57" s="2"/>
      <c r="I57" s="2"/>
      <c r="J57" s="48"/>
      <c r="K57" s="2"/>
      <c r="L57" s="228"/>
      <c r="M57" s="48"/>
      <c r="N57" s="48"/>
    </row>
    <row r="58" spans="1:14" ht="15.5">
      <c r="A58" s="65" t="s">
        <v>9</v>
      </c>
      <c r="B58" s="32"/>
      <c r="C58" s="281" t="s">
        <v>887</v>
      </c>
      <c r="D58" s="283" t="s">
        <v>895</v>
      </c>
      <c r="E58" s="99">
        <v>11591749.349999996</v>
      </c>
      <c r="F58" s="68">
        <f>$I$29</f>
        <v>0.078107237967316459</v>
      </c>
      <c r="G58" s="245">
        <f>E58*F58</f>
        <v>905399.52493793552</v>
      </c>
      <c r="H58" s="99">
        <v>9489322.0143272858</v>
      </c>
      <c r="I58" s="68">
        <f>$I$39</f>
        <v>0.081361497452011489</v>
      </c>
      <c r="J58" s="61">
        <f>H58*I58</f>
        <v>772065.44889000594</v>
      </c>
      <c r="K58" s="99">
        <v>298093.42628459999</v>
      </c>
      <c r="L58" s="61">
        <f>G58+J58+K58</f>
        <v>1975558.4001125414</v>
      </c>
      <c r="M58" s="291"/>
      <c r="N58" s="61">
        <f>L58+M58</f>
        <v>1975558.4001125414</v>
      </c>
    </row>
    <row r="59" spans="1:14" ht="15.5">
      <c r="A59" s="65" t="s">
        <v>267</v>
      </c>
      <c r="B59" s="32"/>
      <c r="C59" s="281" t="s">
        <v>888</v>
      </c>
      <c r="D59" s="283" t="s">
        <v>896</v>
      </c>
      <c r="E59" s="99">
        <v>18993935.189999998</v>
      </c>
      <c r="F59" s="68">
        <f>$I$29</f>
        <v>0.078107237967316459</v>
      </c>
      <c r="G59" s="245">
        <f>E59*F59</f>
        <v>1483563.8158211161</v>
      </c>
      <c r="H59" s="99">
        <v>14079451.97127351</v>
      </c>
      <c r="I59" s="68">
        <f>$I$39</f>
        <v>0.081361497452011489</v>
      </c>
      <c r="J59" s="61">
        <f>H59*I59</f>
        <v>1145525.2956864878</v>
      </c>
      <c r="K59" s="99">
        <v>535173.11791343987</v>
      </c>
      <c r="L59" s="61">
        <f>G59+J59+K59</f>
        <v>3164262.2294210438</v>
      </c>
      <c r="M59" s="291"/>
      <c r="N59" s="61">
        <f>L59+M59</f>
        <v>3164262.2294210438</v>
      </c>
    </row>
    <row r="60" spans="1:14" ht="15.5">
      <c r="A60" s="65" t="s">
        <v>268</v>
      </c>
      <c r="B60" s="32"/>
      <c r="C60" s="281" t="s">
        <v>889</v>
      </c>
      <c r="D60" s="283" t="s">
        <v>897</v>
      </c>
      <c r="E60" s="99">
        <v>38181501.180000007</v>
      </c>
      <c r="F60" s="68">
        <f>$I$29</f>
        <v>0.078107237967316459</v>
      </c>
      <c r="G60" s="245">
        <f>E60*F60</f>
        <v>2982251.5986156347</v>
      </c>
      <c r="H60" s="99">
        <v>30596737.123764411</v>
      </c>
      <c r="I60" s="68">
        <f>$I$39</f>
        <v>0.081361497452011489</v>
      </c>
      <c r="J60" s="61">
        <f>H60*I60</f>
        <v>2489396.3495350233</v>
      </c>
      <c r="K60" s="99">
        <v>909941.53612176038</v>
      </c>
      <c r="L60" s="61">
        <f>G60+J60+K60</f>
        <v>6381589.4842724185</v>
      </c>
      <c r="M60" s="291"/>
      <c r="N60" s="61">
        <f>L60+M60</f>
        <v>6381589.4842724185</v>
      </c>
    </row>
    <row r="61" spans="1:14" ht="15.5">
      <c r="A61" s="65" t="s">
        <v>704</v>
      </c>
      <c r="B61" s="32"/>
      <c r="C61" s="281" t="s">
        <v>890</v>
      </c>
      <c r="D61" s="283" t="s">
        <v>898</v>
      </c>
      <c r="E61" s="99">
        <v>84561171.632307693</v>
      </c>
      <c r="F61" s="68">
        <f t="shared" si="0" ref="F61:F66">$I$29</f>
        <v>0.078107237967316459</v>
      </c>
      <c r="G61" s="245">
        <f t="shared" si="1" ref="G61:G65">E61*F61</f>
        <v>6604839.5554797472</v>
      </c>
      <c r="H61" s="99">
        <v>72236749.879922926</v>
      </c>
      <c r="I61" s="68">
        <f t="shared" si="2" ref="I61:I66">$I$39</f>
        <v>0.081361497452011489</v>
      </c>
      <c r="J61" s="61">
        <f t="shared" si="3" ref="J61:J65">H61*I61</f>
        <v>5877290.1412969399</v>
      </c>
      <c r="K61" s="99">
        <v>2416084.2748857499</v>
      </c>
      <c r="L61" s="61">
        <f t="shared" si="4" ref="L61:L65">G61+J61+K61</f>
        <v>14898213.971662438</v>
      </c>
      <c r="M61" s="291"/>
      <c r="N61" s="61">
        <f t="shared" si="5" ref="N61:N65">L61+M61</f>
        <v>14898213.971662438</v>
      </c>
    </row>
    <row r="62" spans="1:14" ht="15.5">
      <c r="A62" s="65" t="s">
        <v>705</v>
      </c>
      <c r="B62" s="32"/>
      <c r="C62" s="281" t="s">
        <v>891</v>
      </c>
      <c r="D62" s="283" t="s">
        <v>899</v>
      </c>
      <c r="E62" s="99">
        <v>10461075.739999998</v>
      </c>
      <c r="F62" s="68">
        <f t="shared" si="0"/>
        <v>0.078107237967316459</v>
      </c>
      <c r="G62" s="245">
        <f t="shared" si="1"/>
        <v>817085.73221830104</v>
      </c>
      <c r="H62" s="99">
        <v>8275583.2882165099</v>
      </c>
      <c r="I62" s="68">
        <f t="shared" si="2"/>
        <v>0.081361497452011489</v>
      </c>
      <c r="J62" s="61">
        <f t="shared" si="3"/>
        <v>673313.84861813637</v>
      </c>
      <c r="K62" s="99">
        <v>319983.38473511999</v>
      </c>
      <c r="L62" s="61">
        <f t="shared" si="4"/>
        <v>1810382.9655715574</v>
      </c>
      <c r="M62" s="291"/>
      <c r="N62" s="61">
        <f t="shared" si="5"/>
        <v>1810382.9655715574</v>
      </c>
    </row>
    <row r="63" spans="1:14" ht="15.5">
      <c r="A63" s="65" t="s">
        <v>706</v>
      </c>
      <c r="B63" s="32"/>
      <c r="C63" s="281" t="s">
        <v>892</v>
      </c>
      <c r="D63" s="283" t="s">
        <v>900</v>
      </c>
      <c r="E63" s="99">
        <v>2764577.4900000012</v>
      </c>
      <c r="F63" s="68">
        <f t="shared" si="0"/>
        <v>0.078107237967316459</v>
      </c>
      <c r="G63" s="245">
        <f t="shared" si="1"/>
        <v>215933.51189051653</v>
      </c>
      <c r="H63" s="99">
        <v>2358808.2107750969</v>
      </c>
      <c r="I63" s="68">
        <f t="shared" si="2"/>
        <v>0.081361497452011489</v>
      </c>
      <c r="J63" s="61">
        <f t="shared" si="3"/>
        <v>191916.16823076183</v>
      </c>
      <c r="K63" s="99">
        <v>56961.354603960004</v>
      </c>
      <c r="L63" s="61">
        <f>G63+J63+K63</f>
        <v>464811.03472523839</v>
      </c>
      <c r="M63" s="291"/>
      <c r="N63" s="61">
        <f t="shared" si="5"/>
        <v>464811.03472523839</v>
      </c>
    </row>
    <row r="64" spans="1:14" ht="15.5">
      <c r="A64" s="65" t="s">
        <v>707</v>
      </c>
      <c r="B64" s="32"/>
      <c r="C64" s="281" t="s">
        <v>893</v>
      </c>
      <c r="D64" s="283" t="s">
        <v>901</v>
      </c>
      <c r="E64" s="99">
        <v>6276432.9800000023</v>
      </c>
      <c r="F64" s="68">
        <f t="shared" si="0"/>
        <v>0.078107237967316459</v>
      </c>
      <c r="G64" s="245">
        <f t="shared" si="1"/>
        <v>490234.84435477335</v>
      </c>
      <c r="H64" s="99">
        <v>5315413.3318603402</v>
      </c>
      <c r="I64" s="68">
        <f t="shared" si="2"/>
        <v>0.081361497452011489</v>
      </c>
      <c r="J64" s="61">
        <f t="shared" si="3"/>
        <v>432469.98825654294</v>
      </c>
      <c r="K64" s="99">
        <v>133160.80210368001</v>
      </c>
      <c r="L64" s="61">
        <f t="shared" si="4"/>
        <v>1055865.6347149964</v>
      </c>
      <c r="M64" s="291"/>
      <c r="N64" s="61">
        <f t="shared" si="5"/>
        <v>1055865.6347149964</v>
      </c>
    </row>
    <row r="65" spans="1:14" ht="15.5">
      <c r="A65" s="65" t="s">
        <v>708</v>
      </c>
      <c r="B65" s="32"/>
      <c r="C65" s="281" t="s">
        <v>957</v>
      </c>
      <c r="D65" s="283" t="s">
        <v>958</v>
      </c>
      <c r="E65" s="99">
        <v>50953648.50999999</v>
      </c>
      <c r="F65" s="68">
        <f t="shared" si="0"/>
        <v>0.078107237967316459</v>
      </c>
      <c r="G65" s="245">
        <f t="shared" si="1"/>
        <v>3979848.749473569</v>
      </c>
      <c r="H65" s="99">
        <v>40969039.689978182</v>
      </c>
      <c r="I65" s="68">
        <f t="shared" si="2"/>
        <v>0.081361497452011489</v>
      </c>
      <c r="J65" s="61">
        <f t="shared" si="3"/>
        <v>3333302.4183475175</v>
      </c>
      <c r="K65" s="99">
        <v>1446675.9884959206</v>
      </c>
      <c r="L65" s="61">
        <f t="shared" si="4"/>
        <v>8759827.1563170068</v>
      </c>
      <c r="M65" s="291"/>
      <c r="N65" s="61">
        <f t="shared" si="5"/>
        <v>8759827.1563170068</v>
      </c>
    </row>
    <row r="66" spans="1:14" ht="15.5">
      <c r="A66" s="65" t="s">
        <v>935</v>
      </c>
      <c r="C66" s="281" t="s">
        <v>894</v>
      </c>
      <c r="D66" s="283" t="s">
        <v>902</v>
      </c>
      <c r="E66" s="99">
        <v>3234568.2700000005</v>
      </c>
      <c r="F66" s="68">
        <f t="shared" si="0"/>
        <v>0.078107237967316459</v>
      </c>
      <c r="G66" s="245">
        <f>E66*F66</f>
        <v>252643.19358642114</v>
      </c>
      <c r="H66" s="99">
        <v>2905478.5474592708</v>
      </c>
      <c r="I66" s="68">
        <f t="shared" si="2"/>
        <v>0.081361497452011489</v>
      </c>
      <c r="J66" s="61">
        <f t="shared" si="6" ref="J66">H66*I66</f>
        <v>236394.08543598151</v>
      </c>
      <c r="K66" s="99">
        <v>87022.824736080016</v>
      </c>
      <c r="L66" s="61">
        <f t="shared" si="7" ref="L66">G66+J66+K66</f>
        <v>576060.10375848273</v>
      </c>
      <c r="M66" s="291"/>
      <c r="N66" s="61">
        <f>L66+M66</f>
        <v>576060.10375848273</v>
      </c>
    </row>
    <row r="67" spans="1:14" ht="15.5">
      <c r="A67" s="50"/>
      <c r="C67" s="52"/>
      <c r="D67" s="52"/>
      <c r="E67" s="52"/>
      <c r="F67" s="52"/>
      <c r="G67" s="53"/>
      <c r="H67" s="52"/>
      <c r="I67" s="52"/>
      <c r="J67" s="53"/>
      <c r="K67" s="52"/>
      <c r="L67" s="53"/>
      <c r="M67" s="53"/>
      <c r="N67" s="53"/>
    </row>
    <row r="68" spans="1:14" ht="15.5">
      <c r="A68" s="50"/>
      <c r="C68" s="52"/>
      <c r="D68" s="52"/>
      <c r="E68" s="52"/>
      <c r="F68" s="52"/>
      <c r="G68" s="53"/>
      <c r="H68" s="52"/>
      <c r="I68" s="52"/>
      <c r="J68" s="53"/>
      <c r="K68" s="52"/>
      <c r="L68" s="53"/>
      <c r="M68" s="53"/>
      <c r="N68" s="53"/>
    </row>
    <row r="69" spans="1:14" ht="15.5">
      <c r="A69" s="50"/>
      <c r="C69" s="52"/>
      <c r="D69" s="52"/>
      <c r="E69" s="52"/>
      <c r="F69" s="52"/>
      <c r="G69" s="53"/>
      <c r="H69" s="52"/>
      <c r="I69" s="52"/>
      <c r="J69" s="53"/>
      <c r="K69" s="52"/>
      <c r="L69" s="53"/>
      <c r="M69" s="53"/>
      <c r="N69" s="53"/>
    </row>
    <row r="70" spans="1:14" ht="15.5">
      <c r="A70" s="50"/>
      <c r="C70" s="52"/>
      <c r="D70" s="52"/>
      <c r="E70" s="52"/>
      <c r="F70" s="52"/>
      <c r="G70" s="53"/>
      <c r="H70" s="52"/>
      <c r="I70" s="52"/>
      <c r="J70" s="53"/>
      <c r="K70" s="52"/>
      <c r="L70" s="53"/>
      <c r="M70" s="53"/>
      <c r="N70" s="53"/>
    </row>
    <row r="71" spans="1:14" ht="15.5">
      <c r="A71" s="50"/>
      <c r="C71" s="52"/>
      <c r="D71" s="52"/>
      <c r="E71" s="52"/>
      <c r="F71" s="52"/>
      <c r="G71" s="53"/>
      <c r="H71" s="52"/>
      <c r="I71" s="52"/>
      <c r="J71" s="53"/>
      <c r="K71" s="52"/>
      <c r="L71" s="53"/>
      <c r="M71" s="53"/>
      <c r="N71" s="53"/>
    </row>
    <row r="72" spans="1:14" ht="15.5">
      <c r="A72" s="50"/>
      <c r="C72" s="52"/>
      <c r="D72" s="52"/>
      <c r="E72" s="52"/>
      <c r="F72" s="52"/>
      <c r="G72" s="53"/>
      <c r="H72" s="52"/>
      <c r="I72" s="52"/>
      <c r="J72" s="53"/>
      <c r="K72" s="52"/>
      <c r="L72" s="53"/>
      <c r="M72" s="53"/>
      <c r="N72" s="53"/>
    </row>
    <row r="73" spans="1:14" ht="15.5">
      <c r="A73" s="50"/>
      <c r="C73" s="52"/>
      <c r="D73" s="52"/>
      <c r="E73" s="52"/>
      <c r="F73" s="52"/>
      <c r="G73" s="53"/>
      <c r="H73" s="52"/>
      <c r="I73" s="52"/>
      <c r="J73" s="53"/>
      <c r="K73" s="52"/>
      <c r="L73" s="53"/>
      <c r="M73" s="53"/>
      <c r="N73" s="53"/>
    </row>
    <row r="74" spans="1:14" ht="15.5">
      <c r="A74" s="54"/>
      <c r="B74" s="55"/>
      <c r="C74" s="56"/>
      <c r="D74" s="56"/>
      <c r="E74" s="56"/>
      <c r="F74" s="56"/>
      <c r="G74" s="57"/>
      <c r="H74" s="56"/>
      <c r="I74" s="56"/>
      <c r="J74" s="57"/>
      <c r="K74" s="56"/>
      <c r="L74" s="57"/>
      <c r="M74" s="57"/>
      <c r="N74" s="57"/>
    </row>
    <row r="75" spans="1:14" ht="15.5">
      <c r="A75" s="7" t="s">
        <v>269</v>
      </c>
      <c r="C75" s="1" t="s">
        <v>319</v>
      </c>
      <c r="D75" s="2"/>
      <c r="E75" s="32"/>
      <c r="F75" s="32"/>
      <c r="G75" s="4"/>
      <c r="H75" s="4"/>
      <c r="I75" s="4"/>
      <c r="J75" s="4"/>
      <c r="K75" s="4"/>
      <c r="L75" s="4">
        <f>SUM(L58:L74)</f>
        <v>39086570.980555728</v>
      </c>
      <c r="M75" s="19"/>
      <c r="N75" s="244"/>
    </row>
    <row r="76" spans="1:13" ht="15.5">
      <c r="A76" s="52"/>
      <c r="B76" s="52"/>
      <c r="C76" s="52"/>
      <c r="D76" s="52"/>
      <c r="E76" s="52"/>
      <c r="F76" s="52"/>
      <c r="G76" s="52"/>
      <c r="H76" s="52"/>
      <c r="I76" s="52"/>
      <c r="J76" s="52"/>
      <c r="K76" s="52"/>
      <c r="L76" s="226"/>
      <c r="M76" s="52"/>
    </row>
    <row r="77" spans="1:13" ht="15.5">
      <c r="A77" s="62" t="s">
        <v>297</v>
      </c>
      <c r="B77" s="52"/>
      <c r="C77" s="52"/>
      <c r="D77" s="52"/>
      <c r="E77" s="52"/>
      <c r="F77" s="52"/>
      <c r="G77" s="52"/>
      <c r="H77" s="52"/>
      <c r="I77" s="52"/>
      <c r="J77" s="52"/>
      <c r="K77" s="52"/>
      <c r="L77" s="226"/>
      <c r="M77" s="52"/>
    </row>
    <row r="78" spans="1:13" ht="15.5">
      <c r="A78" s="32" t="s">
        <v>141</v>
      </c>
      <c r="C78" s="681" t="s">
        <v>320</v>
      </c>
      <c r="D78" s="681"/>
      <c r="E78" s="681"/>
      <c r="F78" s="681"/>
      <c r="G78" s="681"/>
      <c r="H78" s="681"/>
      <c r="I78" s="681"/>
      <c r="J78" s="681"/>
      <c r="K78" s="681"/>
      <c r="L78" s="681"/>
      <c r="M78" s="681"/>
    </row>
    <row r="79" spans="1:13" ht="15.5">
      <c r="A79" s="32" t="s">
        <v>142</v>
      </c>
      <c r="C79" s="681" t="s">
        <v>321</v>
      </c>
      <c r="D79" s="681"/>
      <c r="E79" s="681"/>
      <c r="F79" s="681"/>
      <c r="G79" s="681"/>
      <c r="H79" s="681"/>
      <c r="I79" s="681"/>
      <c r="J79" s="681"/>
      <c r="K79" s="681"/>
      <c r="L79" s="681"/>
      <c r="M79" s="681"/>
    </row>
    <row r="80" spans="1:13" ht="33" customHeight="1">
      <c r="A80" s="60" t="s">
        <v>143</v>
      </c>
      <c r="C80" s="694" t="s">
        <v>301</v>
      </c>
      <c r="D80" s="694"/>
      <c r="E80" s="694"/>
      <c r="F80" s="694"/>
      <c r="G80" s="694"/>
      <c r="H80" s="694"/>
      <c r="I80" s="694"/>
      <c r="J80" s="694"/>
      <c r="K80" s="694"/>
      <c r="L80" s="694"/>
      <c r="M80" s="694"/>
    </row>
    <row r="81" spans="1:13" ht="15.5">
      <c r="A81" s="60" t="s">
        <v>144</v>
      </c>
      <c r="C81" s="694" t="s">
        <v>271</v>
      </c>
      <c r="D81" s="694"/>
      <c r="E81" s="694"/>
      <c r="F81" s="694"/>
      <c r="G81" s="694"/>
      <c r="H81" s="694"/>
      <c r="I81" s="694"/>
      <c r="J81" s="694"/>
      <c r="K81" s="694"/>
      <c r="L81" s="694"/>
      <c r="M81" s="694"/>
    </row>
    <row r="82" spans="1:13" ht="15.5">
      <c r="A82" s="32" t="s">
        <v>145</v>
      </c>
      <c r="C82" s="681" t="s">
        <v>322</v>
      </c>
      <c r="D82" s="681"/>
      <c r="E82" s="681"/>
      <c r="F82" s="681"/>
      <c r="G82" s="681"/>
      <c r="H82" s="681"/>
      <c r="I82" s="681"/>
      <c r="J82" s="681"/>
      <c r="K82" s="681"/>
      <c r="L82" s="681"/>
      <c r="M82" s="681"/>
    </row>
    <row r="83" spans="1:13" s="224" customFormat="1" ht="15.5">
      <c r="A83" s="117" t="s">
        <v>146</v>
      </c>
      <c r="C83" s="695" t="s">
        <v>681</v>
      </c>
      <c r="D83" s="695"/>
      <c r="E83" s="695"/>
      <c r="F83" s="695"/>
      <c r="G83" s="695"/>
      <c r="H83" s="695"/>
      <c r="I83" s="695"/>
      <c r="J83" s="695"/>
      <c r="K83" s="695"/>
      <c r="L83" s="695"/>
      <c r="M83" s="695"/>
    </row>
    <row r="84" spans="1:10" ht="15.5">
      <c r="A84" s="6"/>
      <c r="C84" s="7"/>
      <c r="D84" s="7"/>
      <c r="E84" s="32"/>
      <c r="F84" s="32"/>
      <c r="G84" s="4"/>
      <c r="J84" s="30"/>
    </row>
    <row r="85" spans="1:10" ht="15.5">
      <c r="A85" s="6"/>
      <c r="C85" s="7"/>
      <c r="D85" s="7"/>
      <c r="E85" s="32"/>
      <c r="F85" s="32"/>
      <c r="G85" s="4"/>
      <c r="J85" s="30"/>
    </row>
    <row r="86" spans="3:13" ht="15.5">
      <c r="C86" s="52"/>
      <c r="D86" s="52"/>
      <c r="E86" s="52"/>
      <c r="F86" s="52"/>
      <c r="G86" s="52"/>
      <c r="H86" s="52"/>
      <c r="I86" s="52"/>
      <c r="J86" s="52"/>
      <c r="K86" s="52"/>
      <c r="L86" s="226"/>
      <c r="M86" s="52"/>
    </row>
    <row r="87" spans="3:13" ht="15.5">
      <c r="C87" s="52"/>
      <c r="D87" s="52"/>
      <c r="E87" s="52"/>
      <c r="F87" s="52"/>
      <c r="G87" s="52"/>
      <c r="H87" s="52"/>
      <c r="I87" s="52"/>
      <c r="J87" s="52"/>
      <c r="K87" s="52"/>
      <c r="L87" s="226"/>
      <c r="M87" s="52"/>
    </row>
    <row r="88" spans="3:13" ht="15.5">
      <c r="C88" s="52"/>
      <c r="D88" s="52"/>
      <c r="E88" s="52"/>
      <c r="F88" s="52"/>
      <c r="G88" s="52"/>
      <c r="H88" s="52"/>
      <c r="I88" s="52"/>
      <c r="J88" s="52"/>
      <c r="K88" s="52"/>
      <c r="L88" s="226"/>
      <c r="M88" s="52"/>
    </row>
    <row r="89" spans="3:13" ht="15.5">
      <c r="C89" s="52"/>
      <c r="D89" s="52"/>
      <c r="E89" s="52"/>
      <c r="F89" s="52"/>
      <c r="G89" s="52"/>
      <c r="H89" s="52"/>
      <c r="I89" s="52"/>
      <c r="J89" s="52"/>
      <c r="K89" s="52"/>
      <c r="L89" s="226"/>
      <c r="M89" s="52"/>
    </row>
    <row r="90" spans="3:13" ht="15.5">
      <c r="C90" s="52"/>
      <c r="D90" s="52"/>
      <c r="E90" s="52"/>
      <c r="F90" s="52"/>
      <c r="G90" s="52"/>
      <c r="H90" s="52"/>
      <c r="I90" s="52"/>
      <c r="J90" s="52"/>
      <c r="K90" s="52"/>
      <c r="L90" s="226"/>
      <c r="M90" s="52"/>
    </row>
    <row r="91" spans="3:13" ht="15.5">
      <c r="C91" s="52"/>
      <c r="D91" s="52"/>
      <c r="E91" s="52"/>
      <c r="F91" s="52"/>
      <c r="G91" s="52"/>
      <c r="H91" s="52"/>
      <c r="I91" s="52"/>
      <c r="J91" s="52"/>
      <c r="K91" s="52"/>
      <c r="L91" s="226"/>
      <c r="M91" s="52"/>
    </row>
    <row r="92" spans="3:13" ht="15.5">
      <c r="C92" s="52"/>
      <c r="D92" s="52"/>
      <c r="E92" s="52"/>
      <c r="F92" s="52"/>
      <c r="G92" s="52"/>
      <c r="H92" s="52"/>
      <c r="I92" s="52"/>
      <c r="J92" s="52"/>
      <c r="K92" s="52"/>
      <c r="L92" s="226"/>
      <c r="M92" s="52"/>
    </row>
    <row r="93" spans="3:13" ht="15.5">
      <c r="C93" s="52"/>
      <c r="D93" s="52"/>
      <c r="E93" s="52"/>
      <c r="F93" s="52"/>
      <c r="G93" s="52"/>
      <c r="H93" s="52"/>
      <c r="I93" s="52"/>
      <c r="J93" s="52"/>
      <c r="K93" s="52"/>
      <c r="L93" s="226"/>
      <c r="M93" s="52"/>
    </row>
    <row r="94" spans="3:13" ht="15.5">
      <c r="C94" s="52"/>
      <c r="D94" s="52"/>
      <c r="E94" s="52"/>
      <c r="F94" s="52"/>
      <c r="G94" s="52"/>
      <c r="H94" s="52"/>
      <c r="I94" s="52"/>
      <c r="J94" s="52"/>
      <c r="K94" s="52"/>
      <c r="L94" s="226"/>
      <c r="M94" s="52"/>
    </row>
    <row r="95" spans="3:13" ht="15.5">
      <c r="C95" s="52"/>
      <c r="D95" s="52"/>
      <c r="E95" s="52"/>
      <c r="F95" s="52"/>
      <c r="G95" s="52"/>
      <c r="H95" s="52"/>
      <c r="I95" s="52"/>
      <c r="J95" s="52"/>
      <c r="K95" s="52"/>
      <c r="L95" s="226"/>
      <c r="M95" s="52"/>
    </row>
    <row r="96" spans="3:13" ht="15.5">
      <c r="C96" s="52"/>
      <c r="D96" s="52"/>
      <c r="E96" s="52"/>
      <c r="F96" s="52"/>
      <c r="G96" s="52"/>
      <c r="H96" s="52"/>
      <c r="I96" s="52"/>
      <c r="J96" s="52"/>
      <c r="K96" s="52"/>
      <c r="L96" s="226"/>
      <c r="M96" s="52"/>
    </row>
    <row r="97" spans="3:13" ht="15.5">
      <c r="C97" s="52"/>
      <c r="D97" s="52"/>
      <c r="E97" s="52"/>
      <c r="F97" s="52"/>
      <c r="G97" s="52"/>
      <c r="H97" s="52"/>
      <c r="I97" s="52"/>
      <c r="J97" s="52"/>
      <c r="K97" s="52"/>
      <c r="L97" s="226"/>
      <c r="M97" s="52"/>
    </row>
    <row r="98" spans="3:13" ht="15.5">
      <c r="C98" s="52"/>
      <c r="D98" s="52"/>
      <c r="E98" s="52"/>
      <c r="F98" s="52"/>
      <c r="G98" s="52"/>
      <c r="H98" s="52"/>
      <c r="I98" s="52"/>
      <c r="J98" s="52"/>
      <c r="K98" s="52"/>
      <c r="L98" s="226"/>
      <c r="M98" s="52"/>
    </row>
    <row r="99" spans="3:13" ht="15.5">
      <c r="C99" s="52"/>
      <c r="D99" s="52"/>
      <c r="E99" s="52"/>
      <c r="F99" s="52"/>
      <c r="G99" s="52"/>
      <c r="H99" s="52"/>
      <c r="I99" s="52"/>
      <c r="J99" s="52"/>
      <c r="K99" s="52"/>
      <c r="L99" s="226"/>
      <c r="M99" s="52"/>
    </row>
    <row r="100" spans="3:13" ht="15.5">
      <c r="C100" s="52"/>
      <c r="D100" s="52"/>
      <c r="E100" s="52"/>
      <c r="F100" s="52"/>
      <c r="G100" s="52"/>
      <c r="H100" s="52"/>
      <c r="I100" s="52"/>
      <c r="J100" s="52"/>
      <c r="K100" s="52"/>
      <c r="L100" s="226"/>
      <c r="M100" s="52"/>
    </row>
    <row r="101" spans="3:13" ht="15.5">
      <c r="C101" s="52"/>
      <c r="D101" s="52"/>
      <c r="E101" s="52"/>
      <c r="F101" s="52"/>
      <c r="G101" s="52"/>
      <c r="H101" s="52"/>
      <c r="I101" s="52"/>
      <c r="J101" s="52"/>
      <c r="K101" s="52"/>
      <c r="L101" s="226"/>
      <c r="M101" s="52"/>
    </row>
    <row r="102" spans="3:13" ht="15.5">
      <c r="C102" s="52"/>
      <c r="D102" s="52"/>
      <c r="E102" s="52"/>
      <c r="F102" s="52"/>
      <c r="G102" s="52"/>
      <c r="H102" s="52"/>
      <c r="I102" s="52"/>
      <c r="J102" s="52"/>
      <c r="K102" s="52"/>
      <c r="L102" s="226"/>
      <c r="M102" s="52"/>
    </row>
    <row r="103" spans="3:13" ht="15.5">
      <c r="C103" s="52"/>
      <c r="D103" s="52"/>
      <c r="E103" s="52"/>
      <c r="F103" s="52"/>
      <c r="G103" s="52"/>
      <c r="H103" s="52"/>
      <c r="I103" s="52"/>
      <c r="J103" s="52"/>
      <c r="K103" s="52"/>
      <c r="L103" s="226"/>
      <c r="M103" s="52"/>
    </row>
    <row r="104" spans="3:13" ht="15.5">
      <c r="C104" s="52"/>
      <c r="D104" s="52"/>
      <c r="E104" s="52"/>
      <c r="F104" s="52"/>
      <c r="G104" s="52"/>
      <c r="H104" s="52"/>
      <c r="I104" s="52"/>
      <c r="J104" s="52"/>
      <c r="K104" s="52"/>
      <c r="L104" s="226"/>
      <c r="M104" s="52"/>
    </row>
    <row r="105" spans="3:13" ht="15.5">
      <c r="C105" s="52"/>
      <c r="D105" s="52"/>
      <c r="E105" s="52"/>
      <c r="F105" s="52"/>
      <c r="G105" s="52"/>
      <c r="H105" s="52"/>
      <c r="I105" s="52"/>
      <c r="J105" s="52"/>
      <c r="K105" s="52"/>
      <c r="L105" s="226"/>
      <c r="M105" s="52"/>
    </row>
    <row r="106" spans="3:13" ht="15.5">
      <c r="C106" s="52"/>
      <c r="D106" s="52"/>
      <c r="E106" s="52"/>
      <c r="F106" s="52"/>
      <c r="G106" s="52"/>
      <c r="H106" s="52"/>
      <c r="I106" s="52"/>
      <c r="J106" s="52"/>
      <c r="K106" s="52"/>
      <c r="L106" s="226"/>
      <c r="M106" s="52"/>
    </row>
    <row r="107" spans="3:13" ht="15.5">
      <c r="C107" s="52"/>
      <c r="D107" s="52"/>
      <c r="E107" s="52"/>
      <c r="F107" s="52"/>
      <c r="G107" s="52"/>
      <c r="H107" s="52"/>
      <c r="I107" s="52"/>
      <c r="J107" s="52"/>
      <c r="K107" s="52"/>
      <c r="L107" s="226"/>
      <c r="M107" s="52"/>
    </row>
    <row r="108" spans="3:13" ht="15.5">
      <c r="C108" s="52"/>
      <c r="D108" s="52"/>
      <c r="E108" s="52"/>
      <c r="F108" s="52"/>
      <c r="G108" s="52"/>
      <c r="H108" s="52"/>
      <c r="I108" s="52"/>
      <c r="J108" s="52"/>
      <c r="K108" s="52"/>
      <c r="L108" s="226"/>
      <c r="M108" s="52"/>
    </row>
    <row r="109" spans="3:13" ht="15.5">
      <c r="C109" s="52"/>
      <c r="D109" s="52"/>
      <c r="E109" s="52"/>
      <c r="F109" s="52"/>
      <c r="G109" s="52"/>
      <c r="H109" s="52"/>
      <c r="I109" s="52"/>
      <c r="J109" s="52"/>
      <c r="K109" s="52"/>
      <c r="L109" s="226"/>
      <c r="M109" s="52"/>
    </row>
    <row r="110" spans="3:13" ht="15.5">
      <c r="C110" s="52"/>
      <c r="D110" s="52"/>
      <c r="E110" s="52"/>
      <c r="F110" s="52"/>
      <c r="G110" s="52"/>
      <c r="H110" s="52"/>
      <c r="I110" s="52"/>
      <c r="J110" s="52"/>
      <c r="K110" s="52"/>
      <c r="L110" s="226"/>
      <c r="M110" s="52"/>
    </row>
    <row r="111" spans="3:13" ht="15.5">
      <c r="C111" s="52"/>
      <c r="D111" s="52"/>
      <c r="E111" s="52"/>
      <c r="F111" s="52"/>
      <c r="G111" s="52"/>
      <c r="H111" s="52"/>
      <c r="I111" s="52"/>
      <c r="J111" s="52"/>
      <c r="K111" s="52"/>
      <c r="L111" s="226"/>
      <c r="M111" s="52"/>
    </row>
    <row r="112" spans="3:13" ht="15.5">
      <c r="C112" s="52"/>
      <c r="D112" s="52"/>
      <c r="E112" s="52"/>
      <c r="F112" s="52"/>
      <c r="G112" s="52"/>
      <c r="H112" s="52"/>
      <c r="I112" s="52"/>
      <c r="J112" s="52"/>
      <c r="K112" s="52"/>
      <c r="L112" s="226"/>
      <c r="M112" s="52"/>
    </row>
    <row r="113" spans="3:13" ht="15.5">
      <c r="C113" s="52"/>
      <c r="D113" s="52"/>
      <c r="E113" s="52"/>
      <c r="F113" s="52"/>
      <c r="G113" s="52"/>
      <c r="H113" s="52"/>
      <c r="I113" s="52"/>
      <c r="J113" s="52"/>
      <c r="K113" s="52"/>
      <c r="L113" s="226"/>
      <c r="M113" s="52"/>
    </row>
    <row r="114" spans="3:13" ht="15.5">
      <c r="C114" s="52"/>
      <c r="D114" s="52"/>
      <c r="E114" s="52"/>
      <c r="F114" s="52"/>
      <c r="G114" s="52"/>
      <c r="H114" s="52"/>
      <c r="I114" s="52"/>
      <c r="J114" s="52"/>
      <c r="K114" s="52"/>
      <c r="L114" s="226"/>
      <c r="M114" s="52"/>
    </row>
    <row r="115" spans="3:13" ht="15.5">
      <c r="C115" s="52"/>
      <c r="D115" s="52"/>
      <c r="E115" s="52"/>
      <c r="F115" s="52"/>
      <c r="G115" s="52"/>
      <c r="H115" s="52"/>
      <c r="I115" s="52"/>
      <c r="J115" s="52"/>
      <c r="K115" s="52"/>
      <c r="L115" s="226"/>
      <c r="M115" s="52"/>
    </row>
    <row r="116" spans="3:13" ht="15.5">
      <c r="C116" s="52"/>
      <c r="D116" s="52"/>
      <c r="E116" s="52"/>
      <c r="F116" s="52"/>
      <c r="G116" s="52"/>
      <c r="H116" s="52"/>
      <c r="I116" s="52"/>
      <c r="J116" s="52"/>
      <c r="K116" s="52"/>
      <c r="L116" s="226"/>
      <c r="M116" s="52"/>
    </row>
    <row r="117" spans="3:13" ht="15.5">
      <c r="C117" s="52"/>
      <c r="D117" s="52"/>
      <c r="E117" s="52"/>
      <c r="F117" s="52"/>
      <c r="G117" s="52"/>
      <c r="H117" s="52"/>
      <c r="I117" s="52"/>
      <c r="J117" s="52"/>
      <c r="K117" s="52"/>
      <c r="L117" s="226"/>
      <c r="M117" s="52"/>
    </row>
    <row r="118" spans="3:13" ht="15.5">
      <c r="C118" s="52"/>
      <c r="D118" s="52"/>
      <c r="E118" s="52"/>
      <c r="F118" s="52"/>
      <c r="G118" s="52"/>
      <c r="H118" s="52"/>
      <c r="I118" s="52"/>
      <c r="J118" s="52"/>
      <c r="K118" s="52"/>
      <c r="L118" s="226"/>
      <c r="M118" s="52"/>
    </row>
    <row r="119" spans="3:13" ht="15.5">
      <c r="C119" s="52"/>
      <c r="D119" s="52"/>
      <c r="E119" s="52"/>
      <c r="F119" s="52"/>
      <c r="G119" s="52"/>
      <c r="H119" s="52"/>
      <c r="I119" s="52"/>
      <c r="J119" s="52"/>
      <c r="K119" s="52"/>
      <c r="L119" s="226"/>
      <c r="M119" s="52"/>
    </row>
    <row r="120" spans="3:13" ht="15.5">
      <c r="C120" s="52"/>
      <c r="D120" s="52"/>
      <c r="E120" s="52"/>
      <c r="F120" s="52"/>
      <c r="G120" s="52"/>
      <c r="H120" s="52"/>
      <c r="I120" s="52"/>
      <c r="J120" s="52"/>
      <c r="K120" s="52"/>
      <c r="L120" s="226"/>
      <c r="M120" s="52"/>
    </row>
    <row r="121" spans="3:13" ht="15.5">
      <c r="C121" s="52"/>
      <c r="D121" s="52"/>
      <c r="E121" s="52"/>
      <c r="F121" s="52"/>
      <c r="G121" s="52"/>
      <c r="H121" s="52"/>
      <c r="I121" s="52"/>
      <c r="J121" s="52"/>
      <c r="K121" s="52"/>
      <c r="L121" s="226"/>
      <c r="M121" s="52"/>
    </row>
    <row r="122" spans="3:13" ht="15.5">
      <c r="C122" s="52"/>
      <c r="D122" s="52"/>
      <c r="E122" s="52"/>
      <c r="F122" s="52"/>
      <c r="G122" s="52"/>
      <c r="H122" s="52"/>
      <c r="I122" s="52"/>
      <c r="J122" s="52"/>
      <c r="K122" s="52"/>
      <c r="L122" s="226"/>
      <c r="M122" s="52"/>
    </row>
    <row r="123" spans="3:13" ht="15.5">
      <c r="C123" s="52"/>
      <c r="D123" s="52"/>
      <c r="E123" s="52"/>
      <c r="F123" s="52"/>
      <c r="G123" s="52"/>
      <c r="H123" s="52"/>
      <c r="I123" s="52"/>
      <c r="J123" s="52"/>
      <c r="K123" s="52"/>
      <c r="L123" s="226"/>
      <c r="M123" s="52"/>
    </row>
    <row r="124" spans="3:13" ht="15.5">
      <c r="C124" s="52"/>
      <c r="D124" s="52"/>
      <c r="E124" s="52"/>
      <c r="F124" s="52"/>
      <c r="G124" s="52"/>
      <c r="H124" s="52"/>
      <c r="I124" s="52"/>
      <c r="J124" s="52"/>
      <c r="K124" s="52"/>
      <c r="L124" s="226"/>
      <c r="M124" s="52"/>
    </row>
    <row r="125" spans="3:13" ht="15.5">
      <c r="C125" s="52"/>
      <c r="D125" s="52"/>
      <c r="E125" s="52"/>
      <c r="F125" s="52"/>
      <c r="G125" s="52"/>
      <c r="H125" s="52"/>
      <c r="I125" s="52"/>
      <c r="J125" s="52"/>
      <c r="K125" s="52"/>
      <c r="L125" s="226"/>
      <c r="M125" s="52"/>
    </row>
    <row r="126" spans="3:13" ht="15.5">
      <c r="C126" s="52"/>
      <c r="D126" s="52"/>
      <c r="E126" s="52"/>
      <c r="F126" s="52"/>
      <c r="G126" s="52"/>
      <c r="H126" s="52"/>
      <c r="I126" s="52"/>
      <c r="J126" s="52"/>
      <c r="K126" s="52"/>
      <c r="L126" s="226"/>
      <c r="M126" s="52"/>
    </row>
    <row r="127" spans="3:13" ht="15.5">
      <c r="C127" s="52"/>
      <c r="D127" s="52"/>
      <c r="E127" s="52"/>
      <c r="F127" s="52"/>
      <c r="G127" s="52"/>
      <c r="H127" s="52"/>
      <c r="I127" s="52"/>
      <c r="J127" s="52"/>
      <c r="K127" s="52"/>
      <c r="L127" s="226"/>
      <c r="M127" s="52"/>
    </row>
    <row r="128" spans="3:13" ht="15.5">
      <c r="C128" s="52"/>
      <c r="D128" s="52"/>
      <c r="E128" s="52"/>
      <c r="F128" s="52"/>
      <c r="G128" s="52"/>
      <c r="H128" s="52"/>
      <c r="I128" s="52"/>
      <c r="J128" s="52"/>
      <c r="K128" s="52"/>
      <c r="L128" s="226"/>
      <c r="M128" s="52"/>
    </row>
    <row r="129" spans="3:13" ht="15.5">
      <c r="C129" s="52"/>
      <c r="D129" s="52"/>
      <c r="E129" s="52"/>
      <c r="F129" s="52"/>
      <c r="G129" s="52"/>
      <c r="H129" s="52"/>
      <c r="I129" s="52"/>
      <c r="J129" s="52"/>
      <c r="K129" s="52"/>
      <c r="L129" s="226"/>
      <c r="M129" s="52"/>
    </row>
    <row r="130" spans="3:13" ht="15.5">
      <c r="C130" s="52"/>
      <c r="D130" s="52"/>
      <c r="E130" s="52"/>
      <c r="F130" s="52"/>
      <c r="G130" s="52"/>
      <c r="H130" s="52"/>
      <c r="I130" s="52"/>
      <c r="J130" s="52"/>
      <c r="K130" s="52"/>
      <c r="L130" s="226"/>
      <c r="M130" s="52"/>
    </row>
    <row r="131" spans="3:13" ht="15.5">
      <c r="C131" s="52"/>
      <c r="D131" s="52"/>
      <c r="E131" s="52"/>
      <c r="F131" s="52"/>
      <c r="G131" s="52"/>
      <c r="H131" s="52"/>
      <c r="I131" s="52"/>
      <c r="J131" s="52"/>
      <c r="K131" s="52"/>
      <c r="L131" s="226"/>
      <c r="M131" s="52"/>
    </row>
    <row r="132" spans="3:13" ht="15.5">
      <c r="C132" s="52"/>
      <c r="D132" s="52"/>
      <c r="E132" s="52"/>
      <c r="F132" s="52"/>
      <c r="G132" s="52"/>
      <c r="H132" s="52"/>
      <c r="I132" s="52"/>
      <c r="J132" s="52"/>
      <c r="K132" s="52"/>
      <c r="L132" s="226"/>
      <c r="M132" s="52"/>
    </row>
    <row r="133" spans="3:13" ht="15.5">
      <c r="C133" s="52"/>
      <c r="D133" s="52"/>
      <c r="E133" s="52"/>
      <c r="F133" s="52"/>
      <c r="G133" s="52"/>
      <c r="H133" s="52"/>
      <c r="I133" s="52"/>
      <c r="J133" s="52"/>
      <c r="K133" s="52"/>
      <c r="L133" s="226"/>
      <c r="M133" s="52"/>
    </row>
    <row r="134" spans="3:13" ht="15.5">
      <c r="C134" s="52"/>
      <c r="D134" s="52"/>
      <c r="E134" s="52"/>
      <c r="F134" s="52"/>
      <c r="G134" s="52"/>
      <c r="H134" s="52"/>
      <c r="I134" s="52"/>
      <c r="J134" s="52"/>
      <c r="K134" s="52"/>
      <c r="L134" s="226"/>
      <c r="M134" s="52"/>
    </row>
    <row r="135" spans="3:13" ht="15.5">
      <c r="C135" s="52"/>
      <c r="D135" s="52"/>
      <c r="E135" s="52"/>
      <c r="F135" s="52"/>
      <c r="G135" s="52"/>
      <c r="H135" s="52"/>
      <c r="I135" s="52"/>
      <c r="J135" s="52"/>
      <c r="K135" s="52"/>
      <c r="L135" s="226"/>
      <c r="M135" s="52"/>
    </row>
    <row r="136" spans="3:13" ht="15.5">
      <c r="C136" s="52"/>
      <c r="D136" s="52"/>
      <c r="E136" s="52"/>
      <c r="F136" s="52"/>
      <c r="G136" s="52"/>
      <c r="H136" s="52"/>
      <c r="I136" s="52"/>
      <c r="J136" s="52"/>
      <c r="K136" s="52"/>
      <c r="L136" s="226"/>
      <c r="M136" s="52"/>
    </row>
    <row r="137" spans="3:13" ht="15.5">
      <c r="C137" s="52"/>
      <c r="D137" s="52"/>
      <c r="E137" s="52"/>
      <c r="F137" s="52"/>
      <c r="G137" s="52"/>
      <c r="H137" s="52"/>
      <c r="I137" s="52"/>
      <c r="J137" s="52"/>
      <c r="K137" s="52"/>
      <c r="L137" s="226"/>
      <c r="M137" s="52"/>
    </row>
    <row r="138" spans="3:13" ht="15.5">
      <c r="C138" s="52"/>
      <c r="D138" s="52"/>
      <c r="E138" s="52"/>
      <c r="F138" s="52"/>
      <c r="G138" s="52"/>
      <c r="H138" s="52"/>
      <c r="I138" s="52"/>
      <c r="J138" s="52"/>
      <c r="K138" s="52"/>
      <c r="L138" s="226"/>
      <c r="M138" s="52"/>
    </row>
    <row r="139" spans="3:13" ht="15.5">
      <c r="C139" s="52"/>
      <c r="D139" s="52"/>
      <c r="E139" s="52"/>
      <c r="F139" s="52"/>
      <c r="G139" s="52"/>
      <c r="H139" s="52"/>
      <c r="I139" s="52"/>
      <c r="J139" s="52"/>
      <c r="K139" s="52"/>
      <c r="L139" s="226"/>
      <c r="M139" s="52"/>
    </row>
    <row r="140" spans="3:13" ht="15.5">
      <c r="C140" s="52"/>
      <c r="D140" s="52"/>
      <c r="E140" s="52"/>
      <c r="F140" s="52"/>
      <c r="G140" s="52"/>
      <c r="H140" s="52"/>
      <c r="I140" s="52"/>
      <c r="J140" s="52"/>
      <c r="K140" s="52"/>
      <c r="L140" s="226"/>
      <c r="M140" s="52"/>
    </row>
    <row r="141" spans="3:13" ht="15.5">
      <c r="C141" s="52"/>
      <c r="D141" s="52"/>
      <c r="E141" s="52"/>
      <c r="F141" s="52"/>
      <c r="G141" s="52"/>
      <c r="H141" s="52"/>
      <c r="I141" s="52"/>
      <c r="J141" s="52"/>
      <c r="K141" s="52"/>
      <c r="L141" s="226"/>
      <c r="M141" s="52"/>
    </row>
    <row r="142" spans="3:13" ht="15.5">
      <c r="C142" s="52"/>
      <c r="D142" s="52"/>
      <c r="E142" s="52"/>
      <c r="F142" s="52"/>
      <c r="G142" s="52"/>
      <c r="H142" s="52"/>
      <c r="I142" s="52"/>
      <c r="J142" s="52"/>
      <c r="K142" s="52"/>
      <c r="L142" s="226"/>
      <c r="M142" s="52"/>
    </row>
    <row r="143" spans="3:13" ht="15.5">
      <c r="C143" s="52"/>
      <c r="D143" s="52"/>
      <c r="E143" s="52"/>
      <c r="F143" s="52"/>
      <c r="G143" s="52"/>
      <c r="H143" s="52"/>
      <c r="I143" s="52"/>
      <c r="J143" s="52"/>
      <c r="K143" s="52"/>
      <c r="L143" s="226"/>
      <c r="M143" s="52"/>
    </row>
    <row r="144" spans="3:13" ht="15.5">
      <c r="C144" s="52"/>
      <c r="D144" s="52"/>
      <c r="E144" s="52"/>
      <c r="F144" s="52"/>
      <c r="G144" s="52"/>
      <c r="H144" s="52"/>
      <c r="I144" s="52"/>
      <c r="J144" s="52"/>
      <c r="K144" s="52"/>
      <c r="L144" s="226"/>
      <c r="M144" s="52"/>
    </row>
    <row r="145" spans="3:13" ht="15.5">
      <c r="C145" s="52"/>
      <c r="D145" s="52"/>
      <c r="E145" s="52"/>
      <c r="F145" s="52"/>
      <c r="G145" s="52"/>
      <c r="H145" s="52"/>
      <c r="I145" s="52"/>
      <c r="J145" s="52"/>
      <c r="K145" s="52"/>
      <c r="L145" s="226"/>
      <c r="M145" s="52"/>
    </row>
    <row r="146" spans="3:13" ht="15.5">
      <c r="C146" s="52"/>
      <c r="D146" s="52"/>
      <c r="E146" s="52"/>
      <c r="F146" s="52"/>
      <c r="G146" s="52"/>
      <c r="H146" s="52"/>
      <c r="I146" s="52"/>
      <c r="J146" s="52"/>
      <c r="K146" s="52"/>
      <c r="L146" s="226"/>
      <c r="M146" s="52"/>
    </row>
    <row r="147" spans="3:13" ht="15.5">
      <c r="C147" s="52"/>
      <c r="D147" s="52"/>
      <c r="E147" s="52"/>
      <c r="F147" s="52"/>
      <c r="G147" s="52"/>
      <c r="H147" s="52"/>
      <c r="I147" s="52"/>
      <c r="J147" s="52"/>
      <c r="K147" s="52"/>
      <c r="L147" s="226"/>
      <c r="M147" s="52"/>
    </row>
    <row r="148" spans="3:13" ht="15.5">
      <c r="C148" s="52"/>
      <c r="D148" s="52"/>
      <c r="E148" s="52"/>
      <c r="F148" s="52"/>
      <c r="G148" s="52"/>
      <c r="H148" s="52"/>
      <c r="I148" s="52"/>
      <c r="J148" s="52"/>
      <c r="K148" s="52"/>
      <c r="L148" s="226"/>
      <c r="M148" s="52"/>
    </row>
    <row r="149" spans="3:13" ht="15.5">
      <c r="C149" s="52"/>
      <c r="D149" s="52"/>
      <c r="E149" s="52"/>
      <c r="F149" s="52"/>
      <c r="G149" s="52"/>
      <c r="H149" s="52"/>
      <c r="I149" s="52"/>
      <c r="J149" s="52"/>
      <c r="K149" s="52"/>
      <c r="L149" s="226"/>
      <c r="M149" s="52"/>
    </row>
    <row r="150" spans="3:13" ht="15.5">
      <c r="C150" s="52"/>
      <c r="D150" s="52"/>
      <c r="E150" s="52"/>
      <c r="F150" s="52"/>
      <c r="G150" s="52"/>
      <c r="H150" s="52"/>
      <c r="I150" s="52"/>
      <c r="J150" s="52"/>
      <c r="K150" s="52"/>
      <c r="L150" s="226"/>
      <c r="M150" s="52"/>
    </row>
    <row r="151" spans="3:13" ht="15.5">
      <c r="C151" s="52"/>
      <c r="D151" s="52"/>
      <c r="E151" s="52"/>
      <c r="F151" s="52"/>
      <c r="G151" s="52"/>
      <c r="H151" s="52"/>
      <c r="I151" s="52"/>
      <c r="J151" s="52"/>
      <c r="K151" s="52"/>
      <c r="L151" s="226"/>
      <c r="M151" s="52"/>
    </row>
    <row r="152" spans="3:13" ht="15.5">
      <c r="C152" s="52"/>
      <c r="D152" s="52"/>
      <c r="E152" s="52"/>
      <c r="F152" s="52"/>
      <c r="G152" s="52"/>
      <c r="H152" s="52"/>
      <c r="I152" s="52"/>
      <c r="J152" s="52"/>
      <c r="K152" s="52"/>
      <c r="L152" s="226"/>
      <c r="M152" s="52"/>
    </row>
    <row r="153" spans="3:13" ht="15.5">
      <c r="C153" s="52"/>
      <c r="D153" s="52"/>
      <c r="E153" s="52"/>
      <c r="F153" s="52"/>
      <c r="G153" s="52"/>
      <c r="H153" s="52"/>
      <c r="I153" s="52"/>
      <c r="J153" s="52"/>
      <c r="K153" s="52"/>
      <c r="L153" s="226"/>
      <c r="M153" s="52"/>
    </row>
    <row r="154" spans="3:13" ht="15.5">
      <c r="C154" s="52"/>
      <c r="D154" s="52"/>
      <c r="E154" s="52"/>
      <c r="F154" s="52"/>
      <c r="G154" s="52"/>
      <c r="H154" s="52"/>
      <c r="I154" s="52"/>
      <c r="J154" s="52"/>
      <c r="K154" s="52"/>
      <c r="L154" s="226"/>
      <c r="M154" s="52"/>
    </row>
    <row r="155" spans="3:13" ht="15.5">
      <c r="C155" s="52"/>
      <c r="D155" s="52"/>
      <c r="E155" s="52"/>
      <c r="F155" s="52"/>
      <c r="G155" s="52"/>
      <c r="H155" s="52"/>
      <c r="I155" s="52"/>
      <c r="J155" s="52"/>
      <c r="K155" s="52"/>
      <c r="L155" s="226"/>
      <c r="M155" s="52"/>
    </row>
    <row r="156" spans="3:13" ht="15.5">
      <c r="C156" s="52"/>
      <c r="D156" s="52"/>
      <c r="E156" s="52"/>
      <c r="F156" s="52"/>
      <c r="G156" s="52"/>
      <c r="H156" s="52"/>
      <c r="I156" s="52"/>
      <c r="J156" s="52"/>
      <c r="K156" s="52"/>
      <c r="L156" s="226"/>
      <c r="M156" s="52"/>
    </row>
    <row r="157" spans="3:13" ht="15.5">
      <c r="C157" s="52"/>
      <c r="D157" s="52"/>
      <c r="E157" s="52"/>
      <c r="F157" s="52"/>
      <c r="G157" s="52"/>
      <c r="H157" s="52"/>
      <c r="I157" s="52"/>
      <c r="J157" s="52"/>
      <c r="K157" s="52"/>
      <c r="L157" s="226"/>
      <c r="M157" s="52"/>
    </row>
    <row r="158" spans="3:13" ht="15.5">
      <c r="C158" s="52"/>
      <c r="D158" s="52"/>
      <c r="E158" s="52"/>
      <c r="F158" s="52"/>
      <c r="G158" s="52"/>
      <c r="H158" s="52"/>
      <c r="I158" s="52"/>
      <c r="J158" s="52"/>
      <c r="K158" s="52"/>
      <c r="L158" s="226"/>
      <c r="M158" s="52"/>
    </row>
    <row r="159" spans="3:13" ht="15.5">
      <c r="C159" s="52"/>
      <c r="D159" s="52"/>
      <c r="E159" s="52"/>
      <c r="F159" s="52"/>
      <c r="G159" s="52"/>
      <c r="H159" s="52"/>
      <c r="I159" s="52"/>
      <c r="J159" s="52"/>
      <c r="K159" s="52"/>
      <c r="L159" s="226"/>
      <c r="M159" s="52"/>
    </row>
    <row r="160" spans="3:13" ht="15.5">
      <c r="C160" s="52"/>
      <c r="D160" s="52"/>
      <c r="E160" s="52"/>
      <c r="F160" s="52"/>
      <c r="G160" s="52"/>
      <c r="H160" s="52"/>
      <c r="I160" s="52"/>
      <c r="J160" s="52"/>
      <c r="K160" s="52"/>
      <c r="L160" s="226"/>
      <c r="M160" s="52"/>
    </row>
    <row r="161" spans="3:13" ht="15.5">
      <c r="C161" s="52"/>
      <c r="D161" s="52"/>
      <c r="E161" s="52"/>
      <c r="F161" s="52"/>
      <c r="G161" s="52"/>
      <c r="H161" s="52"/>
      <c r="I161" s="52"/>
      <c r="J161" s="52"/>
      <c r="K161" s="52"/>
      <c r="L161" s="226"/>
      <c r="M161" s="52"/>
    </row>
    <row r="162" spans="3:13" ht="15.5">
      <c r="C162" s="52"/>
      <c r="D162" s="52"/>
      <c r="E162" s="52"/>
      <c r="F162" s="52"/>
      <c r="G162" s="52"/>
      <c r="H162" s="52"/>
      <c r="I162" s="52"/>
      <c r="J162" s="52"/>
      <c r="K162" s="52"/>
      <c r="L162" s="226"/>
      <c r="M162" s="52"/>
    </row>
    <row r="163" spans="3:13" ht="15.5">
      <c r="C163" s="52"/>
      <c r="D163" s="52"/>
      <c r="E163" s="52"/>
      <c r="F163" s="52"/>
      <c r="G163" s="52"/>
      <c r="H163" s="52"/>
      <c r="I163" s="52"/>
      <c r="J163" s="52"/>
      <c r="K163" s="52"/>
      <c r="L163" s="226"/>
      <c r="M163" s="52"/>
    </row>
    <row r="164" spans="3:13" ht="15.5">
      <c r="C164" s="52"/>
      <c r="D164" s="52"/>
      <c r="E164" s="52"/>
      <c r="F164" s="52"/>
      <c r="G164" s="52"/>
      <c r="H164" s="52"/>
      <c r="I164" s="52"/>
      <c r="J164" s="52"/>
      <c r="K164" s="52"/>
      <c r="L164" s="226"/>
      <c r="M164" s="52"/>
    </row>
    <row r="165" spans="3:13" ht="15.5">
      <c r="C165" s="52"/>
      <c r="D165" s="52"/>
      <c r="E165" s="52"/>
      <c r="F165" s="52"/>
      <c r="G165" s="52"/>
      <c r="H165" s="52"/>
      <c r="I165" s="52"/>
      <c r="J165" s="52"/>
      <c r="K165" s="52"/>
      <c r="L165" s="226"/>
      <c r="M165" s="52"/>
    </row>
    <row r="166" spans="3:13" ht="15.5">
      <c r="C166" s="52"/>
      <c r="D166" s="52"/>
      <c r="E166" s="52"/>
      <c r="F166" s="52"/>
      <c r="G166" s="52"/>
      <c r="H166" s="52"/>
      <c r="I166" s="52"/>
      <c r="J166" s="52"/>
      <c r="K166" s="52"/>
      <c r="L166" s="226"/>
      <c r="M166" s="52"/>
    </row>
    <row r="167" spans="3:13" ht="15.5">
      <c r="C167" s="52"/>
      <c r="D167" s="52"/>
      <c r="E167" s="52"/>
      <c r="F167" s="52"/>
      <c r="G167" s="52"/>
      <c r="H167" s="52"/>
      <c r="I167" s="52"/>
      <c r="J167" s="52"/>
      <c r="K167" s="52"/>
      <c r="L167" s="226"/>
      <c r="M167" s="52"/>
    </row>
    <row r="168" spans="3:13" ht="15.5">
      <c r="C168" s="52"/>
      <c r="D168" s="52"/>
      <c r="E168" s="52"/>
      <c r="F168" s="52"/>
      <c r="G168" s="52"/>
      <c r="H168" s="52"/>
      <c r="I168" s="52"/>
      <c r="J168" s="52"/>
      <c r="K168" s="52"/>
      <c r="L168" s="226"/>
      <c r="M168" s="52"/>
    </row>
    <row r="169" spans="3:13" ht="15.5">
      <c r="C169" s="52"/>
      <c r="D169" s="52"/>
      <c r="E169" s="52"/>
      <c r="F169" s="52"/>
      <c r="G169" s="52"/>
      <c r="H169" s="52"/>
      <c r="I169" s="52"/>
      <c r="J169" s="52"/>
      <c r="K169" s="52"/>
      <c r="L169" s="226"/>
      <c r="M169" s="52"/>
    </row>
    <row r="170" spans="3:13" ht="15.5">
      <c r="C170" s="52"/>
      <c r="D170" s="52"/>
      <c r="E170" s="52"/>
      <c r="F170" s="52"/>
      <c r="G170" s="52"/>
      <c r="H170" s="52"/>
      <c r="I170" s="52"/>
      <c r="J170" s="52"/>
      <c r="K170" s="52"/>
      <c r="L170" s="226"/>
      <c r="M170" s="52"/>
    </row>
    <row r="171" spans="3:13" ht="15.5">
      <c r="C171" s="52"/>
      <c r="D171" s="52"/>
      <c r="E171" s="52"/>
      <c r="F171" s="52"/>
      <c r="G171" s="52"/>
      <c r="H171" s="52"/>
      <c r="I171" s="52"/>
      <c r="J171" s="52"/>
      <c r="K171" s="52"/>
      <c r="L171" s="226"/>
      <c r="M171" s="52"/>
    </row>
    <row r="172" spans="3:13" ht="15.5">
      <c r="C172" s="52"/>
      <c r="D172" s="52"/>
      <c r="E172" s="52"/>
      <c r="F172" s="52"/>
      <c r="G172" s="52"/>
      <c r="H172" s="52"/>
      <c r="I172" s="52"/>
      <c r="J172" s="52"/>
      <c r="K172" s="52"/>
      <c r="L172" s="226"/>
      <c r="M172" s="52"/>
    </row>
    <row r="173" spans="3:13" ht="15.5">
      <c r="C173" s="52"/>
      <c r="D173" s="52"/>
      <c r="E173" s="52"/>
      <c r="F173" s="52"/>
      <c r="G173" s="52"/>
      <c r="H173" s="52"/>
      <c r="I173" s="52"/>
      <c r="J173" s="52"/>
      <c r="K173" s="52"/>
      <c r="L173" s="226"/>
      <c r="M173" s="52"/>
    </row>
    <row r="174" spans="3:13" ht="15.5">
      <c r="C174" s="52"/>
      <c r="D174" s="52"/>
      <c r="E174" s="52"/>
      <c r="F174" s="52"/>
      <c r="G174" s="52"/>
      <c r="H174" s="52"/>
      <c r="I174" s="52"/>
      <c r="J174" s="52"/>
      <c r="K174" s="52"/>
      <c r="L174" s="226"/>
      <c r="M174" s="52"/>
    </row>
    <row r="175" spans="3:13" ht="15.5">
      <c r="C175" s="52"/>
      <c r="D175" s="52"/>
      <c r="E175" s="52"/>
      <c r="F175" s="52"/>
      <c r="G175" s="52"/>
      <c r="H175" s="52"/>
      <c r="I175" s="52"/>
      <c r="J175" s="52"/>
      <c r="K175" s="52"/>
      <c r="L175" s="226"/>
      <c r="M175" s="52"/>
    </row>
    <row r="176" spans="3:13" ht="15.5">
      <c r="C176" s="52"/>
      <c r="D176" s="52"/>
      <c r="E176" s="52"/>
      <c r="F176" s="52"/>
      <c r="G176" s="52"/>
      <c r="H176" s="52"/>
      <c r="I176" s="52"/>
      <c r="J176" s="52"/>
      <c r="K176" s="52"/>
      <c r="L176" s="226"/>
      <c r="M176" s="52"/>
    </row>
    <row r="177" spans="3:13" ht="15.5">
      <c r="C177" s="52"/>
      <c r="D177" s="52"/>
      <c r="E177" s="52"/>
      <c r="F177" s="52"/>
      <c r="G177" s="52"/>
      <c r="H177" s="52"/>
      <c r="I177" s="52"/>
      <c r="J177" s="52"/>
      <c r="K177" s="52"/>
      <c r="L177" s="226"/>
      <c r="M177" s="52"/>
    </row>
    <row r="178" spans="3:13" ht="15.5">
      <c r="C178" s="52"/>
      <c r="D178" s="52"/>
      <c r="E178" s="52"/>
      <c r="F178" s="52"/>
      <c r="G178" s="52"/>
      <c r="H178" s="52"/>
      <c r="I178" s="52"/>
      <c r="J178" s="52"/>
      <c r="K178" s="52"/>
      <c r="L178" s="226"/>
      <c r="M178" s="52"/>
    </row>
    <row r="179" spans="3:13" ht="15.5">
      <c r="C179" s="52"/>
      <c r="D179" s="52"/>
      <c r="E179" s="52"/>
      <c r="F179" s="52"/>
      <c r="G179" s="52"/>
      <c r="H179" s="52"/>
      <c r="I179" s="52"/>
      <c r="J179" s="52"/>
      <c r="K179" s="52"/>
      <c r="L179" s="226"/>
      <c r="M179" s="52"/>
    </row>
    <row r="180" spans="3:13" ht="15.5">
      <c r="C180" s="52"/>
      <c r="D180" s="52"/>
      <c r="E180" s="52"/>
      <c r="F180" s="52"/>
      <c r="G180" s="52"/>
      <c r="H180" s="52"/>
      <c r="I180" s="52"/>
      <c r="J180" s="52"/>
      <c r="K180" s="52"/>
      <c r="L180" s="226"/>
      <c r="M180" s="52"/>
    </row>
    <row r="181" spans="3:13" ht="15.5">
      <c r="C181" s="52"/>
      <c r="D181" s="52"/>
      <c r="E181" s="52"/>
      <c r="F181" s="52"/>
      <c r="G181" s="52"/>
      <c r="H181" s="52"/>
      <c r="I181" s="52"/>
      <c r="J181" s="52"/>
      <c r="K181" s="52"/>
      <c r="L181" s="226"/>
      <c r="M181" s="52"/>
    </row>
    <row r="182" spans="3:13" ht="15.5">
      <c r="C182" s="52"/>
      <c r="D182" s="52"/>
      <c r="E182" s="52"/>
      <c r="F182" s="52"/>
      <c r="G182" s="52"/>
      <c r="H182" s="52"/>
      <c r="I182" s="52"/>
      <c r="J182" s="52"/>
      <c r="K182" s="52"/>
      <c r="L182" s="226"/>
      <c r="M182" s="52"/>
    </row>
    <row r="183" spans="3:13" ht="15.5">
      <c r="C183" s="52"/>
      <c r="D183" s="52"/>
      <c r="E183" s="52"/>
      <c r="F183" s="52"/>
      <c r="G183" s="52"/>
      <c r="H183" s="52"/>
      <c r="I183" s="52"/>
      <c r="J183" s="52"/>
      <c r="K183" s="52"/>
      <c r="L183" s="226"/>
      <c r="M183" s="52"/>
    </row>
    <row r="184" spans="3:13" ht="15.5">
      <c r="C184" s="52"/>
      <c r="D184" s="52"/>
      <c r="E184" s="52"/>
      <c r="F184" s="52"/>
      <c r="G184" s="52"/>
      <c r="H184" s="52"/>
      <c r="I184" s="52"/>
      <c r="J184" s="52"/>
      <c r="K184" s="52"/>
      <c r="L184" s="226"/>
      <c r="M184" s="52"/>
    </row>
    <row r="185" spans="3:13" ht="15.5">
      <c r="C185" s="52"/>
      <c r="D185" s="52"/>
      <c r="E185" s="52"/>
      <c r="F185" s="52"/>
      <c r="G185" s="52"/>
      <c r="H185" s="52"/>
      <c r="I185" s="52"/>
      <c r="J185" s="52"/>
      <c r="K185" s="52"/>
      <c r="L185" s="226"/>
      <c r="M185" s="52"/>
    </row>
    <row r="186" spans="3:13" ht="15.5">
      <c r="C186" s="52"/>
      <c r="D186" s="52"/>
      <c r="E186" s="52"/>
      <c r="F186" s="52"/>
      <c r="G186" s="52"/>
      <c r="H186" s="52"/>
      <c r="I186" s="52"/>
      <c r="J186" s="52"/>
      <c r="K186" s="52"/>
      <c r="L186" s="226"/>
      <c r="M186" s="52"/>
    </row>
    <row r="187" spans="3:13" ht="15.5">
      <c r="C187" s="52"/>
      <c r="D187" s="52"/>
      <c r="E187" s="52"/>
      <c r="F187" s="52"/>
      <c r="G187" s="52"/>
      <c r="H187" s="52"/>
      <c r="I187" s="52"/>
      <c r="J187" s="52"/>
      <c r="K187" s="52"/>
      <c r="L187" s="226"/>
      <c r="M187" s="52"/>
    </row>
    <row r="188" spans="3:13" ht="15.5">
      <c r="C188" s="52"/>
      <c r="D188" s="52"/>
      <c r="E188" s="52"/>
      <c r="F188" s="52"/>
      <c r="G188" s="52"/>
      <c r="H188" s="52"/>
      <c r="I188" s="52"/>
      <c r="J188" s="52"/>
      <c r="K188" s="52"/>
      <c r="L188" s="226"/>
      <c r="M188" s="52"/>
    </row>
    <row r="189" spans="3:13" ht="15.5">
      <c r="C189" s="52"/>
      <c r="D189" s="52"/>
      <c r="E189" s="52"/>
      <c r="F189" s="52"/>
      <c r="G189" s="52"/>
      <c r="H189" s="52"/>
      <c r="I189" s="52"/>
      <c r="J189" s="52"/>
      <c r="K189" s="52"/>
      <c r="L189" s="226"/>
      <c r="M189" s="52"/>
    </row>
    <row r="190" spans="3:13" ht="15.5">
      <c r="C190" s="52"/>
      <c r="D190" s="52"/>
      <c r="E190" s="52"/>
      <c r="F190" s="52"/>
      <c r="G190" s="52"/>
      <c r="H190" s="52"/>
      <c r="I190" s="52"/>
      <c r="J190" s="52"/>
      <c r="K190" s="52"/>
      <c r="L190" s="226"/>
      <c r="M190" s="52"/>
    </row>
    <row r="191" spans="3:13" ht="15.5">
      <c r="C191" s="52"/>
      <c r="D191" s="52"/>
      <c r="E191" s="52"/>
      <c r="F191" s="52"/>
      <c r="G191" s="52"/>
      <c r="H191" s="52"/>
      <c r="I191" s="52"/>
      <c r="J191" s="52"/>
      <c r="K191" s="52"/>
      <c r="L191" s="226"/>
      <c r="M191" s="52"/>
    </row>
    <row r="192" spans="3:13" ht="15.5">
      <c r="C192" s="52"/>
      <c r="D192" s="52"/>
      <c r="E192" s="52"/>
      <c r="F192" s="52"/>
      <c r="G192" s="52"/>
      <c r="H192" s="52"/>
      <c r="I192" s="52"/>
      <c r="J192" s="52"/>
      <c r="K192" s="52"/>
      <c r="L192" s="226"/>
      <c r="M192" s="52"/>
    </row>
    <row r="193" spans="3:13" ht="15.5">
      <c r="C193" s="52"/>
      <c r="D193" s="52"/>
      <c r="E193" s="52"/>
      <c r="F193" s="52"/>
      <c r="G193" s="52"/>
      <c r="H193" s="52"/>
      <c r="I193" s="52"/>
      <c r="J193" s="52"/>
      <c r="K193" s="52"/>
      <c r="L193" s="226"/>
      <c r="M193" s="52"/>
    </row>
    <row r="194" spans="3:13" ht="15.5">
      <c r="C194" s="52"/>
      <c r="D194" s="52"/>
      <c r="E194" s="52"/>
      <c r="F194" s="52"/>
      <c r="G194" s="52"/>
      <c r="H194" s="52"/>
      <c r="I194" s="52"/>
      <c r="J194" s="52"/>
      <c r="K194" s="52"/>
      <c r="L194" s="226"/>
      <c r="M194" s="52"/>
    </row>
    <row r="195" spans="3:13" ht="15.5">
      <c r="C195" s="52"/>
      <c r="D195" s="52"/>
      <c r="E195" s="52"/>
      <c r="F195" s="52"/>
      <c r="G195" s="52"/>
      <c r="H195" s="52"/>
      <c r="I195" s="52"/>
      <c r="J195" s="52"/>
      <c r="K195" s="52"/>
      <c r="L195" s="226"/>
      <c r="M195" s="52"/>
    </row>
    <row r="196" spans="3:13" ht="15.5">
      <c r="C196" s="52"/>
      <c r="D196" s="52"/>
      <c r="E196" s="52"/>
      <c r="F196" s="52"/>
      <c r="G196" s="52"/>
      <c r="H196" s="52"/>
      <c r="I196" s="52"/>
      <c r="J196" s="52"/>
      <c r="K196" s="52"/>
      <c r="L196" s="226"/>
      <c r="M196" s="52"/>
    </row>
    <row r="197" spans="3:13" ht="15.5">
      <c r="C197" s="52"/>
      <c r="D197" s="52"/>
      <c r="E197" s="52"/>
      <c r="F197" s="52"/>
      <c r="G197" s="52"/>
      <c r="H197" s="52"/>
      <c r="I197" s="52"/>
      <c r="J197" s="52"/>
      <c r="K197" s="52"/>
      <c r="L197" s="226"/>
      <c r="M197" s="52"/>
    </row>
    <row r="198" spans="3:13" ht="15.5">
      <c r="C198" s="52"/>
      <c r="D198" s="52"/>
      <c r="E198" s="52"/>
      <c r="F198" s="52"/>
      <c r="G198" s="52"/>
      <c r="H198" s="52"/>
      <c r="I198" s="52"/>
      <c r="J198" s="52"/>
      <c r="K198" s="52"/>
      <c r="L198" s="226"/>
      <c r="M198" s="52"/>
    </row>
    <row r="199" spans="3:13" ht="15.5">
      <c r="C199" s="52"/>
      <c r="D199" s="52"/>
      <c r="E199" s="52"/>
      <c r="F199" s="52"/>
      <c r="G199" s="52"/>
      <c r="H199" s="52"/>
      <c r="I199" s="52"/>
      <c r="J199" s="52"/>
      <c r="K199" s="52"/>
      <c r="L199" s="226"/>
      <c r="M199" s="52"/>
    </row>
    <row r="200" spans="3:13" ht="15.5">
      <c r="C200" s="52"/>
      <c r="D200" s="52"/>
      <c r="E200" s="52"/>
      <c r="F200" s="52"/>
      <c r="G200" s="52"/>
      <c r="H200" s="52"/>
      <c r="I200" s="52"/>
      <c r="J200" s="52"/>
      <c r="K200" s="52"/>
      <c r="L200" s="226"/>
      <c r="M200" s="52"/>
    </row>
    <row r="201" spans="3:13" ht="15.5">
      <c r="C201" s="52"/>
      <c r="D201" s="52"/>
      <c r="E201" s="52"/>
      <c r="F201" s="52"/>
      <c r="G201" s="52"/>
      <c r="H201" s="52"/>
      <c r="I201" s="52"/>
      <c r="J201" s="52"/>
      <c r="K201" s="52"/>
      <c r="L201" s="226"/>
      <c r="M201" s="52"/>
    </row>
    <row r="202" spans="3:13" ht="15.5">
      <c r="C202" s="52"/>
      <c r="D202" s="52"/>
      <c r="E202" s="52"/>
      <c r="F202" s="52"/>
      <c r="G202" s="52"/>
      <c r="H202" s="52"/>
      <c r="I202" s="52"/>
      <c r="J202" s="52"/>
      <c r="K202" s="52"/>
      <c r="L202" s="226"/>
      <c r="M202" s="52"/>
    </row>
    <row r="203" spans="3:13" ht="15.5">
      <c r="C203" s="52"/>
      <c r="D203" s="52"/>
      <c r="E203" s="52"/>
      <c r="F203" s="52"/>
      <c r="G203" s="52"/>
      <c r="H203" s="52"/>
      <c r="I203" s="52"/>
      <c r="J203" s="52"/>
      <c r="K203" s="52"/>
      <c r="L203" s="226"/>
      <c r="M203" s="52"/>
    </row>
    <row r="204" spans="3:13" ht="15.5">
      <c r="C204" s="52"/>
      <c r="D204" s="52"/>
      <c r="E204" s="52"/>
      <c r="F204" s="52"/>
      <c r="G204" s="52"/>
      <c r="H204" s="52"/>
      <c r="I204" s="52"/>
      <c r="J204" s="52"/>
      <c r="K204" s="52"/>
      <c r="L204" s="226"/>
      <c r="M204" s="52"/>
    </row>
    <row r="205" spans="3:13" ht="15.5">
      <c r="C205" s="52"/>
      <c r="D205" s="52"/>
      <c r="E205" s="52"/>
      <c r="F205" s="52"/>
      <c r="G205" s="52"/>
      <c r="H205" s="52"/>
      <c r="I205" s="52"/>
      <c r="J205" s="52"/>
      <c r="K205" s="52"/>
      <c r="L205" s="226"/>
      <c r="M205" s="52"/>
    </row>
    <row r="206" spans="3:13" ht="15.5">
      <c r="C206" s="52"/>
      <c r="D206" s="52"/>
      <c r="E206" s="52"/>
      <c r="F206" s="52"/>
      <c r="G206" s="52"/>
      <c r="H206" s="52"/>
      <c r="I206" s="52"/>
      <c r="J206" s="52"/>
      <c r="K206" s="52"/>
      <c r="L206" s="226"/>
      <c r="M206" s="52"/>
    </row>
    <row r="207" spans="3:13" ht="15.5">
      <c r="C207" s="52"/>
      <c r="D207" s="52"/>
      <c r="E207" s="52"/>
      <c r="F207" s="52"/>
      <c r="G207" s="52"/>
      <c r="H207" s="52"/>
      <c r="I207" s="52"/>
      <c r="J207" s="52"/>
      <c r="K207" s="52"/>
      <c r="L207" s="226"/>
      <c r="M207" s="52"/>
    </row>
    <row r="208" spans="3:13" ht="15.5">
      <c r="C208" s="52"/>
      <c r="D208" s="52"/>
      <c r="E208" s="52"/>
      <c r="F208" s="52"/>
      <c r="G208" s="52"/>
      <c r="H208" s="52"/>
      <c r="I208" s="52"/>
      <c r="J208" s="52"/>
      <c r="K208" s="52"/>
      <c r="L208" s="226"/>
      <c r="M208" s="52"/>
    </row>
    <row r="209" spans="3:13" ht="15.5">
      <c r="C209" s="52"/>
      <c r="D209" s="52"/>
      <c r="E209" s="52"/>
      <c r="F209" s="52"/>
      <c r="G209" s="52"/>
      <c r="H209" s="52"/>
      <c r="I209" s="52"/>
      <c r="J209" s="52"/>
      <c r="K209" s="52"/>
      <c r="L209" s="226"/>
      <c r="M209" s="52"/>
    </row>
    <row r="210" spans="3:13" ht="15.5">
      <c r="C210" s="52"/>
      <c r="D210" s="52"/>
      <c r="E210" s="52"/>
      <c r="F210" s="52"/>
      <c r="G210" s="52"/>
      <c r="H210" s="52"/>
      <c r="I210" s="52"/>
      <c r="J210" s="52"/>
      <c r="K210" s="52"/>
      <c r="L210" s="226"/>
      <c r="M210" s="52"/>
    </row>
    <row r="211" spans="3:13" ht="15.5">
      <c r="C211" s="52"/>
      <c r="D211" s="52"/>
      <c r="E211" s="52"/>
      <c r="F211" s="52"/>
      <c r="G211" s="52"/>
      <c r="H211" s="52"/>
      <c r="I211" s="52"/>
      <c r="J211" s="52"/>
      <c r="K211" s="52"/>
      <c r="L211" s="226"/>
      <c r="M211" s="52"/>
    </row>
    <row r="212" spans="3:13" ht="15.5">
      <c r="C212" s="52"/>
      <c r="D212" s="52"/>
      <c r="E212" s="52"/>
      <c r="F212" s="52"/>
      <c r="G212" s="52"/>
      <c r="H212" s="52"/>
      <c r="I212" s="52"/>
      <c r="J212" s="52"/>
      <c r="K212" s="52"/>
      <c r="L212" s="226"/>
      <c r="M212" s="52"/>
    </row>
    <row r="213" spans="3:13" ht="15.5">
      <c r="C213" s="52"/>
      <c r="D213" s="52"/>
      <c r="E213" s="52"/>
      <c r="F213" s="52"/>
      <c r="G213" s="52"/>
      <c r="H213" s="52"/>
      <c r="I213" s="52"/>
      <c r="J213" s="52"/>
      <c r="K213" s="52"/>
      <c r="L213" s="226"/>
      <c r="M213" s="52"/>
    </row>
    <row r="214" spans="3:13" ht="15.5">
      <c r="C214" s="52"/>
      <c r="D214" s="52"/>
      <c r="E214" s="52"/>
      <c r="F214" s="52"/>
      <c r="G214" s="52"/>
      <c r="H214" s="52"/>
      <c r="I214" s="52"/>
      <c r="J214" s="52"/>
      <c r="K214" s="52"/>
      <c r="L214" s="226"/>
      <c r="M214" s="52"/>
    </row>
    <row r="215" spans="3:13" ht="15.5">
      <c r="C215" s="52"/>
      <c r="D215" s="52"/>
      <c r="E215" s="52"/>
      <c r="F215" s="52"/>
      <c r="G215" s="52"/>
      <c r="H215" s="52"/>
      <c r="I215" s="52"/>
      <c r="J215" s="52"/>
      <c r="K215" s="52"/>
      <c r="L215" s="226"/>
      <c r="M215" s="52"/>
    </row>
    <row r="216" spans="3:13" ht="15.5">
      <c r="C216" s="52"/>
      <c r="D216" s="52"/>
      <c r="E216" s="52"/>
      <c r="F216" s="52"/>
      <c r="G216" s="52"/>
      <c r="H216" s="52"/>
      <c r="I216" s="52"/>
      <c r="J216" s="52"/>
      <c r="K216" s="52"/>
      <c r="L216" s="226"/>
      <c r="M216" s="52"/>
    </row>
    <row r="217" spans="3:13" ht="15.5">
      <c r="C217" s="52"/>
      <c r="D217" s="52"/>
      <c r="E217" s="52"/>
      <c r="F217" s="52"/>
      <c r="G217" s="52"/>
      <c r="H217" s="52"/>
      <c r="I217" s="52"/>
      <c r="J217" s="52"/>
      <c r="K217" s="52"/>
      <c r="L217" s="226"/>
      <c r="M217" s="52"/>
    </row>
    <row r="218" spans="3:13" ht="15.5">
      <c r="C218" s="52"/>
      <c r="D218" s="52"/>
      <c r="E218" s="52"/>
      <c r="F218" s="52"/>
      <c r="G218" s="52"/>
      <c r="H218" s="52"/>
      <c r="I218" s="52"/>
      <c r="J218" s="52"/>
      <c r="K218" s="52"/>
      <c r="L218" s="226"/>
      <c r="M218" s="52"/>
    </row>
    <row r="219" spans="3:13" ht="15.5">
      <c r="C219" s="52"/>
      <c r="D219" s="52"/>
      <c r="E219" s="52"/>
      <c r="F219" s="52"/>
      <c r="G219" s="52"/>
      <c r="H219" s="52"/>
      <c r="I219" s="52"/>
      <c r="J219" s="52"/>
      <c r="K219" s="52"/>
      <c r="L219" s="226"/>
      <c r="M219" s="52"/>
    </row>
    <row r="220" spans="3:13" ht="15.5">
      <c r="C220" s="52"/>
      <c r="D220" s="52"/>
      <c r="E220" s="52"/>
      <c r="F220" s="52"/>
      <c r="G220" s="52"/>
      <c r="H220" s="52"/>
      <c r="I220" s="52"/>
      <c r="J220" s="52"/>
      <c r="K220" s="52"/>
      <c r="L220" s="226"/>
      <c r="M220" s="52"/>
    </row>
    <row r="221" spans="3:13" ht="15.5">
      <c r="C221" s="52"/>
      <c r="D221" s="52"/>
      <c r="E221" s="52"/>
      <c r="F221" s="52"/>
      <c r="G221" s="52"/>
      <c r="H221" s="52"/>
      <c r="I221" s="52"/>
      <c r="J221" s="52"/>
      <c r="K221" s="52"/>
      <c r="L221" s="226"/>
      <c r="M221" s="52"/>
    </row>
    <row r="222" spans="3:13" ht="15.5">
      <c r="C222" s="52"/>
      <c r="D222" s="52"/>
      <c r="E222" s="52"/>
      <c r="F222" s="52"/>
      <c r="G222" s="52"/>
      <c r="H222" s="52"/>
      <c r="I222" s="52"/>
      <c r="J222" s="52"/>
      <c r="K222" s="52"/>
      <c r="L222" s="226"/>
      <c r="M222" s="52"/>
    </row>
    <row r="223" spans="3:13" ht="15.5">
      <c r="C223" s="52"/>
      <c r="D223" s="52"/>
      <c r="E223" s="52"/>
      <c r="F223" s="52"/>
      <c r="G223" s="52"/>
      <c r="H223" s="52"/>
      <c r="I223" s="52"/>
      <c r="J223" s="52"/>
      <c r="K223" s="52"/>
      <c r="L223" s="226"/>
      <c r="M223" s="52"/>
    </row>
    <row r="224" spans="3:13" ht="15.5">
      <c r="C224" s="52"/>
      <c r="D224" s="52"/>
      <c r="E224" s="52"/>
      <c r="F224" s="52"/>
      <c r="G224" s="52"/>
      <c r="H224" s="52"/>
      <c r="I224" s="52"/>
      <c r="J224" s="52"/>
      <c r="K224" s="52"/>
      <c r="L224" s="226"/>
      <c r="M224" s="52"/>
    </row>
    <row r="225" spans="3:13" ht="15.5">
      <c r="C225" s="52"/>
      <c r="D225" s="52"/>
      <c r="E225" s="52"/>
      <c r="F225" s="52"/>
      <c r="G225" s="52"/>
      <c r="H225" s="52"/>
      <c r="I225" s="52"/>
      <c r="J225" s="52"/>
      <c r="K225" s="52"/>
      <c r="L225" s="226"/>
      <c r="M225" s="52"/>
    </row>
    <row r="226" spans="3:13" ht="15.5">
      <c r="C226" s="52"/>
      <c r="D226" s="52"/>
      <c r="E226" s="52"/>
      <c r="F226" s="52"/>
      <c r="G226" s="52"/>
      <c r="H226" s="52"/>
      <c r="I226" s="52"/>
      <c r="J226" s="52"/>
      <c r="K226" s="52"/>
      <c r="L226" s="226"/>
      <c r="M226" s="52"/>
    </row>
    <row r="227" spans="3:13" ht="15.5">
      <c r="C227" s="52"/>
      <c r="D227" s="52"/>
      <c r="E227" s="52"/>
      <c r="F227" s="52"/>
      <c r="G227" s="52"/>
      <c r="H227" s="52"/>
      <c r="I227" s="52"/>
      <c r="J227" s="52"/>
      <c r="K227" s="52"/>
      <c r="L227" s="226"/>
      <c r="M227" s="52"/>
    </row>
    <row r="228" spans="3:13" ht="15.5">
      <c r="C228" s="52"/>
      <c r="D228" s="52"/>
      <c r="E228" s="52"/>
      <c r="F228" s="52"/>
      <c r="G228" s="52"/>
      <c r="H228" s="52"/>
      <c r="I228" s="52"/>
      <c r="J228" s="52"/>
      <c r="K228" s="52"/>
      <c r="L228" s="226"/>
      <c r="M228" s="52"/>
    </row>
    <row r="229" spans="3:13" ht="15.5">
      <c r="C229" s="52"/>
      <c r="D229" s="52"/>
      <c r="E229" s="52"/>
      <c r="F229" s="52"/>
      <c r="G229" s="52"/>
      <c r="H229" s="52"/>
      <c r="I229" s="52"/>
      <c r="J229" s="52"/>
      <c r="K229" s="52"/>
      <c r="L229" s="226"/>
      <c r="M229" s="52"/>
    </row>
    <row r="230" spans="3:13" ht="15.5">
      <c r="C230" s="52"/>
      <c r="D230" s="52"/>
      <c r="E230" s="52"/>
      <c r="F230" s="52"/>
      <c r="G230" s="52"/>
      <c r="H230" s="52"/>
      <c r="I230" s="52"/>
      <c r="J230" s="52"/>
      <c r="K230" s="52"/>
      <c r="L230" s="226"/>
      <c r="M230" s="52"/>
    </row>
    <row r="231" spans="3:13" ht="15.5">
      <c r="C231" s="52"/>
      <c r="D231" s="52"/>
      <c r="E231" s="52"/>
      <c r="F231" s="52"/>
      <c r="G231" s="52"/>
      <c r="H231" s="52"/>
      <c r="I231" s="52"/>
      <c r="J231" s="52"/>
      <c r="K231" s="52"/>
      <c r="L231" s="226"/>
      <c r="M231" s="52"/>
    </row>
    <row r="232" spans="3:13" ht="15.5">
      <c r="C232" s="52"/>
      <c r="D232" s="52"/>
      <c r="E232" s="52"/>
      <c r="F232" s="52"/>
      <c r="G232" s="52"/>
      <c r="H232" s="52"/>
      <c r="I232" s="52"/>
      <c r="J232" s="52"/>
      <c r="K232" s="52"/>
      <c r="L232" s="226"/>
      <c r="M232" s="52"/>
    </row>
    <row r="233" spans="3:13" ht="15.5">
      <c r="C233" s="52"/>
      <c r="D233" s="52"/>
      <c r="E233" s="52"/>
      <c r="F233" s="52"/>
      <c r="G233" s="52"/>
      <c r="H233" s="52"/>
      <c r="I233" s="52"/>
      <c r="J233" s="52"/>
      <c r="K233" s="52"/>
      <c r="L233" s="226"/>
      <c r="M233" s="52"/>
    </row>
    <row r="234" spans="3:13" ht="15.5">
      <c r="C234" s="52"/>
      <c r="D234" s="52"/>
      <c r="E234" s="52"/>
      <c r="F234" s="52"/>
      <c r="G234" s="52"/>
      <c r="H234" s="52"/>
      <c r="I234" s="52"/>
      <c r="J234" s="52"/>
      <c r="K234" s="52"/>
      <c r="L234" s="226"/>
      <c r="M234" s="52"/>
    </row>
    <row r="235" spans="3:13" ht="15.5">
      <c r="C235" s="52"/>
      <c r="D235" s="52"/>
      <c r="E235" s="52"/>
      <c r="F235" s="52"/>
      <c r="G235" s="52"/>
      <c r="H235" s="52"/>
      <c r="I235" s="52"/>
      <c r="J235" s="52"/>
      <c r="K235" s="52"/>
      <c r="L235" s="226"/>
      <c r="M235" s="52"/>
    </row>
    <row r="236" spans="3:13" ht="15.5">
      <c r="C236" s="52"/>
      <c r="D236" s="52"/>
      <c r="E236" s="52"/>
      <c r="F236" s="52"/>
      <c r="G236" s="52"/>
      <c r="H236" s="52"/>
      <c r="I236" s="52"/>
      <c r="J236" s="52"/>
      <c r="K236" s="52"/>
      <c r="L236" s="226"/>
      <c r="M236" s="52"/>
    </row>
    <row r="237" spans="3:13" ht="15.5">
      <c r="C237" s="52"/>
      <c r="D237" s="52"/>
      <c r="E237" s="52"/>
      <c r="F237" s="52"/>
      <c r="G237" s="52"/>
      <c r="H237" s="52"/>
      <c r="I237" s="52"/>
      <c r="J237" s="52"/>
      <c r="K237" s="52"/>
      <c r="L237" s="226"/>
      <c r="M237" s="52"/>
    </row>
    <row r="238" spans="3:13" ht="15.5">
      <c r="C238" s="52"/>
      <c r="D238" s="52"/>
      <c r="E238" s="52"/>
      <c r="F238" s="52"/>
      <c r="G238" s="52"/>
      <c r="H238" s="52"/>
      <c r="I238" s="52"/>
      <c r="J238" s="52"/>
      <c r="K238" s="52"/>
      <c r="L238" s="226"/>
      <c r="M238" s="52"/>
    </row>
    <row r="239" spans="3:13" ht="15.5">
      <c r="C239" s="52"/>
      <c r="D239" s="52"/>
      <c r="E239" s="52"/>
      <c r="F239" s="52"/>
      <c r="G239" s="52"/>
      <c r="H239" s="52"/>
      <c r="I239" s="52"/>
      <c r="J239" s="52"/>
      <c r="K239" s="52"/>
      <c r="L239" s="226"/>
      <c r="M239" s="52"/>
    </row>
    <row r="240" spans="3:13" ht="15.5">
      <c r="C240" s="52"/>
      <c r="D240" s="52"/>
      <c r="E240" s="52"/>
      <c r="F240" s="52"/>
      <c r="G240" s="52"/>
      <c r="H240" s="52"/>
      <c r="I240" s="52"/>
      <c r="J240" s="52"/>
      <c r="K240" s="52"/>
      <c r="L240" s="226"/>
      <c r="M240" s="52"/>
    </row>
    <row r="241" spans="3:13" ht="15.5">
      <c r="C241" s="52"/>
      <c r="D241" s="52"/>
      <c r="E241" s="52"/>
      <c r="F241" s="52"/>
      <c r="G241" s="52"/>
      <c r="H241" s="52"/>
      <c r="I241" s="52"/>
      <c r="J241" s="52"/>
      <c r="K241" s="52"/>
      <c r="L241" s="226"/>
      <c r="M241" s="52"/>
    </row>
    <row r="242" spans="3:13" ht="15.5">
      <c r="C242" s="52"/>
      <c r="D242" s="52"/>
      <c r="E242" s="52"/>
      <c r="F242" s="52"/>
      <c r="G242" s="52"/>
      <c r="H242" s="52"/>
      <c r="I242" s="52"/>
      <c r="J242" s="52"/>
      <c r="K242" s="52"/>
      <c r="L242" s="226"/>
      <c r="M242" s="52"/>
    </row>
    <row r="243" spans="3:13" ht="15.5">
      <c r="C243" s="52"/>
      <c r="D243" s="52"/>
      <c r="E243" s="52"/>
      <c r="F243" s="52"/>
      <c r="G243" s="52"/>
      <c r="H243" s="52"/>
      <c r="I243" s="52"/>
      <c r="J243" s="52"/>
      <c r="K243" s="52"/>
      <c r="L243" s="226"/>
      <c r="M243" s="52"/>
    </row>
    <row r="244" spans="3:13" ht="15.5">
      <c r="C244" s="52"/>
      <c r="D244" s="52"/>
      <c r="E244" s="52"/>
      <c r="F244" s="52"/>
      <c r="G244" s="52"/>
      <c r="H244" s="52"/>
      <c r="I244" s="52"/>
      <c r="J244" s="52"/>
      <c r="K244" s="52"/>
      <c r="L244" s="226"/>
      <c r="M244" s="52"/>
    </row>
    <row r="245" spans="3:13" ht="15.5">
      <c r="C245" s="52"/>
      <c r="D245" s="52"/>
      <c r="E245" s="52"/>
      <c r="F245" s="52"/>
      <c r="G245" s="52"/>
      <c r="H245" s="52"/>
      <c r="I245" s="52"/>
      <c r="J245" s="52"/>
      <c r="K245" s="52"/>
      <c r="L245" s="226"/>
      <c r="M245" s="52"/>
    </row>
    <row r="246" spans="3:13" ht="15.5">
      <c r="C246" s="52"/>
      <c r="D246" s="52"/>
      <c r="E246" s="52"/>
      <c r="F246" s="52"/>
      <c r="G246" s="52"/>
      <c r="H246" s="52"/>
      <c r="I246" s="52"/>
      <c r="J246" s="52"/>
      <c r="K246" s="52"/>
      <c r="L246" s="226"/>
      <c r="M246" s="52"/>
    </row>
    <row r="247" spans="3:13" ht="15.5">
      <c r="C247" s="52"/>
      <c r="D247" s="52"/>
      <c r="E247" s="52"/>
      <c r="F247" s="52"/>
      <c r="G247" s="52"/>
      <c r="H247" s="52"/>
      <c r="I247" s="52"/>
      <c r="J247" s="52"/>
      <c r="K247" s="52"/>
      <c r="L247" s="226"/>
      <c r="M247" s="52"/>
    </row>
    <row r="248" spans="3:13" ht="15.5">
      <c r="C248" s="52"/>
      <c r="D248" s="52"/>
      <c r="E248" s="52"/>
      <c r="F248" s="52"/>
      <c r="G248" s="52"/>
      <c r="H248" s="52"/>
      <c r="I248" s="52"/>
      <c r="J248" s="52"/>
      <c r="K248" s="52"/>
      <c r="L248" s="226"/>
      <c r="M248" s="52"/>
    </row>
    <row r="249" spans="3:13" ht="15.5">
      <c r="C249" s="52"/>
      <c r="D249" s="52"/>
      <c r="E249" s="52"/>
      <c r="F249" s="52"/>
      <c r="G249" s="52"/>
      <c r="H249" s="52"/>
      <c r="I249" s="52"/>
      <c r="J249" s="52"/>
      <c r="K249" s="52"/>
      <c r="L249" s="226"/>
      <c r="M249" s="52"/>
    </row>
    <row r="250" spans="3:13" ht="15.5">
      <c r="C250" s="52"/>
      <c r="D250" s="52"/>
      <c r="E250" s="52"/>
      <c r="F250" s="52"/>
      <c r="G250" s="52"/>
      <c r="H250" s="52"/>
      <c r="I250" s="52"/>
      <c r="J250" s="52"/>
      <c r="K250" s="52"/>
      <c r="L250" s="226"/>
      <c r="M250" s="52"/>
    </row>
    <row r="251" spans="3:13" ht="15.5">
      <c r="C251" s="52"/>
      <c r="D251" s="52"/>
      <c r="E251" s="52"/>
      <c r="F251" s="52"/>
      <c r="G251" s="52"/>
      <c r="H251" s="52"/>
      <c r="I251" s="52"/>
      <c r="J251" s="52"/>
      <c r="K251" s="52"/>
      <c r="L251" s="226"/>
      <c r="M251" s="52"/>
    </row>
    <row r="252" spans="3:13" ht="15.5">
      <c r="C252" s="52"/>
      <c r="D252" s="52"/>
      <c r="E252" s="52"/>
      <c r="F252" s="52"/>
      <c r="G252" s="52"/>
      <c r="H252" s="52"/>
      <c r="I252" s="52"/>
      <c r="J252" s="52"/>
      <c r="K252" s="52"/>
      <c r="L252" s="226"/>
      <c r="M252" s="52"/>
    </row>
    <row r="253" spans="3:13" ht="15.5">
      <c r="C253" s="52"/>
      <c r="D253" s="52"/>
      <c r="E253" s="52"/>
      <c r="F253" s="52"/>
      <c r="G253" s="52"/>
      <c r="H253" s="52"/>
      <c r="I253" s="52"/>
      <c r="J253" s="52"/>
      <c r="K253" s="52"/>
      <c r="L253" s="226"/>
      <c r="M253" s="52"/>
    </row>
    <row r="254" spans="3:13" ht="15.5">
      <c r="C254" s="52"/>
      <c r="D254" s="52"/>
      <c r="E254" s="52"/>
      <c r="F254" s="52"/>
      <c r="G254" s="52"/>
      <c r="H254" s="52"/>
      <c r="I254" s="52"/>
      <c r="J254" s="52"/>
      <c r="K254" s="52"/>
      <c r="L254" s="226"/>
      <c r="M254" s="52"/>
    </row>
    <row r="255" spans="3:13" ht="15.5">
      <c r="C255" s="52"/>
      <c r="D255" s="52"/>
      <c r="E255" s="52"/>
      <c r="F255" s="52"/>
      <c r="G255" s="52"/>
      <c r="H255" s="52"/>
      <c r="I255" s="52"/>
      <c r="J255" s="52"/>
      <c r="K255" s="52"/>
      <c r="L255" s="226"/>
      <c r="M255" s="52"/>
    </row>
    <row r="256" spans="3:13" ht="15.5">
      <c r="C256" s="52"/>
      <c r="D256" s="52"/>
      <c r="E256" s="52"/>
      <c r="F256" s="52"/>
      <c r="G256" s="52"/>
      <c r="H256" s="52"/>
      <c r="I256" s="52"/>
      <c r="J256" s="52"/>
      <c r="K256" s="52"/>
      <c r="L256" s="226"/>
      <c r="M256" s="52"/>
    </row>
    <row r="257" spans="3:13" ht="15.5">
      <c r="C257" s="52"/>
      <c r="D257" s="52"/>
      <c r="E257" s="52"/>
      <c r="F257" s="52"/>
      <c r="G257" s="52"/>
      <c r="H257" s="52"/>
      <c r="I257" s="52"/>
      <c r="J257" s="52"/>
      <c r="K257" s="52"/>
      <c r="L257" s="226"/>
      <c r="M257" s="52"/>
    </row>
    <row r="258" spans="3:13" ht="15.5">
      <c r="C258" s="52"/>
      <c r="D258" s="52"/>
      <c r="E258" s="52"/>
      <c r="F258" s="52"/>
      <c r="G258" s="52"/>
      <c r="H258" s="52"/>
      <c r="I258" s="52"/>
      <c r="J258" s="52"/>
      <c r="K258" s="52"/>
      <c r="L258" s="226"/>
      <c r="M258" s="52"/>
    </row>
    <row r="259" spans="3:13" ht="15.5">
      <c r="C259" s="52"/>
      <c r="D259" s="52"/>
      <c r="E259" s="52"/>
      <c r="F259" s="52"/>
      <c r="G259" s="52"/>
      <c r="H259" s="52"/>
      <c r="I259" s="52"/>
      <c r="J259" s="52"/>
      <c r="K259" s="52"/>
      <c r="L259" s="226"/>
      <c r="M259" s="52"/>
    </row>
    <row r="260" spans="3:13" ht="15.5">
      <c r="C260" s="52"/>
      <c r="D260" s="52"/>
      <c r="E260" s="52"/>
      <c r="F260" s="52"/>
      <c r="G260" s="52"/>
      <c r="H260" s="52"/>
      <c r="I260" s="52"/>
      <c r="J260" s="52"/>
      <c r="K260" s="52"/>
      <c r="L260" s="226"/>
      <c r="M260" s="52"/>
    </row>
    <row r="261" spans="3:13" ht="15.5">
      <c r="C261" s="52"/>
      <c r="D261" s="52"/>
      <c r="E261" s="52"/>
      <c r="F261" s="52"/>
      <c r="G261" s="52"/>
      <c r="H261" s="52"/>
      <c r="I261" s="52"/>
      <c r="J261" s="52"/>
      <c r="K261" s="52"/>
      <c r="L261" s="226"/>
      <c r="M261" s="52"/>
    </row>
    <row r="262" spans="3:13" ht="15.5">
      <c r="C262" s="52"/>
      <c r="D262" s="52"/>
      <c r="E262" s="52"/>
      <c r="F262" s="52"/>
      <c r="G262" s="52"/>
      <c r="H262" s="52"/>
      <c r="I262" s="52"/>
      <c r="J262" s="52"/>
      <c r="K262" s="52"/>
      <c r="L262" s="226"/>
      <c r="M262" s="52"/>
    </row>
    <row r="263" spans="3:13" ht="15.5">
      <c r="C263" s="52"/>
      <c r="D263" s="52"/>
      <c r="E263" s="52"/>
      <c r="F263" s="52"/>
      <c r="G263" s="52"/>
      <c r="H263" s="52"/>
      <c r="I263" s="52"/>
      <c r="J263" s="52"/>
      <c r="K263" s="52"/>
      <c r="L263" s="226"/>
      <c r="M263" s="52"/>
    </row>
    <row r="264" spans="3:13" ht="15.5">
      <c r="C264" s="52"/>
      <c r="D264" s="52"/>
      <c r="E264" s="52"/>
      <c r="F264" s="52"/>
      <c r="G264" s="52"/>
      <c r="H264" s="52"/>
      <c r="I264" s="52"/>
      <c r="J264" s="52"/>
      <c r="K264" s="52"/>
      <c r="L264" s="226"/>
      <c r="M264" s="52"/>
    </row>
    <row r="265" spans="3:13" ht="15.5">
      <c r="C265" s="52"/>
      <c r="D265" s="52"/>
      <c r="E265" s="52"/>
      <c r="F265" s="52"/>
      <c r="G265" s="52"/>
      <c r="H265" s="52"/>
      <c r="I265" s="52"/>
      <c r="J265" s="52"/>
      <c r="K265" s="52"/>
      <c r="L265" s="226"/>
      <c r="M265" s="52"/>
    </row>
    <row r="266" spans="3:13" ht="15.5">
      <c r="C266" s="52"/>
      <c r="D266" s="52"/>
      <c r="E266" s="52"/>
      <c r="F266" s="52"/>
      <c r="G266" s="52"/>
      <c r="H266" s="52"/>
      <c r="I266" s="52"/>
      <c r="J266" s="52"/>
      <c r="K266" s="52"/>
      <c r="L266" s="226"/>
      <c r="M266" s="52"/>
    </row>
    <row r="267" spans="3:13" ht="15.5">
      <c r="C267" s="52"/>
      <c r="D267" s="52"/>
      <c r="E267" s="52"/>
      <c r="F267" s="52"/>
      <c r="G267" s="52"/>
      <c r="H267" s="52"/>
      <c r="I267" s="52"/>
      <c r="J267" s="52"/>
      <c r="K267" s="52"/>
      <c r="L267" s="226"/>
      <c r="M267" s="52"/>
    </row>
    <row r="268" spans="3:13" ht="15.5">
      <c r="C268" s="52"/>
      <c r="D268" s="52"/>
      <c r="E268" s="52"/>
      <c r="F268" s="52"/>
      <c r="G268" s="52"/>
      <c r="H268" s="52"/>
      <c r="I268" s="52"/>
      <c r="J268" s="52"/>
      <c r="K268" s="52"/>
      <c r="L268" s="226"/>
      <c r="M268" s="52"/>
    </row>
    <row r="269" spans="3:13" ht="15.5">
      <c r="C269" s="52"/>
      <c r="D269" s="52"/>
      <c r="E269" s="52"/>
      <c r="F269" s="52"/>
      <c r="G269" s="52"/>
      <c r="H269" s="52"/>
      <c r="I269" s="52"/>
      <c r="J269" s="52"/>
      <c r="K269" s="52"/>
      <c r="L269" s="226"/>
      <c r="M269" s="52"/>
    </row>
    <row r="270" spans="3:13" ht="15.5">
      <c r="C270" s="52"/>
      <c r="D270" s="52"/>
      <c r="E270" s="52"/>
      <c r="F270" s="52"/>
      <c r="G270" s="52"/>
      <c r="H270" s="52"/>
      <c r="I270" s="52"/>
      <c r="J270" s="52"/>
      <c r="K270" s="52"/>
      <c r="L270" s="226"/>
      <c r="M270" s="52"/>
    </row>
    <row r="271" spans="3:13" ht="15.5">
      <c r="C271" s="52"/>
      <c r="D271" s="52"/>
      <c r="E271" s="52"/>
      <c r="F271" s="52"/>
      <c r="G271" s="52"/>
      <c r="H271" s="52"/>
      <c r="I271" s="52"/>
      <c r="J271" s="52"/>
      <c r="K271" s="52"/>
      <c r="L271" s="226"/>
      <c r="M271" s="52"/>
    </row>
    <row r="272" spans="3:13" ht="15.5">
      <c r="C272" s="52"/>
      <c r="D272" s="52"/>
      <c r="E272" s="52"/>
      <c r="F272" s="52"/>
      <c r="G272" s="52"/>
      <c r="H272" s="52"/>
      <c r="I272" s="52"/>
      <c r="J272" s="52"/>
      <c r="K272" s="52"/>
      <c r="L272" s="226"/>
      <c r="M272" s="52"/>
    </row>
    <row r="273" spans="3:13" ht="15.5">
      <c r="C273" s="52"/>
      <c r="D273" s="52"/>
      <c r="E273" s="52"/>
      <c r="F273" s="52"/>
      <c r="G273" s="52"/>
      <c r="H273" s="52"/>
      <c r="I273" s="52"/>
      <c r="J273" s="52"/>
      <c r="K273" s="52"/>
      <c r="L273" s="226"/>
      <c r="M273" s="52"/>
    </row>
    <row r="274" spans="3:13" ht="15.5">
      <c r="C274" s="52"/>
      <c r="D274" s="52"/>
      <c r="E274" s="52"/>
      <c r="F274" s="52"/>
      <c r="G274" s="52"/>
      <c r="H274" s="52"/>
      <c r="I274" s="52"/>
      <c r="J274" s="52"/>
      <c r="K274" s="52"/>
      <c r="L274" s="226"/>
      <c r="M274" s="52"/>
    </row>
    <row r="275" spans="3:13" ht="15.5">
      <c r="C275" s="52"/>
      <c r="D275" s="52"/>
      <c r="E275" s="52"/>
      <c r="F275" s="52"/>
      <c r="G275" s="52"/>
      <c r="H275" s="52"/>
      <c r="I275" s="52"/>
      <c r="J275" s="52"/>
      <c r="K275" s="52"/>
      <c r="L275" s="226"/>
      <c r="M275" s="52"/>
    </row>
    <row r="276" spans="3:13" ht="15.5">
      <c r="C276" s="52"/>
      <c r="D276" s="52"/>
      <c r="E276" s="52"/>
      <c r="F276" s="52"/>
      <c r="G276" s="52"/>
      <c r="H276" s="52"/>
      <c r="I276" s="52"/>
      <c r="J276" s="52"/>
      <c r="K276" s="52"/>
      <c r="L276" s="226"/>
      <c r="M276" s="52"/>
    </row>
    <row r="277" spans="3:13" ht="15.5">
      <c r="C277" s="52"/>
      <c r="D277" s="52"/>
      <c r="E277" s="52"/>
      <c r="F277" s="52"/>
      <c r="G277" s="52"/>
      <c r="H277" s="52"/>
      <c r="I277" s="52"/>
      <c r="J277" s="52"/>
      <c r="K277" s="52"/>
      <c r="L277" s="226"/>
      <c r="M277" s="52"/>
    </row>
    <row r="278" spans="3:13" ht="15.5">
      <c r="C278" s="52"/>
      <c r="D278" s="52"/>
      <c r="E278" s="52"/>
      <c r="F278" s="52"/>
      <c r="G278" s="52"/>
      <c r="H278" s="52"/>
      <c r="I278" s="52"/>
      <c r="J278" s="52"/>
      <c r="K278" s="52"/>
      <c r="L278" s="226"/>
      <c r="M278" s="52"/>
    </row>
    <row r="279" spans="3:13" ht="15.5">
      <c r="C279" s="52"/>
      <c r="D279" s="52"/>
      <c r="E279" s="52"/>
      <c r="F279" s="52"/>
      <c r="G279" s="52"/>
      <c r="H279" s="52"/>
      <c r="I279" s="52"/>
      <c r="J279" s="52"/>
      <c r="K279" s="52"/>
      <c r="L279" s="226"/>
      <c r="M279" s="52"/>
    </row>
    <row r="280" spans="3:13" ht="15.5">
      <c r="C280" s="52"/>
      <c r="D280" s="52"/>
      <c r="E280" s="52"/>
      <c r="F280" s="52"/>
      <c r="G280" s="52"/>
      <c r="H280" s="52"/>
      <c r="I280" s="52"/>
      <c r="J280" s="52"/>
      <c r="K280" s="52"/>
      <c r="L280" s="226"/>
      <c r="M280" s="52"/>
    </row>
    <row r="281" spans="3:13" ht="15.5">
      <c r="C281" s="52"/>
      <c r="D281" s="52"/>
      <c r="E281" s="52"/>
      <c r="F281" s="52"/>
      <c r="G281" s="52"/>
      <c r="H281" s="52"/>
      <c r="I281" s="52"/>
      <c r="J281" s="52"/>
      <c r="K281" s="52"/>
      <c r="L281" s="226"/>
      <c r="M281" s="52"/>
    </row>
  </sheetData>
  <customSheetViews>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2"/>
      <headerFooter alignWithMargins="0"/>
    </customSheetView>
  </customSheetViews>
  <mergeCells count="11">
    <mergeCell ref="C83:M83"/>
    <mergeCell ref="C82:M82"/>
    <mergeCell ref="C78:M78"/>
    <mergeCell ref="C79:M79"/>
    <mergeCell ref="A50:O50"/>
    <mergeCell ref="A51:O51"/>
    <mergeCell ref="A5:O5"/>
    <mergeCell ref="A6:O6"/>
    <mergeCell ref="A7:M7"/>
    <mergeCell ref="C80:M80"/>
    <mergeCell ref="C81:M81"/>
  </mergeCells>
  <printOptions horizontalCentered="1"/>
  <pageMargins left="0.7" right="0.7" top="0.75" bottom="0.75" header="0.3" footer="0.3"/>
  <pageSetup fitToHeight="0" orientation="landscape" scale="32" r:id="rId1"/>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243"/>
  <sheetViews>
    <sheetView view="pageBreakPreview" zoomScale="70" zoomScaleNormal="75" zoomScaleSheetLayoutView="70" workbookViewId="0" topLeftCell="A1">
      <selection pane="topLeft" activeCell="C4" sqref="C4"/>
    </sheetView>
  </sheetViews>
  <sheetFormatPr defaultColWidth="8.91714285714286" defaultRowHeight="15.5"/>
  <cols>
    <col min="1" max="1" width="6" style="1" customWidth="1"/>
    <col min="2" max="2" width="3.35714285714286" style="1" customWidth="1"/>
    <col min="3" max="3" width="69.8571428571429" style="1" bestFit="1" customWidth="1"/>
    <col min="4" max="4" width="12" style="1" customWidth="1"/>
    <col min="5" max="5" width="14.4285714285714" style="1" customWidth="1"/>
    <col min="6" max="6" width="14.2142857142857" style="1" customWidth="1"/>
    <col min="7" max="7" width="15.7142857142857" style="1" customWidth="1"/>
    <col min="8" max="8" width="14.9285714285714" style="1" customWidth="1"/>
    <col min="9" max="9" width="13.3571428571429" style="1" customWidth="1"/>
    <col min="10" max="10" width="13.0714285714286" style="1" customWidth="1"/>
    <col min="11" max="11" width="15.5" style="1" customWidth="1"/>
    <col min="12" max="12" width="3.92857142857143" style="1" customWidth="1"/>
    <col min="13" max="13" width="17.0714285714286" style="1" customWidth="1"/>
    <col min="14" max="16384" width="8.92857142857143" style="1"/>
  </cols>
  <sheetData>
    <row r="1" spans="13:13" ht="15.5">
      <c r="M1" s="26" t="s">
        <v>410</v>
      </c>
    </row>
    <row r="2" spans="7:13" ht="15.5">
      <c r="G2" s="609"/>
      <c r="H2" s="609"/>
      <c r="I2" s="609"/>
      <c r="J2" s="609"/>
      <c r="K2" s="609"/>
      <c r="M2" s="26" t="s">
        <v>275</v>
      </c>
    </row>
    <row r="3" spans="7:13" ht="15.65" customHeight="1">
      <c r="G3" s="609"/>
      <c r="H3" s="609"/>
      <c r="I3" s="609"/>
      <c r="J3" s="609"/>
      <c r="K3" s="609"/>
      <c r="M3" s="112" t="s">
        <v>434</v>
      </c>
    </row>
    <row r="4" spans="1:11" ht="15.5">
      <c r="A4" s="27"/>
      <c r="G4" s="609"/>
      <c r="H4" s="609"/>
      <c r="I4" s="609"/>
      <c r="J4" s="609"/>
      <c r="K4" s="609"/>
    </row>
    <row r="5" spans="1:11" ht="15.5">
      <c r="A5" s="27"/>
      <c r="C5" s="2"/>
      <c r="D5" s="2"/>
      <c r="G5" s="609"/>
      <c r="H5" s="609"/>
      <c r="I5" s="609"/>
      <c r="J5" s="609"/>
      <c r="K5" s="609"/>
    </row>
    <row r="6" spans="1:12" ht="15.5">
      <c r="A6" s="27"/>
      <c r="C6" s="2"/>
      <c r="D6" s="2"/>
      <c r="G6" s="609"/>
      <c r="H6" s="609"/>
      <c r="I6" s="609"/>
      <c r="J6" s="609"/>
      <c r="K6" s="609"/>
      <c r="L6" s="4"/>
    </row>
    <row r="7" spans="1:11" ht="14.25" customHeight="1">
      <c r="A7" s="27"/>
      <c r="G7" s="609"/>
      <c r="H7" s="609"/>
      <c r="I7" s="609"/>
      <c r="J7" s="609"/>
      <c r="K7" s="609"/>
    </row>
    <row r="8" spans="1:12" ht="15.5">
      <c r="A8" s="696" t="s">
        <v>418</v>
      </c>
      <c r="B8" s="696"/>
      <c r="C8" s="696"/>
      <c r="D8" s="696"/>
      <c r="E8" s="696"/>
      <c r="F8" s="696"/>
      <c r="G8" s="696"/>
      <c r="H8" s="696"/>
      <c r="I8" s="696"/>
      <c r="J8" s="696"/>
      <c r="K8" s="696"/>
      <c r="L8" s="696"/>
    </row>
    <row r="9" spans="1:12" ht="15.5">
      <c r="A9" s="697" t="s">
        <v>417</v>
      </c>
      <c r="B9" s="698"/>
      <c r="C9" s="698"/>
      <c r="D9" s="698"/>
      <c r="E9" s="698"/>
      <c r="F9" s="698"/>
      <c r="G9" s="698"/>
      <c r="H9" s="698"/>
      <c r="I9" s="698"/>
      <c r="J9" s="698"/>
      <c r="K9" s="698"/>
      <c r="L9" s="698"/>
    </row>
    <row r="10" spans="1:12" ht="15.5">
      <c r="A10" s="27"/>
      <c r="E10" s="18"/>
      <c r="H10" s="2"/>
      <c r="I10" s="2"/>
      <c r="J10" s="2"/>
      <c r="K10" s="2"/>
      <c r="L10" s="2"/>
    </row>
    <row r="11" spans="1:12" ht="15.5">
      <c r="A11" s="27"/>
      <c r="E11" s="18"/>
      <c r="F11" s="18"/>
      <c r="H11" s="2"/>
      <c r="I11" s="2"/>
      <c r="J11" s="2"/>
      <c r="K11" s="2"/>
      <c r="L11" s="2"/>
    </row>
    <row r="12" spans="1:11" ht="15.5">
      <c r="A12" s="27"/>
      <c r="C12" s="35" t="s">
        <v>423</v>
      </c>
      <c r="D12" s="35" t="s">
        <v>424</v>
      </c>
      <c r="E12" s="35" t="s">
        <v>425</v>
      </c>
      <c r="F12" s="35" t="s">
        <v>426</v>
      </c>
      <c r="G12" s="35" t="s">
        <v>427</v>
      </c>
      <c r="H12" s="35" t="s">
        <v>428</v>
      </c>
      <c r="I12" s="35" t="s">
        <v>429</v>
      </c>
      <c r="J12" s="35" t="s">
        <v>430</v>
      </c>
      <c r="K12" s="35" t="s">
        <v>431</v>
      </c>
    </row>
    <row r="13" spans="1:11" s="101" customFormat="1" ht="80.15" customHeight="1">
      <c r="A13" s="36" t="s">
        <v>255</v>
      </c>
      <c r="B13" s="100"/>
      <c r="C13" s="38" t="s">
        <v>256</v>
      </c>
      <c r="D13" s="38" t="s">
        <v>296</v>
      </c>
      <c r="E13" s="39" t="s">
        <v>421</v>
      </c>
      <c r="F13" s="39" t="s">
        <v>411</v>
      </c>
      <c r="G13" s="38" t="s">
        <v>412</v>
      </c>
      <c r="H13" s="39" t="s">
        <v>413</v>
      </c>
      <c r="I13" s="39" t="s">
        <v>414</v>
      </c>
      <c r="J13" s="38" t="s">
        <v>572</v>
      </c>
      <c r="K13" s="187" t="s">
        <v>573</v>
      </c>
    </row>
    <row r="14" spans="1:11" ht="46.5" customHeight="1">
      <c r="A14" s="42"/>
      <c r="B14" s="43"/>
      <c r="C14" s="43"/>
      <c r="D14" s="43"/>
      <c r="E14" s="44"/>
      <c r="F14" s="105" t="s">
        <v>716</v>
      </c>
      <c r="G14" s="105" t="s">
        <v>432</v>
      </c>
      <c r="H14" s="105" t="s">
        <v>717</v>
      </c>
      <c r="I14" s="44" t="s">
        <v>433</v>
      </c>
      <c r="J14" s="105" t="s">
        <v>571</v>
      </c>
      <c r="K14" s="188" t="s">
        <v>718</v>
      </c>
    </row>
    <row r="15" spans="1:11" ht="15.5">
      <c r="A15" s="47"/>
      <c r="B15" s="2"/>
      <c r="C15" s="2"/>
      <c r="D15" s="2"/>
      <c r="E15" s="102"/>
      <c r="F15" s="102"/>
      <c r="G15" s="102"/>
      <c r="H15" s="102"/>
      <c r="I15" s="102"/>
      <c r="J15" s="102"/>
      <c r="K15" s="103"/>
    </row>
    <row r="16" spans="1:11" ht="15.5">
      <c r="A16" s="104">
        <v>1</v>
      </c>
      <c r="B16" s="2" t="s">
        <v>363</v>
      </c>
      <c r="C16" s="2" t="s">
        <v>419</v>
      </c>
      <c r="D16" s="2"/>
      <c r="E16" s="284">
        <v>29338393.999374907</v>
      </c>
      <c r="F16" s="285"/>
      <c r="G16" s="285"/>
      <c r="H16" s="285"/>
      <c r="I16" s="285"/>
      <c r="J16" s="285"/>
      <c r="K16" s="286"/>
    </row>
    <row r="17" spans="1:11" ht="15.5">
      <c r="A17" s="47"/>
      <c r="B17" s="2"/>
      <c r="C17" s="2"/>
      <c r="D17" s="2"/>
      <c r="E17" s="285"/>
      <c r="F17" s="285"/>
      <c r="G17" s="285"/>
      <c r="H17" s="285"/>
      <c r="I17" s="285"/>
      <c r="J17" s="285"/>
      <c r="K17" s="286"/>
    </row>
    <row r="18" spans="1:11" ht="15.5">
      <c r="A18" s="65" t="s">
        <v>328</v>
      </c>
      <c r="B18" s="32"/>
      <c r="C18" s="282" t="s">
        <v>887</v>
      </c>
      <c r="D18" s="283" t="s">
        <v>895</v>
      </c>
      <c r="E18" s="287"/>
      <c r="F18" s="288">
        <v>2044901.0807424441</v>
      </c>
      <c r="G18" s="287">
        <f t="shared" si="0" ref="G18:G26">IF(F$36&gt;0,(E$16*(F18/F$36)),0)</f>
        <v>2102870.1047957358</v>
      </c>
      <c r="H18" s="288">
        <v>1975558.4001125414</v>
      </c>
      <c r="I18" s="287">
        <f>H18-G18</f>
        <v>-127311.7046831944</v>
      </c>
      <c r="J18" s="289">
        <f>IF(I$39=0,0,(I18*((I$38/I$39)-1)))</f>
        <v>-22216.291870901823</v>
      </c>
      <c r="K18" s="290">
        <f>I18+J18</f>
        <v>-149527.99655409623</v>
      </c>
    </row>
    <row r="19" spans="1:11" ht="15.5">
      <c r="A19" s="65" t="s">
        <v>351</v>
      </c>
      <c r="B19" s="32"/>
      <c r="C19" s="282" t="s">
        <v>888</v>
      </c>
      <c r="D19" s="283" t="s">
        <v>896</v>
      </c>
      <c r="E19" s="287"/>
      <c r="F19" s="288">
        <v>3294674.4090292435</v>
      </c>
      <c r="G19" s="287">
        <f t="shared" si="0"/>
        <v>3388072.1102008997</v>
      </c>
      <c r="H19" s="288">
        <v>3164262.2294210438</v>
      </c>
      <c r="I19" s="287">
        <f>H19-G19</f>
        <v>-223809.88077985588</v>
      </c>
      <c r="J19" s="289">
        <f t="shared" si="1" ref="J19:J24">IF(I$39=0,0,(I19*((I$38/I$39)-1)))</f>
        <v>-39055.52633491184</v>
      </c>
      <c r="K19" s="290">
        <f t="shared" si="2" ref="K19:K24">I19+J19</f>
        <v>-262865.4071147677</v>
      </c>
    </row>
    <row r="20" spans="1:11" ht="15.5">
      <c r="A20" s="65" t="s">
        <v>352</v>
      </c>
      <c r="B20" s="32"/>
      <c r="C20" s="282" t="s">
        <v>889</v>
      </c>
      <c r="D20" s="283" t="s">
        <v>897</v>
      </c>
      <c r="E20" s="287"/>
      <c r="F20" s="288">
        <v>6786983.914991267</v>
      </c>
      <c r="G20" s="287">
        <f t="shared" si="0"/>
        <v>6979381.8933201674</v>
      </c>
      <c r="H20" s="288">
        <v>6381589.4842724185</v>
      </c>
      <c r="I20" s="287">
        <f>H20-G20</f>
        <v>-597792.40904774889</v>
      </c>
      <c r="J20" s="289">
        <f t="shared" si="1"/>
        <v>-104316.65077977252</v>
      </c>
      <c r="K20" s="290">
        <f t="shared" si="2"/>
        <v>-702109.05982752144</v>
      </c>
    </row>
    <row r="21" spans="1:11" ht="15.5">
      <c r="A21" s="65" t="s">
        <v>709</v>
      </c>
      <c r="B21" s="32"/>
      <c r="C21" s="282" t="s">
        <v>890</v>
      </c>
      <c r="D21" s="283" t="s">
        <v>898</v>
      </c>
      <c r="E21" s="287"/>
      <c r="F21" s="288">
        <v>15249290.033385282</v>
      </c>
      <c r="G21" s="287">
        <f t="shared" si="0"/>
        <v>15681578.161679478</v>
      </c>
      <c r="H21" s="288">
        <v>14898213.971662438</v>
      </c>
      <c r="I21" s="287">
        <f t="shared" si="3" ref="I21:I24">H21-G21</f>
        <v>-783364.19001704082</v>
      </c>
      <c r="J21" s="289">
        <f t="shared" si="1"/>
        <v>-136699.50873675241</v>
      </c>
      <c r="K21" s="290">
        <f t="shared" si="2"/>
        <v>-920063.69875379326</v>
      </c>
    </row>
    <row r="22" spans="1:11" ht="15.5">
      <c r="A22" s="65" t="s">
        <v>710</v>
      </c>
      <c r="B22" s="32"/>
      <c r="C22" s="282" t="s">
        <v>891</v>
      </c>
      <c r="D22" s="283" t="s">
        <v>899</v>
      </c>
      <c r="E22" s="287"/>
      <c r="F22" s="288">
        <v>572294.10727270111</v>
      </c>
      <c r="G22" s="287">
        <f t="shared" si="0"/>
        <v>588517.54770337616</v>
      </c>
      <c r="H22" s="288">
        <v>1810382.9655715574</v>
      </c>
      <c r="I22" s="287">
        <f t="shared" si="3"/>
        <v>1221865.4178681811</v>
      </c>
      <c r="J22" s="289">
        <f t="shared" si="1"/>
        <v>213219.34866766582</v>
      </c>
      <c r="K22" s="290">
        <f t="shared" si="2"/>
        <v>1435084.766535847</v>
      </c>
    </row>
    <row r="23" spans="1:11" ht="15.5">
      <c r="A23" s="65" t="s">
        <v>711</v>
      </c>
      <c r="B23" s="32"/>
      <c r="C23" s="282" t="s">
        <v>892</v>
      </c>
      <c r="D23" s="283" t="s">
        <v>900</v>
      </c>
      <c r="E23" s="287"/>
      <c r="F23" s="288">
        <v>4784.4628512322088</v>
      </c>
      <c r="G23" s="287">
        <f t="shared" si="0"/>
        <v>4920.0931977155024</v>
      </c>
      <c r="H23" s="288">
        <v>464811.03472523839</v>
      </c>
      <c r="I23" s="287">
        <f t="shared" si="3"/>
        <v>459890.94152752287</v>
      </c>
      <c r="J23" s="289">
        <f t="shared" si="1"/>
        <v>80252.412071487895</v>
      </c>
      <c r="K23" s="290">
        <f t="shared" si="2"/>
        <v>540143.35359901073</v>
      </c>
    </row>
    <row r="24" spans="1:11" ht="15.5">
      <c r="A24" s="65" t="s">
        <v>712</v>
      </c>
      <c r="B24" s="32"/>
      <c r="C24" s="282" t="s">
        <v>893</v>
      </c>
      <c r="D24" s="283" t="s">
        <v>901</v>
      </c>
      <c r="E24" s="287"/>
      <c r="F24" s="288">
        <v>44059.122079403838</v>
      </c>
      <c r="G24" s="287">
        <f t="shared" si="0"/>
        <v>45308.113696475382</v>
      </c>
      <c r="H24" s="288">
        <v>1055865.6347149964</v>
      </c>
      <c r="I24" s="287">
        <f t="shared" si="3"/>
        <v>1010557.521018521</v>
      </c>
      <c r="J24" s="289">
        <f t="shared" si="1"/>
        <v>176345.45774993504</v>
      </c>
      <c r="K24" s="290">
        <f t="shared" si="2"/>
        <v>1186902.978768456</v>
      </c>
    </row>
    <row r="25" spans="1:11" ht="15.5">
      <c r="A25" s="65" t="s">
        <v>903</v>
      </c>
      <c r="B25" s="32"/>
      <c r="C25" s="282" t="s">
        <v>957</v>
      </c>
      <c r="D25" s="283" t="s">
        <v>958</v>
      </c>
      <c r="E25" s="287"/>
      <c r="F25" s="288">
        <v>0</v>
      </c>
      <c r="G25" s="287">
        <f t="shared" si="0"/>
        <v>0</v>
      </c>
      <c r="H25" s="288">
        <v>8759827.1563170068</v>
      </c>
      <c r="I25" s="287">
        <f>H25-G25</f>
        <v>8759827.1563170068</v>
      </c>
      <c r="J25" s="289">
        <f t="shared" si="4" ref="J25">IF(I$39=0,0,(I25*((I$38/I$39)-1)))</f>
        <v>1528617.3202037085</v>
      </c>
      <c r="K25" s="290">
        <f t="shared" si="5" ref="K25">I25+J25</f>
        <v>10288444.476520715</v>
      </c>
    </row>
    <row r="26" spans="1:11" ht="15.5">
      <c r="A26" s="65" t="s">
        <v>988</v>
      </c>
      <c r="C26" s="282" t="s">
        <v>894</v>
      </c>
      <c r="D26" s="283" t="s">
        <v>902</v>
      </c>
      <c r="E26" s="287"/>
      <c r="F26" s="288">
        <v>532646.4688654237</v>
      </c>
      <c r="G26" s="287">
        <f t="shared" si="0"/>
        <v>547745.97478105943</v>
      </c>
      <c r="H26" s="288">
        <v>576060.10375848273</v>
      </c>
      <c r="I26" s="287">
        <f>H26-G26</f>
        <v>28314.128977423301</v>
      </c>
      <c r="J26" s="289">
        <f>IF(I$39=0,0,(I26*((I$38/I$39)-1)))</f>
        <v>4940.9043339581476</v>
      </c>
      <c r="K26" s="290">
        <f>I26+J26</f>
        <v>33255.033311381449</v>
      </c>
    </row>
    <row r="27" spans="1:11" ht="15.5">
      <c r="A27" s="50"/>
      <c r="C27" s="52"/>
      <c r="D27" s="52"/>
      <c r="E27" s="108"/>
      <c r="F27" s="108"/>
      <c r="G27" s="108"/>
      <c r="H27" s="108"/>
      <c r="I27" s="108"/>
      <c r="J27" s="108"/>
      <c r="K27" s="109"/>
    </row>
    <row r="28" spans="1:11" ht="15.5">
      <c r="A28" s="50"/>
      <c r="C28" s="52"/>
      <c r="D28" s="52"/>
      <c r="E28" s="108"/>
      <c r="F28" s="108"/>
      <c r="G28" s="108"/>
      <c r="H28" s="108"/>
      <c r="I28" s="108"/>
      <c r="J28" s="108"/>
      <c r="K28" s="109"/>
    </row>
    <row r="29" spans="1:11" ht="15.5">
      <c r="A29" s="50"/>
      <c r="C29" s="52"/>
      <c r="D29" s="52"/>
      <c r="E29" s="108"/>
      <c r="F29" s="108"/>
      <c r="G29" s="108"/>
      <c r="H29" s="108"/>
      <c r="I29" s="108"/>
      <c r="J29" s="108"/>
      <c r="K29" s="109"/>
    </row>
    <row r="30" spans="1:11" ht="15.5">
      <c r="A30" s="50"/>
      <c r="C30" s="52"/>
      <c r="D30" s="52"/>
      <c r="E30" s="108"/>
      <c r="F30" s="108"/>
      <c r="G30" s="108"/>
      <c r="H30" s="108"/>
      <c r="I30" s="108"/>
      <c r="J30" s="108"/>
      <c r="K30" s="109"/>
    </row>
    <row r="31" spans="1:11" ht="15.5">
      <c r="A31" s="50"/>
      <c r="C31" s="52"/>
      <c r="D31" s="52"/>
      <c r="E31" s="108"/>
      <c r="F31" s="108"/>
      <c r="G31" s="108"/>
      <c r="H31" s="108"/>
      <c r="I31" s="108"/>
      <c r="J31" s="108"/>
      <c r="K31" s="109"/>
    </row>
    <row r="32" spans="1:11" ht="15.5">
      <c r="A32" s="50"/>
      <c r="C32" s="52"/>
      <c r="D32" s="52"/>
      <c r="E32" s="108"/>
      <c r="F32" s="108"/>
      <c r="G32" s="108"/>
      <c r="H32" s="108"/>
      <c r="I32" s="108"/>
      <c r="J32" s="108"/>
      <c r="K32" s="109"/>
    </row>
    <row r="33" spans="1:11" ht="15.5">
      <c r="A33" s="50"/>
      <c r="C33" s="52"/>
      <c r="D33" s="52"/>
      <c r="E33" s="108"/>
      <c r="F33" s="108"/>
      <c r="G33" s="108"/>
      <c r="H33" s="108"/>
      <c r="I33" s="108"/>
      <c r="J33" s="108"/>
      <c r="K33" s="109"/>
    </row>
    <row r="34" spans="1:11" ht="15.5">
      <c r="A34" s="50"/>
      <c r="C34" s="52"/>
      <c r="D34" s="52"/>
      <c r="E34" s="108"/>
      <c r="F34" s="108"/>
      <c r="G34" s="108"/>
      <c r="H34" s="108"/>
      <c r="I34" s="108"/>
      <c r="J34" s="108"/>
      <c r="K34" s="109"/>
    </row>
    <row r="35" spans="1:11" ht="15.5">
      <c r="A35" s="54"/>
      <c r="B35" s="55"/>
      <c r="C35" s="56"/>
      <c r="D35" s="56"/>
      <c r="E35" s="110"/>
      <c r="F35" s="110"/>
      <c r="G35" s="110"/>
      <c r="H35" s="110"/>
      <c r="I35" s="110"/>
      <c r="J35" s="110"/>
      <c r="K35" s="111"/>
    </row>
    <row r="36" spans="1:12" ht="15.5">
      <c r="A36" s="7" t="s">
        <v>344</v>
      </c>
      <c r="B36" s="34"/>
      <c r="C36" s="1" t="s">
        <v>422</v>
      </c>
      <c r="D36" s="2"/>
      <c r="E36" s="32"/>
      <c r="F36" s="294">
        <f>SUM(F18:F35)</f>
        <v>28529633.599216998</v>
      </c>
      <c r="G36" s="294">
        <f>SUM(G18:G35)</f>
        <v>29338393.999374907</v>
      </c>
      <c r="H36" s="294">
        <f>SUM(H18:H35)</f>
        <v>39086570.980555728</v>
      </c>
      <c r="I36" s="107"/>
      <c r="J36" s="107"/>
      <c r="K36" s="107"/>
      <c r="L36" s="107"/>
    </row>
    <row r="37" spans="1:5" ht="15.5">
      <c r="A37" s="52"/>
      <c r="B37" s="52"/>
      <c r="E37" s="52"/>
    </row>
    <row r="38" spans="1:9" ht="15.5">
      <c r="A38" s="32" t="s">
        <v>222</v>
      </c>
      <c r="C38" s="1" t="s">
        <v>478</v>
      </c>
      <c r="I38" s="148">
        <f>-'Appendix H-Rev Req True-up Adj'!H51</f>
        <v>-34720747.836274087</v>
      </c>
    </row>
    <row r="39" spans="1:9" ht="15.5">
      <c r="A39" s="32" t="s">
        <v>223</v>
      </c>
      <c r="C39" s="1" t="s">
        <v>479</v>
      </c>
      <c r="I39" s="148">
        <f>'Appendix H-Rev Req True-up Adj'!H52</f>
        <v>-29562073.302521586</v>
      </c>
    </row>
    <row r="40" spans="1:11" ht="15.5">
      <c r="A40" s="32"/>
      <c r="K40" s="243"/>
    </row>
    <row r="41" spans="1:11" ht="15.5">
      <c r="A41" s="7"/>
      <c r="I41" s="107"/>
      <c r="K41" s="243"/>
    </row>
    <row r="42" spans="3:10" ht="15.5">
      <c r="C42" s="147"/>
      <c r="H42" s="33"/>
      <c r="I42" s="33"/>
      <c r="J42" s="33"/>
    </row>
    <row r="43" spans="8:10" ht="15.5">
      <c r="H43" s="33"/>
      <c r="I43" s="33"/>
      <c r="J43" s="33"/>
    </row>
    <row r="44" spans="1:12" ht="15.5">
      <c r="A44" s="52" t="s">
        <v>435</v>
      </c>
      <c r="B44" s="52"/>
      <c r="C44" s="52"/>
      <c r="D44" s="52"/>
      <c r="E44" s="52"/>
      <c r="F44" s="52"/>
      <c r="G44" s="52"/>
      <c r="H44" s="52"/>
      <c r="I44" s="52"/>
      <c r="J44" s="52"/>
      <c r="K44" s="52"/>
      <c r="L44" s="52"/>
    </row>
    <row r="45" spans="1:12" ht="15.5">
      <c r="A45" s="62"/>
      <c r="B45" s="52" t="s">
        <v>363</v>
      </c>
      <c r="C45" s="52" t="s">
        <v>420</v>
      </c>
      <c r="D45" s="52"/>
      <c r="E45" s="52"/>
      <c r="F45" s="52"/>
      <c r="G45" s="52"/>
      <c r="H45" s="52"/>
      <c r="I45" s="52"/>
      <c r="J45" s="52"/>
      <c r="K45" s="52"/>
      <c r="L45" s="52"/>
    </row>
    <row r="46" spans="1:10" ht="15.5">
      <c r="A46" s="6"/>
      <c r="C46" s="7"/>
      <c r="D46" s="7"/>
      <c r="E46" s="32"/>
      <c r="F46" s="32"/>
      <c r="G46" s="4"/>
      <c r="J46" s="30"/>
    </row>
    <row r="47" spans="1:10" ht="15.5">
      <c r="A47" s="6"/>
      <c r="C47" s="7"/>
      <c r="D47" s="7"/>
      <c r="E47" s="32"/>
      <c r="F47" s="32"/>
      <c r="G47" s="4"/>
      <c r="J47" s="30"/>
    </row>
    <row r="48" spans="3:12" ht="15.5">
      <c r="C48" s="52"/>
      <c r="D48" s="52"/>
      <c r="E48" s="52"/>
      <c r="F48" s="52"/>
      <c r="G48" s="52"/>
      <c r="H48" s="52"/>
      <c r="I48" s="52"/>
      <c r="J48" s="52"/>
      <c r="K48" s="52"/>
      <c r="L48" s="52"/>
    </row>
    <row r="49" spans="3:12" ht="15.5">
      <c r="C49" s="52"/>
      <c r="D49" s="52"/>
      <c r="E49" s="52"/>
      <c r="F49" s="52"/>
      <c r="G49" s="52"/>
      <c r="H49" s="52"/>
      <c r="I49" s="52"/>
      <c r="J49" s="52"/>
      <c r="K49" s="52"/>
      <c r="L49" s="52"/>
    </row>
    <row r="50" spans="3:12" ht="15.5">
      <c r="C50" s="52"/>
      <c r="D50" s="52"/>
      <c r="E50" s="52"/>
      <c r="F50" s="52"/>
      <c r="G50" s="52"/>
      <c r="H50" s="52"/>
      <c r="I50" s="52"/>
      <c r="J50" s="52"/>
      <c r="K50" s="52"/>
      <c r="L50" s="52"/>
    </row>
    <row r="51" spans="3:12" ht="15.5">
      <c r="C51" s="52"/>
      <c r="D51" s="52"/>
      <c r="E51" s="52"/>
      <c r="F51" s="52"/>
      <c r="G51" s="52"/>
      <c r="H51" s="52"/>
      <c r="I51" s="52"/>
      <c r="J51" s="52"/>
      <c r="K51" s="52"/>
      <c r="L51" s="52"/>
    </row>
    <row r="52" spans="3:12" ht="15.5">
      <c r="C52" s="52"/>
      <c r="D52" s="52"/>
      <c r="E52" s="52"/>
      <c r="F52" s="52"/>
      <c r="G52" s="52"/>
      <c r="H52" s="52"/>
      <c r="I52" s="52"/>
      <c r="J52" s="52"/>
      <c r="K52" s="52"/>
      <c r="L52" s="52"/>
    </row>
    <row r="53" spans="3:12" ht="15.5">
      <c r="C53" s="52"/>
      <c r="D53" s="52"/>
      <c r="E53" s="52"/>
      <c r="F53" s="52"/>
      <c r="G53" s="52"/>
      <c r="H53" s="52"/>
      <c r="I53" s="52"/>
      <c r="J53" s="52"/>
      <c r="K53" s="52"/>
      <c r="L53" s="52"/>
    </row>
    <row r="54" spans="3:12" ht="15.5">
      <c r="C54" s="52"/>
      <c r="D54" s="52"/>
      <c r="E54" s="52"/>
      <c r="F54" s="52"/>
      <c r="G54" s="52"/>
      <c r="H54" s="52"/>
      <c r="I54" s="52"/>
      <c r="J54" s="52"/>
      <c r="K54" s="52"/>
      <c r="L54" s="52"/>
    </row>
    <row r="55" spans="3:12" ht="15.5">
      <c r="C55" s="52"/>
      <c r="D55" s="52"/>
      <c r="E55" s="52"/>
      <c r="F55" s="52"/>
      <c r="G55" s="52"/>
      <c r="H55" s="52"/>
      <c r="I55" s="52"/>
      <c r="J55" s="52"/>
      <c r="K55" s="52"/>
      <c r="L55" s="52"/>
    </row>
    <row r="56" spans="3:12" ht="15.5">
      <c r="C56" s="52"/>
      <c r="D56" s="52"/>
      <c r="E56" s="52"/>
      <c r="F56" s="52"/>
      <c r="G56" s="52"/>
      <c r="H56" s="52"/>
      <c r="I56" s="52"/>
      <c r="J56" s="52"/>
      <c r="K56" s="52"/>
      <c r="L56" s="52"/>
    </row>
    <row r="57" spans="3:12" ht="15.5">
      <c r="C57" s="52"/>
      <c r="D57" s="52"/>
      <c r="E57" s="52"/>
      <c r="F57" s="52"/>
      <c r="G57" s="52"/>
      <c r="H57" s="52"/>
      <c r="I57" s="52"/>
      <c r="J57" s="52"/>
      <c r="K57" s="52"/>
      <c r="L57" s="52"/>
    </row>
    <row r="58" spans="3:12" ht="15.5">
      <c r="C58" s="52"/>
      <c r="D58" s="52"/>
      <c r="E58" s="52"/>
      <c r="F58" s="52"/>
      <c r="G58" s="52"/>
      <c r="H58" s="52"/>
      <c r="I58" s="52"/>
      <c r="J58" s="52"/>
      <c r="K58" s="52"/>
      <c r="L58" s="52"/>
    </row>
    <row r="59" spans="3:12" ht="15.5">
      <c r="C59" s="52"/>
      <c r="D59" s="52"/>
      <c r="E59" s="52"/>
      <c r="F59" s="52"/>
      <c r="G59" s="52"/>
      <c r="H59" s="52"/>
      <c r="I59" s="52"/>
      <c r="J59" s="52"/>
      <c r="K59" s="52"/>
      <c r="L59" s="52"/>
    </row>
    <row r="60" spans="3:12" ht="15.5">
      <c r="C60" s="52"/>
      <c r="D60" s="52"/>
      <c r="E60" s="52"/>
      <c r="F60" s="52"/>
      <c r="G60" s="52"/>
      <c r="H60" s="52"/>
      <c r="I60" s="52"/>
      <c r="J60" s="52"/>
      <c r="K60" s="52"/>
      <c r="L60" s="52"/>
    </row>
    <row r="61" spans="3:12" ht="15.5">
      <c r="C61" s="52"/>
      <c r="D61" s="52"/>
      <c r="E61" s="52"/>
      <c r="F61" s="52"/>
      <c r="G61" s="52"/>
      <c r="H61" s="52"/>
      <c r="I61" s="52"/>
      <c r="J61" s="52"/>
      <c r="K61" s="52"/>
      <c r="L61" s="52"/>
    </row>
    <row r="62" spans="3:12" ht="15.5">
      <c r="C62" s="52"/>
      <c r="D62" s="52"/>
      <c r="E62" s="52"/>
      <c r="F62" s="52"/>
      <c r="G62" s="52"/>
      <c r="H62" s="52"/>
      <c r="I62" s="52"/>
      <c r="J62" s="52"/>
      <c r="K62" s="52"/>
      <c r="L62" s="52"/>
    </row>
    <row r="63" spans="3:12" ht="15.5">
      <c r="C63" s="52"/>
      <c r="D63" s="52"/>
      <c r="E63" s="52"/>
      <c r="F63" s="52"/>
      <c r="G63" s="52"/>
      <c r="H63" s="52"/>
      <c r="I63" s="52"/>
      <c r="J63" s="52"/>
      <c r="K63" s="52"/>
      <c r="L63" s="52"/>
    </row>
    <row r="64" spans="3:12" ht="15.5">
      <c r="C64" s="52"/>
      <c r="D64" s="52"/>
      <c r="E64" s="52"/>
      <c r="F64" s="52"/>
      <c r="G64" s="52"/>
      <c r="H64" s="52"/>
      <c r="I64" s="52"/>
      <c r="J64" s="52"/>
      <c r="K64" s="52"/>
      <c r="L64" s="52"/>
    </row>
    <row r="65" spans="3:12" ht="15.5">
      <c r="C65" s="52"/>
      <c r="D65" s="52"/>
      <c r="E65" s="52"/>
      <c r="F65" s="52"/>
      <c r="G65" s="52"/>
      <c r="H65" s="52"/>
      <c r="I65" s="52"/>
      <c r="J65" s="52"/>
      <c r="K65" s="52"/>
      <c r="L65" s="52"/>
    </row>
    <row r="66" spans="3:12" ht="15.5">
      <c r="C66" s="52"/>
      <c r="D66" s="52"/>
      <c r="E66" s="52"/>
      <c r="F66" s="52"/>
      <c r="G66" s="52"/>
      <c r="H66" s="52"/>
      <c r="I66" s="52"/>
      <c r="J66" s="52"/>
      <c r="K66" s="52"/>
      <c r="L66" s="52"/>
    </row>
    <row r="67" spans="3:12" ht="15.5">
      <c r="C67" s="52"/>
      <c r="D67" s="52"/>
      <c r="E67" s="52"/>
      <c r="F67" s="52"/>
      <c r="G67" s="52"/>
      <c r="H67" s="52"/>
      <c r="I67" s="52"/>
      <c r="J67" s="52"/>
      <c r="K67" s="52"/>
      <c r="L67" s="52"/>
    </row>
    <row r="68" spans="3:12" ht="15.5">
      <c r="C68" s="52"/>
      <c r="D68" s="52"/>
      <c r="E68" s="52"/>
      <c r="F68" s="52"/>
      <c r="G68" s="52"/>
      <c r="H68" s="52"/>
      <c r="I68" s="52"/>
      <c r="J68" s="52"/>
      <c r="K68" s="52"/>
      <c r="L68" s="52"/>
    </row>
    <row r="69" spans="3:12" ht="15.5">
      <c r="C69" s="52"/>
      <c r="D69" s="52"/>
      <c r="E69" s="52"/>
      <c r="F69" s="52"/>
      <c r="G69" s="52"/>
      <c r="H69" s="52"/>
      <c r="I69" s="52"/>
      <c r="J69" s="52"/>
      <c r="K69" s="52"/>
      <c r="L69" s="52"/>
    </row>
    <row r="70" spans="3:12" ht="15.5">
      <c r="C70" s="52"/>
      <c r="D70" s="52"/>
      <c r="E70" s="52"/>
      <c r="F70" s="52"/>
      <c r="G70" s="52"/>
      <c r="H70" s="52"/>
      <c r="I70" s="52"/>
      <c r="J70" s="52"/>
      <c r="K70" s="52"/>
      <c r="L70" s="52"/>
    </row>
    <row r="71" spans="3:12" ht="15.5">
      <c r="C71" s="52"/>
      <c r="D71" s="52"/>
      <c r="E71" s="52"/>
      <c r="F71" s="52"/>
      <c r="G71" s="52"/>
      <c r="H71" s="52"/>
      <c r="I71" s="52"/>
      <c r="J71" s="52"/>
      <c r="K71" s="52"/>
      <c r="L71" s="52"/>
    </row>
    <row r="72" spans="3:12" ht="15.5">
      <c r="C72" s="52"/>
      <c r="D72" s="52"/>
      <c r="E72" s="52"/>
      <c r="F72" s="52"/>
      <c r="G72" s="52"/>
      <c r="H72" s="52"/>
      <c r="I72" s="52"/>
      <c r="J72" s="52"/>
      <c r="K72" s="52"/>
      <c r="L72" s="52"/>
    </row>
    <row r="73" spans="3:12" ht="15.5">
      <c r="C73" s="52"/>
      <c r="D73" s="52"/>
      <c r="E73" s="52"/>
      <c r="F73" s="52"/>
      <c r="G73" s="52"/>
      <c r="H73" s="52"/>
      <c r="I73" s="52"/>
      <c r="J73" s="52"/>
      <c r="K73" s="52"/>
      <c r="L73" s="52"/>
    </row>
    <row r="74" spans="3:12" ht="15.5">
      <c r="C74" s="52"/>
      <c r="D74" s="52"/>
      <c r="E74" s="52"/>
      <c r="F74" s="52"/>
      <c r="G74" s="52"/>
      <c r="H74" s="52"/>
      <c r="I74" s="52"/>
      <c r="J74" s="52"/>
      <c r="K74" s="52"/>
      <c r="L74" s="52"/>
    </row>
    <row r="75" spans="3:12" ht="15.5">
      <c r="C75" s="52"/>
      <c r="D75" s="52"/>
      <c r="E75" s="52"/>
      <c r="F75" s="52"/>
      <c r="G75" s="52"/>
      <c r="H75" s="52"/>
      <c r="I75" s="52"/>
      <c r="J75" s="52"/>
      <c r="K75" s="52"/>
      <c r="L75" s="52"/>
    </row>
    <row r="76" spans="3:12" ht="15.5">
      <c r="C76" s="52"/>
      <c r="D76" s="52"/>
      <c r="E76" s="52"/>
      <c r="F76" s="52"/>
      <c r="G76" s="52"/>
      <c r="H76" s="52"/>
      <c r="I76" s="52"/>
      <c r="J76" s="52"/>
      <c r="K76" s="52"/>
      <c r="L76" s="52"/>
    </row>
    <row r="77" spans="3:12" ht="15.5">
      <c r="C77" s="52"/>
      <c r="D77" s="52"/>
      <c r="E77" s="52"/>
      <c r="F77" s="52"/>
      <c r="G77" s="52"/>
      <c r="H77" s="52"/>
      <c r="I77" s="52"/>
      <c r="J77" s="52"/>
      <c r="K77" s="52"/>
      <c r="L77" s="52"/>
    </row>
    <row r="78" spans="3:12" ht="15.5">
      <c r="C78" s="52"/>
      <c r="D78" s="52"/>
      <c r="E78" s="52"/>
      <c r="F78" s="52"/>
      <c r="G78" s="52"/>
      <c r="H78" s="52"/>
      <c r="I78" s="52"/>
      <c r="J78" s="52"/>
      <c r="K78" s="52"/>
      <c r="L78" s="52"/>
    </row>
    <row r="79" spans="3:12" ht="15.5">
      <c r="C79" s="52"/>
      <c r="D79" s="52"/>
      <c r="E79" s="52"/>
      <c r="F79" s="52"/>
      <c r="G79" s="52"/>
      <c r="H79" s="52"/>
      <c r="I79" s="52"/>
      <c r="J79" s="52"/>
      <c r="K79" s="52"/>
      <c r="L79" s="52"/>
    </row>
    <row r="80" spans="3:12" ht="15.5">
      <c r="C80" s="52"/>
      <c r="D80" s="52"/>
      <c r="E80" s="52"/>
      <c r="F80" s="52"/>
      <c r="G80" s="52"/>
      <c r="H80" s="52"/>
      <c r="I80" s="52"/>
      <c r="J80" s="52"/>
      <c r="K80" s="52"/>
      <c r="L80" s="52"/>
    </row>
    <row r="81" spans="3:12" ht="15.5">
      <c r="C81" s="52"/>
      <c r="D81" s="52"/>
      <c r="E81" s="52"/>
      <c r="F81" s="52"/>
      <c r="G81" s="52"/>
      <c r="H81" s="52"/>
      <c r="I81" s="52"/>
      <c r="J81" s="52"/>
      <c r="K81" s="52"/>
      <c r="L81" s="52"/>
    </row>
    <row r="82" spans="3:12" ht="15.5">
      <c r="C82" s="52"/>
      <c r="D82" s="52"/>
      <c r="E82" s="52"/>
      <c r="F82" s="52"/>
      <c r="G82" s="52"/>
      <c r="H82" s="52"/>
      <c r="I82" s="52"/>
      <c r="J82" s="52"/>
      <c r="K82" s="52"/>
      <c r="L82" s="52"/>
    </row>
    <row r="83" spans="3:12" ht="15.5">
      <c r="C83" s="52"/>
      <c r="D83" s="52"/>
      <c r="E83" s="52"/>
      <c r="F83" s="52"/>
      <c r="G83" s="52"/>
      <c r="H83" s="52"/>
      <c r="I83" s="52"/>
      <c r="J83" s="52"/>
      <c r="K83" s="52"/>
      <c r="L83" s="52"/>
    </row>
    <row r="84" spans="3:12" ht="15.5">
      <c r="C84" s="52"/>
      <c r="D84" s="52"/>
      <c r="E84" s="52"/>
      <c r="F84" s="52"/>
      <c r="G84" s="52"/>
      <c r="H84" s="52"/>
      <c r="I84" s="52"/>
      <c r="J84" s="52"/>
      <c r="K84" s="52"/>
      <c r="L84" s="52"/>
    </row>
    <row r="85" spans="3:12" ht="15.5">
      <c r="C85" s="52"/>
      <c r="D85" s="52"/>
      <c r="E85" s="52"/>
      <c r="F85" s="52"/>
      <c r="G85" s="52"/>
      <c r="H85" s="52"/>
      <c r="I85" s="52"/>
      <c r="J85" s="52"/>
      <c r="K85" s="52"/>
      <c r="L85" s="52"/>
    </row>
    <row r="86" spans="3:12" ht="15.5">
      <c r="C86" s="52"/>
      <c r="D86" s="52"/>
      <c r="E86" s="52"/>
      <c r="F86" s="52"/>
      <c r="G86" s="52"/>
      <c r="H86" s="52"/>
      <c r="I86" s="52"/>
      <c r="J86" s="52"/>
      <c r="K86" s="52"/>
      <c r="L86" s="52"/>
    </row>
    <row r="87" spans="3:12" ht="15.5">
      <c r="C87" s="52"/>
      <c r="D87" s="52"/>
      <c r="E87" s="52"/>
      <c r="F87" s="52"/>
      <c r="G87" s="52"/>
      <c r="H87" s="52"/>
      <c r="I87" s="52"/>
      <c r="J87" s="52"/>
      <c r="K87" s="52"/>
      <c r="L87" s="52"/>
    </row>
    <row r="88" spans="3:12" ht="15.5">
      <c r="C88" s="52"/>
      <c r="D88" s="52"/>
      <c r="E88" s="52"/>
      <c r="F88" s="52"/>
      <c r="G88" s="52"/>
      <c r="H88" s="52"/>
      <c r="I88" s="52"/>
      <c r="J88" s="52"/>
      <c r="K88" s="52"/>
      <c r="L88" s="52"/>
    </row>
    <row r="89" spans="3:12" ht="15.5">
      <c r="C89" s="52"/>
      <c r="D89" s="52"/>
      <c r="E89" s="52"/>
      <c r="F89" s="52"/>
      <c r="G89" s="52"/>
      <c r="H89" s="52"/>
      <c r="I89" s="52"/>
      <c r="J89" s="52"/>
      <c r="K89" s="52"/>
      <c r="L89" s="52"/>
    </row>
    <row r="90" spans="3:12" ht="15.5">
      <c r="C90" s="52"/>
      <c r="D90" s="52"/>
      <c r="E90" s="52"/>
      <c r="F90" s="52"/>
      <c r="G90" s="52"/>
      <c r="H90" s="52"/>
      <c r="I90" s="52"/>
      <c r="J90" s="52"/>
      <c r="K90" s="52"/>
      <c r="L90" s="52"/>
    </row>
    <row r="91" spans="3:12" ht="15.5">
      <c r="C91" s="52"/>
      <c r="D91" s="52"/>
      <c r="E91" s="52"/>
      <c r="F91" s="52"/>
      <c r="G91" s="52"/>
      <c r="H91" s="52"/>
      <c r="I91" s="52"/>
      <c r="J91" s="52"/>
      <c r="K91" s="52"/>
      <c r="L91" s="52"/>
    </row>
    <row r="92" spans="3:12" ht="15.5">
      <c r="C92" s="52"/>
      <c r="D92" s="52"/>
      <c r="E92" s="52"/>
      <c r="F92" s="52"/>
      <c r="G92" s="52"/>
      <c r="H92" s="52"/>
      <c r="I92" s="52"/>
      <c r="J92" s="52"/>
      <c r="K92" s="52"/>
      <c r="L92" s="52"/>
    </row>
    <row r="93" spans="3:12" ht="15.5">
      <c r="C93" s="52"/>
      <c r="D93" s="52"/>
      <c r="E93" s="52"/>
      <c r="F93" s="52"/>
      <c r="G93" s="52"/>
      <c r="H93" s="52"/>
      <c r="I93" s="52"/>
      <c r="J93" s="52"/>
      <c r="K93" s="52"/>
      <c r="L93" s="52"/>
    </row>
    <row r="94" spans="3:12" ht="15.5">
      <c r="C94" s="52"/>
      <c r="D94" s="52"/>
      <c r="E94" s="52"/>
      <c r="F94" s="52"/>
      <c r="G94" s="52"/>
      <c r="H94" s="52"/>
      <c r="I94" s="52"/>
      <c r="J94" s="52"/>
      <c r="K94" s="52"/>
      <c r="L94" s="52"/>
    </row>
    <row r="95" spans="3:12" ht="15.5">
      <c r="C95" s="52"/>
      <c r="D95" s="52"/>
      <c r="E95" s="52"/>
      <c r="F95" s="52"/>
      <c r="G95" s="52"/>
      <c r="H95" s="52"/>
      <c r="I95" s="52"/>
      <c r="J95" s="52"/>
      <c r="K95" s="52"/>
      <c r="L95" s="52"/>
    </row>
    <row r="96" spans="3:12" ht="15.5">
      <c r="C96" s="52"/>
      <c r="D96" s="52"/>
      <c r="E96" s="52"/>
      <c r="F96" s="52"/>
      <c r="G96" s="52"/>
      <c r="H96" s="52"/>
      <c r="I96" s="52"/>
      <c r="J96" s="52"/>
      <c r="K96" s="52"/>
      <c r="L96" s="52"/>
    </row>
    <row r="97" spans="3:12" ht="15.5">
      <c r="C97" s="52"/>
      <c r="D97" s="52"/>
      <c r="E97" s="52"/>
      <c r="F97" s="52"/>
      <c r="G97" s="52"/>
      <c r="H97" s="52"/>
      <c r="I97" s="52"/>
      <c r="J97" s="52"/>
      <c r="K97" s="52"/>
      <c r="L97" s="52"/>
    </row>
    <row r="98" spans="3:12" ht="15.5">
      <c r="C98" s="52"/>
      <c r="D98" s="52"/>
      <c r="E98" s="52"/>
      <c r="F98" s="52"/>
      <c r="G98" s="52"/>
      <c r="H98" s="52"/>
      <c r="I98" s="52"/>
      <c r="J98" s="52"/>
      <c r="K98" s="52"/>
      <c r="L98" s="52"/>
    </row>
    <row r="99" spans="3:12" ht="15.5">
      <c r="C99" s="52"/>
      <c r="D99" s="52"/>
      <c r="E99" s="52"/>
      <c r="F99" s="52"/>
      <c r="G99" s="52"/>
      <c r="H99" s="52"/>
      <c r="I99" s="52"/>
      <c r="J99" s="52"/>
      <c r="K99" s="52"/>
      <c r="L99" s="52"/>
    </row>
    <row r="100" spans="3:12" ht="15.5">
      <c r="C100" s="52"/>
      <c r="D100" s="52"/>
      <c r="E100" s="52"/>
      <c r="F100" s="52"/>
      <c r="G100" s="52"/>
      <c r="H100" s="52"/>
      <c r="I100" s="52"/>
      <c r="J100" s="52"/>
      <c r="K100" s="52"/>
      <c r="L100" s="52"/>
    </row>
    <row r="101" spans="3:12" ht="15.5">
      <c r="C101" s="52"/>
      <c r="D101" s="52"/>
      <c r="E101" s="52"/>
      <c r="F101" s="52"/>
      <c r="G101" s="52"/>
      <c r="H101" s="52"/>
      <c r="I101" s="52"/>
      <c r="J101" s="52"/>
      <c r="K101" s="52"/>
      <c r="L101" s="52"/>
    </row>
    <row r="102" spans="3:12" ht="15.5">
      <c r="C102" s="52"/>
      <c r="D102" s="52"/>
      <c r="E102" s="52"/>
      <c r="F102" s="52"/>
      <c r="G102" s="52"/>
      <c r="H102" s="52"/>
      <c r="I102" s="52"/>
      <c r="J102" s="52"/>
      <c r="K102" s="52"/>
      <c r="L102" s="52"/>
    </row>
    <row r="103" spans="3:12" ht="15.5">
      <c r="C103" s="52"/>
      <c r="D103" s="52"/>
      <c r="E103" s="52"/>
      <c r="F103" s="52"/>
      <c r="G103" s="52"/>
      <c r="H103" s="52"/>
      <c r="I103" s="52"/>
      <c r="J103" s="52"/>
      <c r="K103" s="52"/>
      <c r="L103" s="52"/>
    </row>
    <row r="104" spans="3:12" ht="15.5">
      <c r="C104" s="52"/>
      <c r="D104" s="52"/>
      <c r="E104" s="52"/>
      <c r="F104" s="52"/>
      <c r="G104" s="52"/>
      <c r="H104" s="52"/>
      <c r="I104" s="52"/>
      <c r="J104" s="52"/>
      <c r="K104" s="52"/>
      <c r="L104" s="52"/>
    </row>
    <row r="105" spans="3:12" ht="15.5">
      <c r="C105" s="52"/>
      <c r="D105" s="52"/>
      <c r="E105" s="52"/>
      <c r="F105" s="52"/>
      <c r="G105" s="52"/>
      <c r="H105" s="52"/>
      <c r="I105" s="52"/>
      <c r="J105" s="52"/>
      <c r="K105" s="52"/>
      <c r="L105" s="52"/>
    </row>
    <row r="106" spans="3:12" ht="15.5">
      <c r="C106" s="52"/>
      <c r="D106" s="52"/>
      <c r="E106" s="52"/>
      <c r="F106" s="52"/>
      <c r="G106" s="52"/>
      <c r="H106" s="52"/>
      <c r="I106" s="52"/>
      <c r="J106" s="52"/>
      <c r="K106" s="52"/>
      <c r="L106" s="52"/>
    </row>
    <row r="107" spans="3:12" ht="15.5">
      <c r="C107" s="52"/>
      <c r="D107" s="52"/>
      <c r="E107" s="52"/>
      <c r="F107" s="52"/>
      <c r="G107" s="52"/>
      <c r="H107" s="52"/>
      <c r="I107" s="52"/>
      <c r="J107" s="52"/>
      <c r="K107" s="52"/>
      <c r="L107" s="52"/>
    </row>
    <row r="108" spans="3:12" ht="15.5">
      <c r="C108" s="52"/>
      <c r="D108" s="52"/>
      <c r="E108" s="52"/>
      <c r="F108" s="52"/>
      <c r="G108" s="52"/>
      <c r="H108" s="52"/>
      <c r="I108" s="52"/>
      <c r="J108" s="52"/>
      <c r="K108" s="52"/>
      <c r="L108" s="52"/>
    </row>
    <row r="109" spans="3:12" ht="15.5">
      <c r="C109" s="52"/>
      <c r="D109" s="52"/>
      <c r="E109" s="52"/>
      <c r="F109" s="52"/>
      <c r="G109" s="52"/>
      <c r="H109" s="52"/>
      <c r="I109" s="52"/>
      <c r="J109" s="52"/>
      <c r="K109" s="52"/>
      <c r="L109" s="52"/>
    </row>
    <row r="110" spans="3:12" ht="15.5">
      <c r="C110" s="52"/>
      <c r="D110" s="52"/>
      <c r="E110" s="52"/>
      <c r="F110" s="52"/>
      <c r="G110" s="52"/>
      <c r="H110" s="52"/>
      <c r="I110" s="52"/>
      <c r="J110" s="52"/>
      <c r="K110" s="52"/>
      <c r="L110" s="52"/>
    </row>
    <row r="111" spans="3:12" ht="15.5">
      <c r="C111" s="52"/>
      <c r="D111" s="52"/>
      <c r="E111" s="52"/>
      <c r="F111" s="52"/>
      <c r="G111" s="52"/>
      <c r="H111" s="52"/>
      <c r="I111" s="52"/>
      <c r="J111" s="52"/>
      <c r="K111" s="52"/>
      <c r="L111" s="52"/>
    </row>
    <row r="112" spans="3:12" ht="15.5">
      <c r="C112" s="52"/>
      <c r="D112" s="52"/>
      <c r="E112" s="52"/>
      <c r="F112" s="52"/>
      <c r="G112" s="52"/>
      <c r="H112" s="52"/>
      <c r="I112" s="52"/>
      <c r="J112" s="52"/>
      <c r="K112" s="52"/>
      <c r="L112" s="52"/>
    </row>
    <row r="113" spans="3:12" ht="15.5">
      <c r="C113" s="52"/>
      <c r="D113" s="52"/>
      <c r="E113" s="52"/>
      <c r="F113" s="52"/>
      <c r="G113" s="52"/>
      <c r="H113" s="52"/>
      <c r="I113" s="52"/>
      <c r="J113" s="52"/>
      <c r="K113" s="52"/>
      <c r="L113" s="52"/>
    </row>
    <row r="114" spans="3:12" ht="15.5">
      <c r="C114" s="52"/>
      <c r="D114" s="52"/>
      <c r="E114" s="52"/>
      <c r="F114" s="52"/>
      <c r="G114" s="52"/>
      <c r="H114" s="52"/>
      <c r="I114" s="52"/>
      <c r="J114" s="52"/>
      <c r="K114" s="52"/>
      <c r="L114" s="52"/>
    </row>
    <row r="115" spans="3:12" ht="15.5">
      <c r="C115" s="52"/>
      <c r="D115" s="52"/>
      <c r="E115" s="52"/>
      <c r="F115" s="52"/>
      <c r="G115" s="52"/>
      <c r="H115" s="52"/>
      <c r="I115" s="52"/>
      <c r="J115" s="52"/>
      <c r="K115" s="52"/>
      <c r="L115" s="52"/>
    </row>
    <row r="116" spans="3:12" ht="15.5">
      <c r="C116" s="52"/>
      <c r="D116" s="52"/>
      <c r="E116" s="52"/>
      <c r="F116" s="52"/>
      <c r="G116" s="52"/>
      <c r="H116" s="52"/>
      <c r="I116" s="52"/>
      <c r="J116" s="52"/>
      <c r="K116" s="52"/>
      <c r="L116" s="52"/>
    </row>
    <row r="117" spans="3:12" ht="15.5">
      <c r="C117" s="52"/>
      <c r="D117" s="52"/>
      <c r="E117" s="52"/>
      <c r="F117" s="52"/>
      <c r="G117" s="52"/>
      <c r="H117" s="52"/>
      <c r="I117" s="52"/>
      <c r="J117" s="52"/>
      <c r="K117" s="52"/>
      <c r="L117" s="52"/>
    </row>
    <row r="118" spans="3:12" ht="15.5">
      <c r="C118" s="52"/>
      <c r="D118" s="52"/>
      <c r="E118" s="52"/>
      <c r="F118" s="52"/>
      <c r="G118" s="52"/>
      <c r="H118" s="52"/>
      <c r="I118" s="52"/>
      <c r="J118" s="52"/>
      <c r="K118" s="52"/>
      <c r="L118" s="52"/>
    </row>
    <row r="119" spans="3:12" ht="15.5">
      <c r="C119" s="52"/>
      <c r="D119" s="52"/>
      <c r="E119" s="52"/>
      <c r="F119" s="52"/>
      <c r="G119" s="52"/>
      <c r="H119" s="52"/>
      <c r="I119" s="52"/>
      <c r="J119" s="52"/>
      <c r="K119" s="52"/>
      <c r="L119" s="52"/>
    </row>
    <row r="120" spans="3:12" ht="15.5">
      <c r="C120" s="52"/>
      <c r="D120" s="52"/>
      <c r="E120" s="52"/>
      <c r="F120" s="52"/>
      <c r="G120" s="52"/>
      <c r="H120" s="52"/>
      <c r="I120" s="52"/>
      <c r="J120" s="52"/>
      <c r="K120" s="52"/>
      <c r="L120" s="52"/>
    </row>
    <row r="121" spans="3:12" ht="15.5">
      <c r="C121" s="52"/>
      <c r="D121" s="52"/>
      <c r="E121" s="52"/>
      <c r="F121" s="52"/>
      <c r="G121" s="52"/>
      <c r="H121" s="52"/>
      <c r="I121" s="52"/>
      <c r="J121" s="52"/>
      <c r="K121" s="52"/>
      <c r="L121" s="52"/>
    </row>
    <row r="122" spans="3:12" ht="15.5">
      <c r="C122" s="52"/>
      <c r="D122" s="52"/>
      <c r="E122" s="52"/>
      <c r="F122" s="52"/>
      <c r="G122" s="52"/>
      <c r="H122" s="52"/>
      <c r="I122" s="52"/>
      <c r="J122" s="52"/>
      <c r="K122" s="52"/>
      <c r="L122" s="52"/>
    </row>
    <row r="123" spans="3:12" ht="15.5">
      <c r="C123" s="52"/>
      <c r="D123" s="52"/>
      <c r="E123" s="52"/>
      <c r="F123" s="52"/>
      <c r="G123" s="52"/>
      <c r="H123" s="52"/>
      <c r="I123" s="52"/>
      <c r="J123" s="52"/>
      <c r="K123" s="52"/>
      <c r="L123" s="52"/>
    </row>
    <row r="124" spans="3:12" ht="15.5">
      <c r="C124" s="52"/>
      <c r="D124" s="52"/>
      <c r="E124" s="52"/>
      <c r="F124" s="52"/>
      <c r="G124" s="52"/>
      <c r="H124" s="52"/>
      <c r="I124" s="52"/>
      <c r="J124" s="52"/>
      <c r="K124" s="52"/>
      <c r="L124" s="52"/>
    </row>
    <row r="125" spans="3:12" ht="15.5">
      <c r="C125" s="52"/>
      <c r="D125" s="52"/>
      <c r="E125" s="52"/>
      <c r="F125" s="52"/>
      <c r="G125" s="52"/>
      <c r="H125" s="52"/>
      <c r="I125" s="52"/>
      <c r="J125" s="52"/>
      <c r="K125" s="52"/>
      <c r="L125" s="52"/>
    </row>
    <row r="126" spans="3:12" ht="15.5">
      <c r="C126" s="52"/>
      <c r="D126" s="52"/>
      <c r="E126" s="52"/>
      <c r="F126" s="52"/>
      <c r="G126" s="52"/>
      <c r="H126" s="52"/>
      <c r="I126" s="52"/>
      <c r="J126" s="52"/>
      <c r="K126" s="52"/>
      <c r="L126" s="52"/>
    </row>
    <row r="127" spans="3:12" ht="15.5">
      <c r="C127" s="52"/>
      <c r="D127" s="52"/>
      <c r="E127" s="52"/>
      <c r="F127" s="52"/>
      <c r="G127" s="52"/>
      <c r="H127" s="52"/>
      <c r="I127" s="52"/>
      <c r="J127" s="52"/>
      <c r="K127" s="52"/>
      <c r="L127" s="52"/>
    </row>
    <row r="128" spans="3:12" ht="15.5">
      <c r="C128" s="52"/>
      <c r="D128" s="52"/>
      <c r="E128" s="52"/>
      <c r="F128" s="52"/>
      <c r="G128" s="52"/>
      <c r="H128" s="52"/>
      <c r="I128" s="52"/>
      <c r="J128" s="52"/>
      <c r="K128" s="52"/>
      <c r="L128" s="52"/>
    </row>
    <row r="129" spans="3:12" ht="15.5">
      <c r="C129" s="52"/>
      <c r="D129" s="52"/>
      <c r="E129" s="52"/>
      <c r="F129" s="52"/>
      <c r="G129" s="52"/>
      <c r="H129" s="52"/>
      <c r="I129" s="52"/>
      <c r="J129" s="52"/>
      <c r="K129" s="52"/>
      <c r="L129" s="52"/>
    </row>
    <row r="130" spans="3:12" ht="15.5">
      <c r="C130" s="52"/>
      <c r="D130" s="52"/>
      <c r="E130" s="52"/>
      <c r="F130" s="52"/>
      <c r="G130" s="52"/>
      <c r="H130" s="52"/>
      <c r="I130" s="52"/>
      <c r="J130" s="52"/>
      <c r="K130" s="52"/>
      <c r="L130" s="52"/>
    </row>
    <row r="131" spans="3:12" ht="15.5">
      <c r="C131" s="52"/>
      <c r="D131" s="52"/>
      <c r="E131" s="52"/>
      <c r="F131" s="52"/>
      <c r="G131" s="52"/>
      <c r="H131" s="52"/>
      <c r="I131" s="52"/>
      <c r="J131" s="52"/>
      <c r="K131" s="52"/>
      <c r="L131" s="52"/>
    </row>
    <row r="132" spans="3:12" ht="15.5">
      <c r="C132" s="52"/>
      <c r="D132" s="52"/>
      <c r="E132" s="52"/>
      <c r="F132" s="52"/>
      <c r="G132" s="52"/>
      <c r="H132" s="52"/>
      <c r="I132" s="52"/>
      <c r="J132" s="52"/>
      <c r="K132" s="52"/>
      <c r="L132" s="52"/>
    </row>
    <row r="133" spans="3:12" ht="15.5">
      <c r="C133" s="52"/>
      <c r="D133" s="52"/>
      <c r="E133" s="52"/>
      <c r="F133" s="52"/>
      <c r="G133" s="52"/>
      <c r="H133" s="52"/>
      <c r="I133" s="52"/>
      <c r="J133" s="52"/>
      <c r="K133" s="52"/>
      <c r="L133" s="52"/>
    </row>
    <row r="134" spans="3:12" ht="15.5">
      <c r="C134" s="52"/>
      <c r="D134" s="52"/>
      <c r="E134" s="52"/>
      <c r="F134" s="52"/>
      <c r="G134" s="52"/>
      <c r="H134" s="52"/>
      <c r="I134" s="52"/>
      <c r="J134" s="52"/>
      <c r="K134" s="52"/>
      <c r="L134" s="52"/>
    </row>
    <row r="135" spans="3:12" ht="15.5">
      <c r="C135" s="52"/>
      <c r="D135" s="52"/>
      <c r="E135" s="52"/>
      <c r="F135" s="52"/>
      <c r="G135" s="52"/>
      <c r="H135" s="52"/>
      <c r="I135" s="52"/>
      <c r="J135" s="52"/>
      <c r="K135" s="52"/>
      <c r="L135" s="52"/>
    </row>
    <row r="136" spans="3:12" ht="15.5">
      <c r="C136" s="52"/>
      <c r="D136" s="52"/>
      <c r="E136" s="52"/>
      <c r="F136" s="52"/>
      <c r="G136" s="52"/>
      <c r="H136" s="52"/>
      <c r="I136" s="52"/>
      <c r="J136" s="52"/>
      <c r="K136" s="52"/>
      <c r="L136" s="52"/>
    </row>
    <row r="137" spans="3:12" ht="15.5">
      <c r="C137" s="52"/>
      <c r="D137" s="52"/>
      <c r="E137" s="52"/>
      <c r="F137" s="52"/>
      <c r="G137" s="52"/>
      <c r="H137" s="52"/>
      <c r="I137" s="52"/>
      <c r="J137" s="52"/>
      <c r="K137" s="52"/>
      <c r="L137" s="52"/>
    </row>
    <row r="138" spans="3:12" ht="15.5">
      <c r="C138" s="52"/>
      <c r="D138" s="52"/>
      <c r="E138" s="52"/>
      <c r="F138" s="52"/>
      <c r="G138" s="52"/>
      <c r="H138" s="52"/>
      <c r="I138" s="52"/>
      <c r="J138" s="52"/>
      <c r="K138" s="52"/>
      <c r="L138" s="52"/>
    </row>
    <row r="139" spans="3:12" ht="15.5">
      <c r="C139" s="52"/>
      <c r="D139" s="52"/>
      <c r="E139" s="52"/>
      <c r="F139" s="52"/>
      <c r="G139" s="52"/>
      <c r="H139" s="52"/>
      <c r="I139" s="52"/>
      <c r="J139" s="52"/>
      <c r="K139" s="52"/>
      <c r="L139" s="52"/>
    </row>
    <row r="140" spans="3:12" ht="15.5">
      <c r="C140" s="52"/>
      <c r="D140" s="52"/>
      <c r="E140" s="52"/>
      <c r="F140" s="52"/>
      <c r="G140" s="52"/>
      <c r="H140" s="52"/>
      <c r="I140" s="52"/>
      <c r="J140" s="52"/>
      <c r="K140" s="52"/>
      <c r="L140" s="52"/>
    </row>
    <row r="141" spans="3:12" ht="15.5">
      <c r="C141" s="52"/>
      <c r="D141" s="52"/>
      <c r="E141" s="52"/>
      <c r="F141" s="52"/>
      <c r="G141" s="52"/>
      <c r="H141" s="52"/>
      <c r="I141" s="52"/>
      <c r="J141" s="52"/>
      <c r="K141" s="52"/>
      <c r="L141" s="52"/>
    </row>
    <row r="142" spans="3:12" ht="15.5">
      <c r="C142" s="52"/>
      <c r="D142" s="52"/>
      <c r="E142" s="52"/>
      <c r="F142" s="52"/>
      <c r="G142" s="52"/>
      <c r="H142" s="52"/>
      <c r="I142" s="52"/>
      <c r="J142" s="52"/>
      <c r="K142" s="52"/>
      <c r="L142" s="52"/>
    </row>
    <row r="143" spans="3:12" ht="15.5">
      <c r="C143" s="52"/>
      <c r="D143" s="52"/>
      <c r="E143" s="52"/>
      <c r="F143" s="52"/>
      <c r="G143" s="52"/>
      <c r="H143" s="52"/>
      <c r="I143" s="52"/>
      <c r="J143" s="52"/>
      <c r="K143" s="52"/>
      <c r="L143" s="52"/>
    </row>
    <row r="144" spans="3:12" ht="15.5">
      <c r="C144" s="52"/>
      <c r="D144" s="52"/>
      <c r="E144" s="52"/>
      <c r="F144" s="52"/>
      <c r="G144" s="52"/>
      <c r="H144" s="52"/>
      <c r="I144" s="52"/>
      <c r="J144" s="52"/>
      <c r="K144" s="52"/>
      <c r="L144" s="52"/>
    </row>
    <row r="145" spans="3:12" ht="15.5">
      <c r="C145" s="52"/>
      <c r="D145" s="52"/>
      <c r="E145" s="52"/>
      <c r="F145" s="52"/>
      <c r="G145" s="52"/>
      <c r="H145" s="52"/>
      <c r="I145" s="52"/>
      <c r="J145" s="52"/>
      <c r="K145" s="52"/>
      <c r="L145" s="52"/>
    </row>
    <row r="146" spans="3:12" ht="15.5">
      <c r="C146" s="52"/>
      <c r="D146" s="52"/>
      <c r="E146" s="52"/>
      <c r="F146" s="52"/>
      <c r="G146" s="52"/>
      <c r="H146" s="52"/>
      <c r="I146" s="52"/>
      <c r="J146" s="52"/>
      <c r="K146" s="52"/>
      <c r="L146" s="52"/>
    </row>
    <row r="147" spans="3:12" ht="15.5">
      <c r="C147" s="52"/>
      <c r="D147" s="52"/>
      <c r="E147" s="52"/>
      <c r="F147" s="52"/>
      <c r="G147" s="52"/>
      <c r="H147" s="52"/>
      <c r="I147" s="52"/>
      <c r="J147" s="52"/>
      <c r="K147" s="52"/>
      <c r="L147" s="52"/>
    </row>
    <row r="148" spans="3:12" ht="15.5">
      <c r="C148" s="52"/>
      <c r="D148" s="52"/>
      <c r="E148" s="52"/>
      <c r="F148" s="52"/>
      <c r="G148" s="52"/>
      <c r="H148" s="52"/>
      <c r="I148" s="52"/>
      <c r="J148" s="52"/>
      <c r="K148" s="52"/>
      <c r="L148" s="52"/>
    </row>
    <row r="149" spans="3:12" ht="15.5">
      <c r="C149" s="52"/>
      <c r="D149" s="52"/>
      <c r="E149" s="52"/>
      <c r="F149" s="52"/>
      <c r="G149" s="52"/>
      <c r="H149" s="52"/>
      <c r="I149" s="52"/>
      <c r="J149" s="52"/>
      <c r="K149" s="52"/>
      <c r="L149" s="52"/>
    </row>
    <row r="150" spans="3:12" ht="15.5">
      <c r="C150" s="52"/>
      <c r="D150" s="52"/>
      <c r="E150" s="52"/>
      <c r="F150" s="52"/>
      <c r="G150" s="52"/>
      <c r="H150" s="52"/>
      <c r="I150" s="52"/>
      <c r="J150" s="52"/>
      <c r="K150" s="52"/>
      <c r="L150" s="52"/>
    </row>
    <row r="151" spans="3:12" ht="15.5">
      <c r="C151" s="52"/>
      <c r="D151" s="52"/>
      <c r="E151" s="52"/>
      <c r="F151" s="52"/>
      <c r="G151" s="52"/>
      <c r="H151" s="52"/>
      <c r="I151" s="52"/>
      <c r="J151" s="52"/>
      <c r="K151" s="52"/>
      <c r="L151" s="52"/>
    </row>
    <row r="152" spans="3:12" ht="15.5">
      <c r="C152" s="52"/>
      <c r="D152" s="52"/>
      <c r="E152" s="52"/>
      <c r="F152" s="52"/>
      <c r="G152" s="52"/>
      <c r="H152" s="52"/>
      <c r="I152" s="52"/>
      <c r="J152" s="52"/>
      <c r="K152" s="52"/>
      <c r="L152" s="52"/>
    </row>
    <row r="153" spans="3:12" ht="15.5">
      <c r="C153" s="52"/>
      <c r="D153" s="52"/>
      <c r="E153" s="52"/>
      <c r="F153" s="52"/>
      <c r="G153" s="52"/>
      <c r="H153" s="52"/>
      <c r="I153" s="52"/>
      <c r="J153" s="52"/>
      <c r="K153" s="52"/>
      <c r="L153" s="52"/>
    </row>
    <row r="154" spans="3:12" ht="15.5">
      <c r="C154" s="52"/>
      <c r="D154" s="52"/>
      <c r="E154" s="52"/>
      <c r="F154" s="52"/>
      <c r="G154" s="52"/>
      <c r="H154" s="52"/>
      <c r="I154" s="52"/>
      <c r="J154" s="52"/>
      <c r="K154" s="52"/>
      <c r="L154" s="52"/>
    </row>
    <row r="155" spans="3:12" ht="15.5">
      <c r="C155" s="52"/>
      <c r="D155" s="52"/>
      <c r="E155" s="52"/>
      <c r="F155" s="52"/>
      <c r="G155" s="52"/>
      <c r="H155" s="52"/>
      <c r="I155" s="52"/>
      <c r="J155" s="52"/>
      <c r="K155" s="52"/>
      <c r="L155" s="52"/>
    </row>
    <row r="156" spans="3:12" ht="15.5">
      <c r="C156" s="52"/>
      <c r="D156" s="52"/>
      <c r="E156" s="52"/>
      <c r="F156" s="52"/>
      <c r="G156" s="52"/>
      <c r="H156" s="52"/>
      <c r="I156" s="52"/>
      <c r="J156" s="52"/>
      <c r="K156" s="52"/>
      <c r="L156" s="52"/>
    </row>
    <row r="157" spans="3:12" ht="15.5">
      <c r="C157" s="52"/>
      <c r="D157" s="52"/>
      <c r="E157" s="52"/>
      <c r="F157" s="52"/>
      <c r="G157" s="52"/>
      <c r="H157" s="52"/>
      <c r="I157" s="52"/>
      <c r="J157" s="52"/>
      <c r="K157" s="52"/>
      <c r="L157" s="52"/>
    </row>
    <row r="158" spans="3:12" ht="15.5">
      <c r="C158" s="52"/>
      <c r="D158" s="52"/>
      <c r="E158" s="52"/>
      <c r="F158" s="52"/>
      <c r="G158" s="52"/>
      <c r="H158" s="52"/>
      <c r="I158" s="52"/>
      <c r="J158" s="52"/>
      <c r="K158" s="52"/>
      <c r="L158" s="52"/>
    </row>
    <row r="159" spans="3:12" ht="15.5">
      <c r="C159" s="52"/>
      <c r="D159" s="52"/>
      <c r="E159" s="52"/>
      <c r="F159" s="52"/>
      <c r="G159" s="52"/>
      <c r="H159" s="52"/>
      <c r="I159" s="52"/>
      <c r="J159" s="52"/>
      <c r="K159" s="52"/>
      <c r="L159" s="52"/>
    </row>
    <row r="160" spans="3:12" ht="15.5">
      <c r="C160" s="52"/>
      <c r="D160" s="52"/>
      <c r="E160" s="52"/>
      <c r="F160" s="52"/>
      <c r="G160" s="52"/>
      <c r="H160" s="52"/>
      <c r="I160" s="52"/>
      <c r="J160" s="52"/>
      <c r="K160" s="52"/>
      <c r="L160" s="52"/>
    </row>
    <row r="161" spans="3:12" ht="15.5">
      <c r="C161" s="52"/>
      <c r="D161" s="52"/>
      <c r="E161" s="52"/>
      <c r="F161" s="52"/>
      <c r="G161" s="52"/>
      <c r="H161" s="52"/>
      <c r="I161" s="52"/>
      <c r="J161" s="52"/>
      <c r="K161" s="52"/>
      <c r="L161" s="52"/>
    </row>
    <row r="162" spans="3:12" ht="15.5">
      <c r="C162" s="52"/>
      <c r="D162" s="52"/>
      <c r="E162" s="52"/>
      <c r="F162" s="52"/>
      <c r="G162" s="52"/>
      <c r="H162" s="52"/>
      <c r="I162" s="52"/>
      <c r="J162" s="52"/>
      <c r="K162" s="52"/>
      <c r="L162" s="52"/>
    </row>
    <row r="163" spans="3:12" ht="15.5">
      <c r="C163" s="52"/>
      <c r="D163" s="52"/>
      <c r="E163" s="52"/>
      <c r="F163" s="52"/>
      <c r="G163" s="52"/>
      <c r="H163" s="52"/>
      <c r="I163" s="52"/>
      <c r="J163" s="52"/>
      <c r="K163" s="52"/>
      <c r="L163" s="52"/>
    </row>
    <row r="164" spans="3:12" ht="15.5">
      <c r="C164" s="52"/>
      <c r="D164" s="52"/>
      <c r="E164" s="52"/>
      <c r="F164" s="52"/>
      <c r="G164" s="52"/>
      <c r="H164" s="52"/>
      <c r="I164" s="52"/>
      <c r="J164" s="52"/>
      <c r="K164" s="52"/>
      <c r="L164" s="52"/>
    </row>
    <row r="165" spans="3:12" ht="15.5">
      <c r="C165" s="52"/>
      <c r="D165" s="52"/>
      <c r="E165" s="52"/>
      <c r="F165" s="52"/>
      <c r="G165" s="52"/>
      <c r="H165" s="52"/>
      <c r="I165" s="52"/>
      <c r="J165" s="52"/>
      <c r="K165" s="52"/>
      <c r="L165" s="52"/>
    </row>
    <row r="166" spans="3:12" ht="15.5">
      <c r="C166" s="52"/>
      <c r="D166" s="52"/>
      <c r="E166" s="52"/>
      <c r="F166" s="52"/>
      <c r="G166" s="52"/>
      <c r="H166" s="52"/>
      <c r="I166" s="52"/>
      <c r="J166" s="52"/>
      <c r="K166" s="52"/>
      <c r="L166" s="52"/>
    </row>
    <row r="167" spans="3:12" ht="15.5">
      <c r="C167" s="52"/>
      <c r="D167" s="52"/>
      <c r="E167" s="52"/>
      <c r="F167" s="52"/>
      <c r="G167" s="52"/>
      <c r="H167" s="52"/>
      <c r="I167" s="52"/>
      <c r="J167" s="52"/>
      <c r="K167" s="52"/>
      <c r="L167" s="52"/>
    </row>
    <row r="168" spans="3:12" ht="15.5">
      <c r="C168" s="52"/>
      <c r="D168" s="52"/>
      <c r="E168" s="52"/>
      <c r="F168" s="52"/>
      <c r="G168" s="52"/>
      <c r="H168" s="52"/>
      <c r="I168" s="52"/>
      <c r="J168" s="52"/>
      <c r="K168" s="52"/>
      <c r="L168" s="52"/>
    </row>
    <row r="169" spans="3:12" ht="15.5">
      <c r="C169" s="52"/>
      <c r="D169" s="52"/>
      <c r="E169" s="52"/>
      <c r="F169" s="52"/>
      <c r="G169" s="52"/>
      <c r="H169" s="52"/>
      <c r="I169" s="52"/>
      <c r="J169" s="52"/>
      <c r="K169" s="52"/>
      <c r="L169" s="52"/>
    </row>
    <row r="170" spans="3:12" ht="15.5">
      <c r="C170" s="52"/>
      <c r="D170" s="52"/>
      <c r="E170" s="52"/>
      <c r="F170" s="52"/>
      <c r="G170" s="52"/>
      <c r="H170" s="52"/>
      <c r="I170" s="52"/>
      <c r="J170" s="52"/>
      <c r="K170" s="52"/>
      <c r="L170" s="52"/>
    </row>
    <row r="171" spans="3:12" ht="15.5">
      <c r="C171" s="52"/>
      <c r="D171" s="52"/>
      <c r="E171" s="52"/>
      <c r="F171" s="52"/>
      <c r="G171" s="52"/>
      <c r="H171" s="52"/>
      <c r="I171" s="52"/>
      <c r="J171" s="52"/>
      <c r="K171" s="52"/>
      <c r="L171" s="52"/>
    </row>
    <row r="172" spans="3:12" ht="15.5">
      <c r="C172" s="52"/>
      <c r="D172" s="52"/>
      <c r="E172" s="52"/>
      <c r="F172" s="52"/>
      <c r="G172" s="52"/>
      <c r="H172" s="52"/>
      <c r="I172" s="52"/>
      <c r="J172" s="52"/>
      <c r="K172" s="52"/>
      <c r="L172" s="52"/>
    </row>
    <row r="173" spans="3:12" ht="15.5">
      <c r="C173" s="52"/>
      <c r="D173" s="52"/>
      <c r="E173" s="52"/>
      <c r="F173" s="52"/>
      <c r="G173" s="52"/>
      <c r="H173" s="52"/>
      <c r="I173" s="52"/>
      <c r="J173" s="52"/>
      <c r="K173" s="52"/>
      <c r="L173" s="52"/>
    </row>
    <row r="174" spans="3:12" ht="15.5">
      <c r="C174" s="52"/>
      <c r="D174" s="52"/>
      <c r="E174" s="52"/>
      <c r="F174" s="52"/>
      <c r="G174" s="52"/>
      <c r="H174" s="52"/>
      <c r="I174" s="52"/>
      <c r="J174" s="52"/>
      <c r="K174" s="52"/>
      <c r="L174" s="52"/>
    </row>
    <row r="175" spans="3:12" ht="15.5">
      <c r="C175" s="52"/>
      <c r="D175" s="52"/>
      <c r="E175" s="52"/>
      <c r="F175" s="52"/>
      <c r="G175" s="52"/>
      <c r="H175" s="52"/>
      <c r="I175" s="52"/>
      <c r="J175" s="52"/>
      <c r="K175" s="52"/>
      <c r="L175" s="52"/>
    </row>
    <row r="176" spans="3:12" ht="15.5">
      <c r="C176" s="52"/>
      <c r="D176" s="52"/>
      <c r="E176" s="52"/>
      <c r="F176" s="52"/>
      <c r="G176" s="52"/>
      <c r="H176" s="52"/>
      <c r="I176" s="52"/>
      <c r="J176" s="52"/>
      <c r="K176" s="52"/>
      <c r="L176" s="52"/>
    </row>
    <row r="177" spans="3:12" ht="15.5">
      <c r="C177" s="52"/>
      <c r="D177" s="52"/>
      <c r="E177" s="52"/>
      <c r="F177" s="52"/>
      <c r="G177" s="52"/>
      <c r="H177" s="52"/>
      <c r="I177" s="52"/>
      <c r="J177" s="52"/>
      <c r="K177" s="52"/>
      <c r="L177" s="52"/>
    </row>
    <row r="178" spans="3:12" ht="15.5">
      <c r="C178" s="52"/>
      <c r="D178" s="52"/>
      <c r="E178" s="52"/>
      <c r="F178" s="52"/>
      <c r="G178" s="52"/>
      <c r="H178" s="52"/>
      <c r="I178" s="52"/>
      <c r="J178" s="52"/>
      <c r="K178" s="52"/>
      <c r="L178" s="52"/>
    </row>
    <row r="179" spans="3:12" ht="15.5">
      <c r="C179" s="52"/>
      <c r="D179" s="52"/>
      <c r="E179" s="52"/>
      <c r="F179" s="52"/>
      <c r="G179" s="52"/>
      <c r="H179" s="52"/>
      <c r="I179" s="52"/>
      <c r="J179" s="52"/>
      <c r="K179" s="52"/>
      <c r="L179" s="52"/>
    </row>
    <row r="180" spans="3:12" ht="15.5">
      <c r="C180" s="52"/>
      <c r="D180" s="52"/>
      <c r="E180" s="52"/>
      <c r="F180" s="52"/>
      <c r="G180" s="52"/>
      <c r="H180" s="52"/>
      <c r="I180" s="52"/>
      <c r="J180" s="52"/>
      <c r="K180" s="52"/>
      <c r="L180" s="52"/>
    </row>
    <row r="181" spans="3:12" ht="15.5">
      <c r="C181" s="52"/>
      <c r="D181" s="52"/>
      <c r="E181" s="52"/>
      <c r="F181" s="52"/>
      <c r="G181" s="52"/>
      <c r="H181" s="52"/>
      <c r="I181" s="52"/>
      <c r="J181" s="52"/>
      <c r="K181" s="52"/>
      <c r="L181" s="52"/>
    </row>
    <row r="182" spans="3:12" ht="15.5">
      <c r="C182" s="52"/>
      <c r="D182" s="52"/>
      <c r="E182" s="52"/>
      <c r="F182" s="52"/>
      <c r="G182" s="52"/>
      <c r="H182" s="52"/>
      <c r="I182" s="52"/>
      <c r="J182" s="52"/>
      <c r="K182" s="52"/>
      <c r="L182" s="52"/>
    </row>
    <row r="183" spans="3:12" ht="15.5">
      <c r="C183" s="52"/>
      <c r="D183" s="52"/>
      <c r="E183" s="52"/>
      <c r="F183" s="52"/>
      <c r="G183" s="52"/>
      <c r="H183" s="52"/>
      <c r="I183" s="52"/>
      <c r="J183" s="52"/>
      <c r="K183" s="52"/>
      <c r="L183" s="52"/>
    </row>
    <row r="184" spans="3:12" ht="15.5">
      <c r="C184" s="52"/>
      <c r="D184" s="52"/>
      <c r="E184" s="52"/>
      <c r="F184" s="52"/>
      <c r="G184" s="52"/>
      <c r="H184" s="52"/>
      <c r="I184" s="52"/>
      <c r="J184" s="52"/>
      <c r="K184" s="52"/>
      <c r="L184" s="52"/>
    </row>
    <row r="185" spans="3:12" ht="15.5">
      <c r="C185" s="52"/>
      <c r="D185" s="52"/>
      <c r="E185" s="52"/>
      <c r="F185" s="52"/>
      <c r="G185" s="52"/>
      <c r="H185" s="52"/>
      <c r="I185" s="52"/>
      <c r="J185" s="52"/>
      <c r="K185" s="52"/>
      <c r="L185" s="52"/>
    </row>
    <row r="186" spans="3:12" ht="15.5">
      <c r="C186" s="52"/>
      <c r="D186" s="52"/>
      <c r="E186" s="52"/>
      <c r="F186" s="52"/>
      <c r="G186" s="52"/>
      <c r="H186" s="52"/>
      <c r="I186" s="52"/>
      <c r="J186" s="52"/>
      <c r="K186" s="52"/>
      <c r="L186" s="52"/>
    </row>
    <row r="187" spans="3:12" ht="15.5">
      <c r="C187" s="52"/>
      <c r="D187" s="52"/>
      <c r="E187" s="52"/>
      <c r="F187" s="52"/>
      <c r="G187" s="52"/>
      <c r="H187" s="52"/>
      <c r="I187" s="52"/>
      <c r="J187" s="52"/>
      <c r="K187" s="52"/>
      <c r="L187" s="52"/>
    </row>
    <row r="188" spans="3:12" ht="15.5">
      <c r="C188" s="52"/>
      <c r="D188" s="52"/>
      <c r="E188" s="52"/>
      <c r="F188" s="52"/>
      <c r="G188" s="52"/>
      <c r="H188" s="52"/>
      <c r="I188" s="52"/>
      <c r="J188" s="52"/>
      <c r="K188" s="52"/>
      <c r="L188" s="52"/>
    </row>
    <row r="189" spans="3:12" ht="15.5">
      <c r="C189" s="52"/>
      <c r="D189" s="52"/>
      <c r="E189" s="52"/>
      <c r="F189" s="52"/>
      <c r="G189" s="52"/>
      <c r="H189" s="52"/>
      <c r="I189" s="52"/>
      <c r="J189" s="52"/>
      <c r="K189" s="52"/>
      <c r="L189" s="52"/>
    </row>
    <row r="190" spans="3:12" ht="15.5">
      <c r="C190" s="52"/>
      <c r="D190" s="52"/>
      <c r="E190" s="52"/>
      <c r="F190" s="52"/>
      <c r="G190" s="52"/>
      <c r="H190" s="52"/>
      <c r="I190" s="52"/>
      <c r="J190" s="52"/>
      <c r="K190" s="52"/>
      <c r="L190" s="52"/>
    </row>
    <row r="191" spans="3:12" ht="15.5">
      <c r="C191" s="52"/>
      <c r="D191" s="52"/>
      <c r="E191" s="52"/>
      <c r="F191" s="52"/>
      <c r="G191" s="52"/>
      <c r="H191" s="52"/>
      <c r="I191" s="52"/>
      <c r="J191" s="52"/>
      <c r="K191" s="52"/>
      <c r="L191" s="52"/>
    </row>
    <row r="192" spans="3:12" ht="15.5">
      <c r="C192" s="52"/>
      <c r="D192" s="52"/>
      <c r="E192" s="52"/>
      <c r="F192" s="52"/>
      <c r="G192" s="52"/>
      <c r="H192" s="52"/>
      <c r="I192" s="52"/>
      <c r="J192" s="52"/>
      <c r="K192" s="52"/>
      <c r="L192" s="52"/>
    </row>
    <row r="193" spans="3:12" ht="15.5">
      <c r="C193" s="52"/>
      <c r="D193" s="52"/>
      <c r="E193" s="52"/>
      <c r="F193" s="52"/>
      <c r="G193" s="52"/>
      <c r="H193" s="52"/>
      <c r="I193" s="52"/>
      <c r="J193" s="52"/>
      <c r="K193" s="52"/>
      <c r="L193" s="52"/>
    </row>
    <row r="194" spans="3:12" ht="15.5">
      <c r="C194" s="52"/>
      <c r="D194" s="52"/>
      <c r="E194" s="52"/>
      <c r="F194" s="52"/>
      <c r="G194" s="52"/>
      <c r="H194" s="52"/>
      <c r="I194" s="52"/>
      <c r="J194" s="52"/>
      <c r="K194" s="52"/>
      <c r="L194" s="52"/>
    </row>
    <row r="195" spans="3:12" ht="15.5">
      <c r="C195" s="52"/>
      <c r="D195" s="52"/>
      <c r="E195" s="52"/>
      <c r="F195" s="52"/>
      <c r="G195" s="52"/>
      <c r="H195" s="52"/>
      <c r="I195" s="52"/>
      <c r="J195" s="52"/>
      <c r="K195" s="52"/>
      <c r="L195" s="52"/>
    </row>
    <row r="196" spans="3:12" ht="15.5">
      <c r="C196" s="52"/>
      <c r="D196" s="52"/>
      <c r="E196" s="52"/>
      <c r="F196" s="52"/>
      <c r="G196" s="52"/>
      <c r="H196" s="52"/>
      <c r="I196" s="52"/>
      <c r="J196" s="52"/>
      <c r="K196" s="52"/>
      <c r="L196" s="52"/>
    </row>
    <row r="197" spans="3:12" ht="15.5">
      <c r="C197" s="52"/>
      <c r="D197" s="52"/>
      <c r="E197" s="52"/>
      <c r="F197" s="52"/>
      <c r="G197" s="52"/>
      <c r="H197" s="52"/>
      <c r="I197" s="52"/>
      <c r="J197" s="52"/>
      <c r="K197" s="52"/>
      <c r="L197" s="52"/>
    </row>
    <row r="198" spans="3:12" ht="15.5">
      <c r="C198" s="52"/>
      <c r="D198" s="52"/>
      <c r="E198" s="52"/>
      <c r="F198" s="52"/>
      <c r="G198" s="52"/>
      <c r="H198" s="52"/>
      <c r="I198" s="52"/>
      <c r="J198" s="52"/>
      <c r="K198" s="52"/>
      <c r="L198" s="52"/>
    </row>
    <row r="199" spans="3:12" ht="15.5">
      <c r="C199" s="52"/>
      <c r="D199" s="52"/>
      <c r="E199" s="52"/>
      <c r="F199" s="52"/>
      <c r="G199" s="52"/>
      <c r="H199" s="52"/>
      <c r="I199" s="52"/>
      <c r="J199" s="52"/>
      <c r="K199" s="52"/>
      <c r="L199" s="52"/>
    </row>
    <row r="200" spans="3:12" ht="15.5">
      <c r="C200" s="52"/>
      <c r="D200" s="52"/>
      <c r="E200" s="52"/>
      <c r="F200" s="52"/>
      <c r="G200" s="52"/>
      <c r="H200" s="52"/>
      <c r="I200" s="52"/>
      <c r="J200" s="52"/>
      <c r="K200" s="52"/>
      <c r="L200" s="52"/>
    </row>
    <row r="201" spans="3:12" ht="15.5">
      <c r="C201" s="52"/>
      <c r="D201" s="52"/>
      <c r="E201" s="52"/>
      <c r="F201" s="52"/>
      <c r="G201" s="52"/>
      <c r="H201" s="52"/>
      <c r="I201" s="52"/>
      <c r="J201" s="52"/>
      <c r="K201" s="52"/>
      <c r="L201" s="52"/>
    </row>
    <row r="202" spans="3:12" ht="15.5">
      <c r="C202" s="52"/>
      <c r="D202" s="52"/>
      <c r="E202" s="52"/>
      <c r="F202" s="52"/>
      <c r="G202" s="52"/>
      <c r="H202" s="52"/>
      <c r="I202" s="52"/>
      <c r="J202" s="52"/>
      <c r="K202" s="52"/>
      <c r="L202" s="52"/>
    </row>
    <row r="203" spans="3:12" ht="15.5">
      <c r="C203" s="52"/>
      <c r="D203" s="52"/>
      <c r="E203" s="52"/>
      <c r="F203" s="52"/>
      <c r="G203" s="52"/>
      <c r="H203" s="52"/>
      <c r="I203" s="52"/>
      <c r="J203" s="52"/>
      <c r="K203" s="52"/>
      <c r="L203" s="52"/>
    </row>
    <row r="204" spans="3:12" ht="15.5">
      <c r="C204" s="52"/>
      <c r="D204" s="52"/>
      <c r="E204" s="52"/>
      <c r="F204" s="52"/>
      <c r="G204" s="52"/>
      <c r="H204" s="52"/>
      <c r="I204" s="52"/>
      <c r="J204" s="52"/>
      <c r="K204" s="52"/>
      <c r="L204" s="52"/>
    </row>
    <row r="205" spans="3:12" ht="15.5">
      <c r="C205" s="52"/>
      <c r="D205" s="52"/>
      <c r="E205" s="52"/>
      <c r="F205" s="52"/>
      <c r="G205" s="52"/>
      <c r="H205" s="52"/>
      <c r="I205" s="52"/>
      <c r="J205" s="52"/>
      <c r="K205" s="52"/>
      <c r="L205" s="52"/>
    </row>
    <row r="206" spans="3:12" ht="15.5">
      <c r="C206" s="52"/>
      <c r="D206" s="52"/>
      <c r="E206" s="52"/>
      <c r="F206" s="52"/>
      <c r="G206" s="52"/>
      <c r="H206" s="52"/>
      <c r="I206" s="52"/>
      <c r="J206" s="52"/>
      <c r="K206" s="52"/>
      <c r="L206" s="52"/>
    </row>
    <row r="207" spans="3:12" ht="15.5">
      <c r="C207" s="52"/>
      <c r="D207" s="52"/>
      <c r="E207" s="52"/>
      <c r="F207" s="52"/>
      <c r="G207" s="52"/>
      <c r="H207" s="52"/>
      <c r="I207" s="52"/>
      <c r="J207" s="52"/>
      <c r="K207" s="52"/>
      <c r="L207" s="52"/>
    </row>
    <row r="208" spans="3:12" ht="15.5">
      <c r="C208" s="52"/>
      <c r="D208" s="52"/>
      <c r="E208" s="52"/>
      <c r="F208" s="52"/>
      <c r="G208" s="52"/>
      <c r="H208" s="52"/>
      <c r="I208" s="52"/>
      <c r="J208" s="52"/>
      <c r="K208" s="52"/>
      <c r="L208" s="52"/>
    </row>
    <row r="209" spans="3:12" ht="15.5">
      <c r="C209" s="52"/>
      <c r="D209" s="52"/>
      <c r="E209" s="52"/>
      <c r="F209" s="52"/>
      <c r="G209" s="52"/>
      <c r="H209" s="52"/>
      <c r="I209" s="52"/>
      <c r="J209" s="52"/>
      <c r="K209" s="52"/>
      <c r="L209" s="52"/>
    </row>
    <row r="210" spans="3:12" ht="15.5">
      <c r="C210" s="52"/>
      <c r="D210" s="52"/>
      <c r="E210" s="52"/>
      <c r="F210" s="52"/>
      <c r="G210" s="52"/>
      <c r="H210" s="52"/>
      <c r="I210" s="52"/>
      <c r="J210" s="52"/>
      <c r="K210" s="52"/>
      <c r="L210" s="52"/>
    </row>
    <row r="211" spans="3:12" ht="15.5">
      <c r="C211" s="52"/>
      <c r="D211" s="52"/>
      <c r="E211" s="52"/>
      <c r="F211" s="52"/>
      <c r="G211" s="52"/>
      <c r="H211" s="52"/>
      <c r="I211" s="52"/>
      <c r="J211" s="52"/>
      <c r="K211" s="52"/>
      <c r="L211" s="52"/>
    </row>
    <row r="212" spans="3:12" ht="15.5">
      <c r="C212" s="52"/>
      <c r="D212" s="52"/>
      <c r="E212" s="52"/>
      <c r="F212" s="52"/>
      <c r="G212" s="52"/>
      <c r="H212" s="52"/>
      <c r="I212" s="52"/>
      <c r="J212" s="52"/>
      <c r="K212" s="52"/>
      <c r="L212" s="52"/>
    </row>
    <row r="213" spans="3:12" ht="15.5">
      <c r="C213" s="52"/>
      <c r="D213" s="52"/>
      <c r="E213" s="52"/>
      <c r="F213" s="52"/>
      <c r="G213" s="52"/>
      <c r="H213" s="52"/>
      <c r="I213" s="52"/>
      <c r="J213" s="52"/>
      <c r="K213" s="52"/>
      <c r="L213" s="52"/>
    </row>
    <row r="214" spans="3:12" ht="15.5">
      <c r="C214" s="52"/>
      <c r="D214" s="52"/>
      <c r="E214" s="52"/>
      <c r="F214" s="52"/>
      <c r="G214" s="52"/>
      <c r="H214" s="52"/>
      <c r="I214" s="52"/>
      <c r="J214" s="52"/>
      <c r="K214" s="52"/>
      <c r="L214" s="52"/>
    </row>
    <row r="215" spans="3:12" ht="15.5">
      <c r="C215" s="52"/>
      <c r="D215" s="52"/>
      <c r="E215" s="52"/>
      <c r="F215" s="52"/>
      <c r="G215" s="52"/>
      <c r="H215" s="52"/>
      <c r="I215" s="52"/>
      <c r="J215" s="52"/>
      <c r="K215" s="52"/>
      <c r="L215" s="52"/>
    </row>
    <row r="216" spans="3:12" ht="15.5">
      <c r="C216" s="52"/>
      <c r="D216" s="52"/>
      <c r="E216" s="52"/>
      <c r="F216" s="52"/>
      <c r="G216" s="52"/>
      <c r="H216" s="52"/>
      <c r="I216" s="52"/>
      <c r="J216" s="52"/>
      <c r="K216" s="52"/>
      <c r="L216" s="52"/>
    </row>
    <row r="217" spans="3:12" ht="15.5">
      <c r="C217" s="52"/>
      <c r="D217" s="52"/>
      <c r="E217" s="52"/>
      <c r="F217" s="52"/>
      <c r="G217" s="52"/>
      <c r="H217" s="52"/>
      <c r="I217" s="52"/>
      <c r="J217" s="52"/>
      <c r="K217" s="52"/>
      <c r="L217" s="52"/>
    </row>
    <row r="218" spans="3:12" ht="15.5">
      <c r="C218" s="52"/>
      <c r="D218" s="52"/>
      <c r="E218" s="52"/>
      <c r="F218" s="52"/>
      <c r="G218" s="52"/>
      <c r="H218" s="52"/>
      <c r="I218" s="52"/>
      <c r="J218" s="52"/>
      <c r="K218" s="52"/>
      <c r="L218" s="52"/>
    </row>
    <row r="219" spans="3:12" ht="15.5">
      <c r="C219" s="52"/>
      <c r="D219" s="52"/>
      <c r="E219" s="52"/>
      <c r="F219" s="52"/>
      <c r="G219" s="52"/>
      <c r="H219" s="52"/>
      <c r="I219" s="52"/>
      <c r="J219" s="52"/>
      <c r="K219" s="52"/>
      <c r="L219" s="52"/>
    </row>
    <row r="220" spans="3:12" ht="15.5">
      <c r="C220" s="52"/>
      <c r="D220" s="52"/>
      <c r="E220" s="52"/>
      <c r="F220" s="52"/>
      <c r="G220" s="52"/>
      <c r="H220" s="52"/>
      <c r="I220" s="52"/>
      <c r="J220" s="52"/>
      <c r="K220" s="52"/>
      <c r="L220" s="52"/>
    </row>
    <row r="221" spans="3:12" ht="15.5">
      <c r="C221" s="52"/>
      <c r="D221" s="52"/>
      <c r="E221" s="52"/>
      <c r="F221" s="52"/>
      <c r="G221" s="52"/>
      <c r="H221" s="52"/>
      <c r="I221" s="52"/>
      <c r="J221" s="52"/>
      <c r="K221" s="52"/>
      <c r="L221" s="52"/>
    </row>
    <row r="222" spans="3:12" ht="15.5">
      <c r="C222" s="52"/>
      <c r="D222" s="52"/>
      <c r="E222" s="52"/>
      <c r="F222" s="52"/>
      <c r="G222" s="52"/>
      <c r="H222" s="52"/>
      <c r="I222" s="52"/>
      <c r="J222" s="52"/>
      <c r="K222" s="52"/>
      <c r="L222" s="52"/>
    </row>
    <row r="223" spans="3:12" ht="15.5">
      <c r="C223" s="52"/>
      <c r="D223" s="52"/>
      <c r="E223" s="52"/>
      <c r="F223" s="52"/>
      <c r="G223" s="52"/>
      <c r="H223" s="52"/>
      <c r="I223" s="52"/>
      <c r="J223" s="52"/>
      <c r="K223" s="52"/>
      <c r="L223" s="52"/>
    </row>
    <row r="224" spans="3:12" ht="15.5">
      <c r="C224" s="52"/>
      <c r="D224" s="52"/>
      <c r="E224" s="52"/>
      <c r="F224" s="52"/>
      <c r="G224" s="52"/>
      <c r="H224" s="52"/>
      <c r="I224" s="52"/>
      <c r="J224" s="52"/>
      <c r="K224" s="52"/>
      <c r="L224" s="52"/>
    </row>
    <row r="225" spans="3:12" ht="15.5">
      <c r="C225" s="52"/>
      <c r="D225" s="52"/>
      <c r="E225" s="52"/>
      <c r="F225" s="52"/>
      <c r="G225" s="52"/>
      <c r="H225" s="52"/>
      <c r="I225" s="52"/>
      <c r="J225" s="52"/>
      <c r="K225" s="52"/>
      <c r="L225" s="52"/>
    </row>
    <row r="226" spans="3:12" ht="15.5">
      <c r="C226" s="52"/>
      <c r="D226" s="52"/>
      <c r="E226" s="52"/>
      <c r="F226" s="52"/>
      <c r="G226" s="52"/>
      <c r="H226" s="52"/>
      <c r="I226" s="52"/>
      <c r="J226" s="52"/>
      <c r="K226" s="52"/>
      <c r="L226" s="52"/>
    </row>
    <row r="227" spans="3:12" ht="15.5">
      <c r="C227" s="52"/>
      <c r="D227" s="52"/>
      <c r="E227" s="52"/>
      <c r="F227" s="52"/>
      <c r="G227" s="52"/>
      <c r="H227" s="52"/>
      <c r="I227" s="52"/>
      <c r="J227" s="52"/>
      <c r="K227" s="52"/>
      <c r="L227" s="52"/>
    </row>
    <row r="228" spans="3:12" ht="15.5">
      <c r="C228" s="52"/>
      <c r="D228" s="52"/>
      <c r="E228" s="52"/>
      <c r="F228" s="52"/>
      <c r="G228" s="52"/>
      <c r="H228" s="52"/>
      <c r="I228" s="52"/>
      <c r="J228" s="52"/>
      <c r="K228" s="52"/>
      <c r="L228" s="52"/>
    </row>
    <row r="229" spans="3:12" ht="15.5">
      <c r="C229" s="52"/>
      <c r="D229" s="52"/>
      <c r="E229" s="52"/>
      <c r="F229" s="52"/>
      <c r="G229" s="52"/>
      <c r="H229" s="52"/>
      <c r="I229" s="52"/>
      <c r="J229" s="52"/>
      <c r="K229" s="52"/>
      <c r="L229" s="52"/>
    </row>
    <row r="230" spans="3:12" ht="15.5">
      <c r="C230" s="52"/>
      <c r="D230" s="52"/>
      <c r="E230" s="52"/>
      <c r="F230" s="52"/>
      <c r="G230" s="52"/>
      <c r="H230" s="52"/>
      <c r="I230" s="52"/>
      <c r="J230" s="52"/>
      <c r="K230" s="52"/>
      <c r="L230" s="52"/>
    </row>
    <row r="231" spans="3:12" ht="15.5">
      <c r="C231" s="52"/>
      <c r="D231" s="52"/>
      <c r="E231" s="52"/>
      <c r="F231" s="52"/>
      <c r="G231" s="52"/>
      <c r="H231" s="52"/>
      <c r="I231" s="52"/>
      <c r="J231" s="52"/>
      <c r="K231" s="52"/>
      <c r="L231" s="52"/>
    </row>
    <row r="232" spans="3:12" ht="15.5">
      <c r="C232" s="52"/>
      <c r="D232" s="52"/>
      <c r="E232" s="52"/>
      <c r="F232" s="52"/>
      <c r="G232" s="52"/>
      <c r="H232" s="52"/>
      <c r="I232" s="52"/>
      <c r="J232" s="52"/>
      <c r="K232" s="52"/>
      <c r="L232" s="52"/>
    </row>
    <row r="233" spans="3:12" ht="15.5">
      <c r="C233" s="52"/>
      <c r="D233" s="52"/>
      <c r="E233" s="52"/>
      <c r="F233" s="52"/>
      <c r="G233" s="52"/>
      <c r="H233" s="52"/>
      <c r="I233" s="52"/>
      <c r="J233" s="52"/>
      <c r="K233" s="52"/>
      <c r="L233" s="52"/>
    </row>
    <row r="234" spans="3:12" ht="15.5">
      <c r="C234" s="52"/>
      <c r="D234" s="52"/>
      <c r="E234" s="52"/>
      <c r="F234" s="52"/>
      <c r="G234" s="52"/>
      <c r="H234" s="52"/>
      <c r="I234" s="52"/>
      <c r="J234" s="52"/>
      <c r="K234" s="52"/>
      <c r="L234" s="52"/>
    </row>
    <row r="235" spans="3:12" ht="15.5">
      <c r="C235" s="52"/>
      <c r="D235" s="52"/>
      <c r="E235" s="52"/>
      <c r="F235" s="52"/>
      <c r="G235" s="52"/>
      <c r="H235" s="52"/>
      <c r="I235" s="52"/>
      <c r="J235" s="52"/>
      <c r="K235" s="52"/>
      <c r="L235" s="52"/>
    </row>
    <row r="236" spans="3:12" ht="15.5">
      <c r="C236" s="52"/>
      <c r="D236" s="52"/>
      <c r="E236" s="52"/>
      <c r="F236" s="52"/>
      <c r="G236" s="52"/>
      <c r="H236" s="52"/>
      <c r="I236" s="52"/>
      <c r="J236" s="52"/>
      <c r="K236" s="52"/>
      <c r="L236" s="52"/>
    </row>
    <row r="237" spans="3:12" ht="15.5">
      <c r="C237" s="52"/>
      <c r="D237" s="52"/>
      <c r="E237" s="52"/>
      <c r="F237" s="52"/>
      <c r="G237" s="52"/>
      <c r="H237" s="52"/>
      <c r="I237" s="52"/>
      <c r="J237" s="52"/>
      <c r="K237" s="52"/>
      <c r="L237" s="52"/>
    </row>
    <row r="238" spans="3:12" ht="15.5">
      <c r="C238" s="52"/>
      <c r="D238" s="52"/>
      <c r="E238" s="52"/>
      <c r="F238" s="52"/>
      <c r="G238" s="52"/>
      <c r="H238" s="52"/>
      <c r="I238" s="52"/>
      <c r="J238" s="52"/>
      <c r="K238" s="52"/>
      <c r="L238" s="52"/>
    </row>
    <row r="239" spans="3:12" ht="15.5">
      <c r="C239" s="52"/>
      <c r="D239" s="52"/>
      <c r="E239" s="52"/>
      <c r="F239" s="52"/>
      <c r="G239" s="52"/>
      <c r="H239" s="52"/>
      <c r="I239" s="52"/>
      <c r="J239" s="52"/>
      <c r="K239" s="52"/>
      <c r="L239" s="52"/>
    </row>
    <row r="240" spans="3:12" ht="15.5">
      <c r="C240" s="52"/>
      <c r="D240" s="52"/>
      <c r="E240" s="52"/>
      <c r="F240" s="52"/>
      <c r="G240" s="52"/>
      <c r="H240" s="52"/>
      <c r="I240" s="52"/>
      <c r="J240" s="52"/>
      <c r="K240" s="52"/>
      <c r="L240" s="52"/>
    </row>
    <row r="241" spans="3:12" ht="15.5">
      <c r="C241" s="52"/>
      <c r="D241" s="52"/>
      <c r="E241" s="52"/>
      <c r="F241" s="52"/>
      <c r="G241" s="52"/>
      <c r="H241" s="52"/>
      <c r="I241" s="52"/>
      <c r="J241" s="52"/>
      <c r="K241" s="52"/>
      <c r="L241" s="52"/>
    </row>
    <row r="242" spans="3:12" ht="15.5">
      <c r="C242" s="52"/>
      <c r="D242" s="52"/>
      <c r="E242" s="52"/>
      <c r="F242" s="52"/>
      <c r="G242" s="52"/>
      <c r="H242" s="52"/>
      <c r="I242" s="52"/>
      <c r="J242" s="52"/>
      <c r="K242" s="52"/>
      <c r="L242" s="52"/>
    </row>
    <row r="243" spans="3:12" ht="15.5">
      <c r="C243" s="52"/>
      <c r="D243" s="52"/>
      <c r="E243" s="52"/>
      <c r="F243" s="52"/>
      <c r="G243" s="52"/>
      <c r="H243" s="52"/>
      <c r="I243" s="52"/>
      <c r="J243" s="52"/>
      <c r="K243" s="52"/>
      <c r="L243" s="52"/>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scale="34"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295"/>
  <sheetViews>
    <sheetView view="pageBreakPreview" zoomScale="65" zoomScaleNormal="75" zoomScaleSheetLayoutView="65" workbookViewId="0" topLeftCell="A1">
      <selection pane="topLeft" activeCell="C3" sqref="C3"/>
    </sheetView>
  </sheetViews>
  <sheetFormatPr defaultColWidth="8.91714285714286" defaultRowHeight="15.5"/>
  <cols>
    <col min="1" max="1" width="6" style="1" customWidth="1"/>
    <col min="2" max="2" width="1.42857142857143" style="1" customWidth="1"/>
    <col min="3" max="3" width="39.0714285714286" style="1" customWidth="1"/>
    <col min="4" max="4" width="8.85714285714286" style="1" customWidth="1"/>
    <col min="5" max="5" width="14.4285714285714" style="1" customWidth="1"/>
    <col min="6" max="6" width="11.9285714285714" style="1" customWidth="1"/>
    <col min="7" max="7" width="16.9285714285714" style="1" bestFit="1" customWidth="1"/>
    <col min="8" max="8" width="13.9285714285714" style="1" customWidth="1"/>
    <col min="9" max="10" width="12.8571428571429" style="1" customWidth="1"/>
    <col min="11" max="11" width="13.5" style="1" customWidth="1"/>
    <col min="12" max="12" width="13.5" style="224" customWidth="1"/>
    <col min="13" max="14" width="15.3571428571429" style="1" customWidth="1"/>
    <col min="15" max="15" width="15.4285714285714" style="1" customWidth="1"/>
    <col min="16" max="16" width="13.8571428571429" style="1" customWidth="1"/>
    <col min="17" max="16384" width="8.92857142857143" style="1"/>
  </cols>
  <sheetData>
    <row r="1" spans="16:16" ht="15.5">
      <c r="P1" s="3" t="s">
        <v>309</v>
      </c>
    </row>
    <row r="2" spans="7:16" ht="15.5">
      <c r="G2" s="33"/>
      <c r="P2" s="3" t="s">
        <v>278</v>
      </c>
    </row>
    <row r="3" spans="16:16" ht="15.5">
      <c r="P3" s="3" t="str">
        <f>'Attachment H-21-A ATSI '!K4</f>
        <v>For the 12 months ended 12/31/2023</v>
      </c>
    </row>
    <row r="4" spans="15:15" ht="15.5">
      <c r="O4" s="26"/>
    </row>
    <row r="5" spans="1:16" ht="15.5">
      <c r="A5" s="690" t="s">
        <v>284</v>
      </c>
      <c r="B5" s="690"/>
      <c r="C5" s="690"/>
      <c r="D5" s="690"/>
      <c r="E5" s="690"/>
      <c r="F5" s="690"/>
      <c r="G5" s="690"/>
      <c r="H5" s="690"/>
      <c r="I5" s="690"/>
      <c r="J5" s="690"/>
      <c r="K5" s="690"/>
      <c r="L5" s="690"/>
      <c r="M5" s="690"/>
      <c r="N5" s="690"/>
      <c r="O5" s="690"/>
      <c r="P5" s="690"/>
    </row>
    <row r="6" spans="1:16" ht="15.5">
      <c r="A6" s="693" t="s">
        <v>312</v>
      </c>
      <c r="B6" s="693"/>
      <c r="C6" s="693"/>
      <c r="D6" s="693"/>
      <c r="E6" s="693"/>
      <c r="F6" s="693"/>
      <c r="G6" s="693"/>
      <c r="H6" s="693"/>
      <c r="I6" s="693"/>
      <c r="J6" s="693"/>
      <c r="K6" s="693"/>
      <c r="L6" s="693"/>
      <c r="M6" s="693"/>
      <c r="N6" s="693"/>
      <c r="O6" s="693"/>
      <c r="P6" s="693"/>
    </row>
    <row r="7" spans="1:16" ht="15.5">
      <c r="A7" s="693"/>
      <c r="B7" s="693"/>
      <c r="C7" s="693"/>
      <c r="D7" s="693"/>
      <c r="E7" s="693"/>
      <c r="F7" s="693"/>
      <c r="G7" s="693"/>
      <c r="H7" s="693"/>
      <c r="I7" s="693"/>
      <c r="J7" s="693"/>
      <c r="K7" s="693"/>
      <c r="L7" s="693"/>
      <c r="M7" s="693"/>
      <c r="N7" s="693"/>
      <c r="O7" s="2"/>
      <c r="P7" s="2"/>
    </row>
    <row r="8" spans="1:16" ht="15.5">
      <c r="A8" s="27"/>
      <c r="C8" s="2"/>
      <c r="D8" s="2"/>
      <c r="F8" s="2"/>
      <c r="H8" s="2"/>
      <c r="I8" s="2"/>
      <c r="J8" s="2"/>
      <c r="K8" s="2"/>
      <c r="L8" s="225"/>
      <c r="M8" s="2"/>
      <c r="N8" s="2"/>
      <c r="O8" s="2"/>
      <c r="P8" s="2"/>
    </row>
    <row r="9" spans="1:16" ht="15.5">
      <c r="A9" s="27"/>
      <c r="C9" s="2"/>
      <c r="D9" s="2"/>
      <c r="E9" s="2"/>
      <c r="F9" s="2"/>
      <c r="G9" s="11"/>
      <c r="H9" s="2"/>
      <c r="I9" s="2"/>
      <c r="J9" s="2"/>
      <c r="K9" s="2"/>
      <c r="L9" s="225"/>
      <c r="M9" s="2"/>
      <c r="N9" s="2"/>
      <c r="O9" s="2"/>
      <c r="P9" s="2"/>
    </row>
    <row r="10" spans="1:16" ht="15.5">
      <c r="A10" s="27"/>
      <c r="D10" s="2"/>
      <c r="E10" s="2"/>
      <c r="F10" s="2"/>
      <c r="G10" s="11"/>
      <c r="H10" s="2"/>
      <c r="I10" s="2"/>
      <c r="J10" s="2"/>
      <c r="K10" s="2"/>
      <c r="L10" s="225"/>
      <c r="M10" s="2"/>
      <c r="N10" s="2"/>
      <c r="O10" s="2"/>
      <c r="P10" s="2"/>
    </row>
    <row r="11" spans="1:16" ht="15.5">
      <c r="A11" s="27"/>
      <c r="C11" s="2"/>
      <c r="D11" s="2"/>
      <c r="E11" s="2"/>
      <c r="F11" s="2"/>
      <c r="G11" s="11"/>
      <c r="M11" s="2"/>
      <c r="N11" s="2"/>
      <c r="O11" s="2"/>
      <c r="P11" s="2"/>
    </row>
    <row r="12" spans="1:16" ht="15.5">
      <c r="A12" s="27"/>
      <c r="C12" s="2"/>
      <c r="D12" s="2"/>
      <c r="E12" s="2"/>
      <c r="F12" s="2"/>
      <c r="G12" s="2"/>
      <c r="M12" s="4"/>
      <c r="N12" s="2"/>
      <c r="O12" s="2"/>
      <c r="P12" s="2"/>
    </row>
    <row r="13" spans="3:16" ht="15.5">
      <c r="C13" s="5" t="s">
        <v>27</v>
      </c>
      <c r="D13" s="5"/>
      <c r="E13" s="5" t="s">
        <v>28</v>
      </c>
      <c r="F13" s="5"/>
      <c r="G13" s="5" t="s">
        <v>29</v>
      </c>
      <c r="I13" s="7" t="s">
        <v>30</v>
      </c>
      <c r="N13" s="4"/>
      <c r="O13" s="7"/>
      <c r="P13" s="4"/>
    </row>
    <row r="14" spans="3:16" ht="15.5">
      <c r="C14" s="2"/>
      <c r="D14" s="2"/>
      <c r="E14" s="17"/>
      <c r="F14" s="17"/>
      <c r="G14" s="4"/>
      <c r="N14" s="4"/>
      <c r="P14" s="4"/>
    </row>
    <row r="15" spans="1:16" ht="15.5">
      <c r="A15" s="27" t="s">
        <v>5</v>
      </c>
      <c r="C15" s="2"/>
      <c r="D15" s="2"/>
      <c r="E15" s="152" t="s">
        <v>277</v>
      </c>
      <c r="F15" s="152"/>
      <c r="G15" s="28" t="s">
        <v>33</v>
      </c>
      <c r="I15" s="28" t="s">
        <v>12</v>
      </c>
      <c r="N15" s="4"/>
      <c r="P15" s="2"/>
    </row>
    <row r="16" spans="1:16" ht="15.5">
      <c r="A16" s="27" t="s">
        <v>7</v>
      </c>
      <c r="C16" s="18"/>
      <c r="D16" s="18"/>
      <c r="E16" s="4"/>
      <c r="F16" s="4"/>
      <c r="G16" s="4"/>
      <c r="I16" s="4"/>
      <c r="N16" s="4"/>
      <c r="O16" s="4"/>
      <c r="P16" s="2"/>
    </row>
    <row r="17" spans="1:16" ht="15.5">
      <c r="A17" s="29"/>
      <c r="C17" s="2"/>
      <c r="D17" s="2"/>
      <c r="E17" s="4"/>
      <c r="F17" s="4"/>
      <c r="G17" s="4"/>
      <c r="I17" s="4"/>
      <c r="N17" s="4"/>
      <c r="O17" s="4"/>
      <c r="P17" s="2"/>
    </row>
    <row r="18" spans="1:16" ht="15.5">
      <c r="A18" s="151">
        <v>1</v>
      </c>
      <c r="C18" s="2" t="s">
        <v>231</v>
      </c>
      <c r="D18" s="2"/>
      <c r="E18" s="151" t="s">
        <v>314</v>
      </c>
      <c r="F18" s="151"/>
      <c r="G18" s="19">
        <f>'Attachment H-21-A ATSI '!I66</f>
        <v>5736002767.4030781</v>
      </c>
      <c r="N18" s="4"/>
      <c r="O18" s="4"/>
      <c r="P18" s="2"/>
    </row>
    <row r="19" spans="1:16" ht="15.5">
      <c r="A19" s="151">
        <v>2</v>
      </c>
      <c r="C19" s="2" t="s">
        <v>232</v>
      </c>
      <c r="D19" s="2"/>
      <c r="E19" s="151" t="s">
        <v>315</v>
      </c>
      <c r="F19" s="151"/>
      <c r="G19" s="19">
        <f>'Attachment H-21-A ATSI '!I82</f>
        <v>4434415781.1944237</v>
      </c>
      <c r="N19" s="4"/>
      <c r="O19" s="4"/>
      <c r="P19" s="2"/>
    </row>
    <row r="20" spans="1:16" ht="15.5">
      <c r="A20" s="151"/>
      <c r="E20" s="151"/>
      <c r="F20" s="151"/>
      <c r="N20" s="4"/>
      <c r="O20" s="4"/>
      <c r="P20" s="2"/>
    </row>
    <row r="21" spans="1:16" ht="15.5">
      <c r="A21" s="151"/>
      <c r="C21" s="2" t="s">
        <v>233</v>
      </c>
      <c r="D21" s="2"/>
      <c r="E21" s="151"/>
      <c r="F21" s="151"/>
      <c r="G21" s="4"/>
      <c r="I21" s="4"/>
      <c r="N21" s="4"/>
      <c r="O21" s="4"/>
      <c r="P21" s="4"/>
    </row>
    <row r="22" spans="1:16" ht="15.5">
      <c r="A22" s="151">
        <v>3</v>
      </c>
      <c r="C22" s="2" t="s">
        <v>234</v>
      </c>
      <c r="D22" s="2"/>
      <c r="E22" s="151" t="s">
        <v>316</v>
      </c>
      <c r="F22" s="151"/>
      <c r="G22" s="19">
        <f>'Attachment H-21-A ATSI '!I146</f>
        <v>206139690.13473797</v>
      </c>
      <c r="N22" s="4"/>
      <c r="O22" s="4"/>
      <c r="P22" s="4"/>
    </row>
    <row r="23" spans="1:16" ht="15.5">
      <c r="A23" s="151">
        <v>4</v>
      </c>
      <c r="C23" s="2" t="s">
        <v>235</v>
      </c>
      <c r="D23" s="2"/>
      <c r="E23" s="151" t="s">
        <v>279</v>
      </c>
      <c r="F23" s="151"/>
      <c r="G23" s="67">
        <f>IF(G22=0,0,G22/G18)</f>
        <v>0.035937864483992533</v>
      </c>
      <c r="I23" s="68">
        <f>G23</f>
        <v>0.035937864483992533</v>
      </c>
      <c r="N23" s="4"/>
      <c r="O23" s="31"/>
      <c r="P23" s="9"/>
    </row>
    <row r="24" spans="1:16" ht="15.5">
      <c r="A24" s="151"/>
      <c r="E24" s="151"/>
      <c r="F24" s="151"/>
      <c r="I24" s="67"/>
      <c r="N24" s="4"/>
      <c r="P24" s="4"/>
    </row>
    <row r="25" spans="1:16" ht="15.5">
      <c r="A25" s="7"/>
      <c r="C25" s="2" t="s">
        <v>236</v>
      </c>
      <c r="D25" s="2"/>
      <c r="E25" s="32"/>
      <c r="F25" s="32"/>
      <c r="G25" s="4"/>
      <c r="I25" s="67"/>
      <c r="N25" s="4"/>
      <c r="O25" s="4"/>
      <c r="P25" s="4"/>
    </row>
    <row r="26" spans="1:16" ht="15.5">
      <c r="A26" s="7" t="s">
        <v>237</v>
      </c>
      <c r="C26" s="2" t="s">
        <v>238</v>
      </c>
      <c r="D26" s="2"/>
      <c r="E26" s="151" t="s">
        <v>313</v>
      </c>
      <c r="F26" s="151"/>
      <c r="G26" s="19">
        <f>'Attachment H-21-A ATSI '!I163</f>
        <v>241883643</v>
      </c>
      <c r="I26" s="67"/>
      <c r="N26" s="4"/>
      <c r="O26" s="8"/>
      <c r="P26" s="4"/>
    </row>
    <row r="27" spans="1:16" ht="15.5">
      <c r="A27" s="7" t="s">
        <v>239</v>
      </c>
      <c r="C27" s="2" t="s">
        <v>240</v>
      </c>
      <c r="D27" s="2"/>
      <c r="E27" s="151" t="s">
        <v>280</v>
      </c>
      <c r="F27" s="151"/>
      <c r="G27" s="67">
        <f>IF(G26=0,0,G26/G18)</f>
        <v>0.042169373483323926</v>
      </c>
      <c r="I27" s="68">
        <f>G27</f>
        <v>0.042169373483323926</v>
      </c>
      <c r="N27" s="4"/>
      <c r="O27" s="31"/>
      <c r="P27" s="4"/>
    </row>
    <row r="28" spans="1:14" ht="15.5">
      <c r="A28" s="7"/>
      <c r="C28" s="2"/>
      <c r="D28" s="2"/>
      <c r="E28" s="151"/>
      <c r="F28" s="151"/>
      <c r="G28" s="4"/>
      <c r="I28" s="67"/>
      <c r="N28" s="4"/>
    </row>
    <row r="29" spans="1:14" ht="15.5">
      <c r="A29" s="150" t="s">
        <v>241</v>
      </c>
      <c r="B29" s="33"/>
      <c r="C29" s="18" t="s">
        <v>242</v>
      </c>
      <c r="D29" s="18"/>
      <c r="E29" s="17" t="s">
        <v>243</v>
      </c>
      <c r="F29" s="17"/>
      <c r="G29" s="9"/>
      <c r="I29" s="69">
        <f>I23+I27</f>
        <v>0.078107237967316459</v>
      </c>
      <c r="N29" s="4"/>
    </row>
    <row r="30" spans="1:16" ht="15.5">
      <c r="A30" s="7"/>
      <c r="C30" s="2"/>
      <c r="D30" s="2"/>
      <c r="E30" s="151"/>
      <c r="F30" s="151"/>
      <c r="G30" s="4"/>
      <c r="I30" s="67"/>
      <c r="N30" s="4"/>
      <c r="O30" s="4"/>
      <c r="P30" s="4"/>
    </row>
    <row r="31" spans="1:14" ht="15.5">
      <c r="A31" s="7"/>
      <c r="C31" s="4" t="s">
        <v>244</v>
      </c>
      <c r="D31" s="4"/>
      <c r="E31" s="151"/>
      <c r="F31" s="151"/>
      <c r="G31" s="4"/>
      <c r="I31" s="67"/>
      <c r="N31" s="4"/>
    </row>
    <row r="32" spans="1:14" ht="15.5">
      <c r="A32" s="7" t="s">
        <v>245</v>
      </c>
      <c r="C32" s="4" t="s">
        <v>92</v>
      </c>
      <c r="D32" s="4"/>
      <c r="E32" s="151" t="s">
        <v>317</v>
      </c>
      <c r="F32" s="151"/>
      <c r="G32" s="19">
        <f>'Attachment H-21-A ATSI '!I176</f>
        <v>65350735.765662059</v>
      </c>
      <c r="I32" s="67"/>
      <c r="N32" s="4"/>
    </row>
    <row r="33" spans="1:16" ht="15.5">
      <c r="A33" s="7" t="s">
        <v>246</v>
      </c>
      <c r="C33" s="4" t="s">
        <v>247</v>
      </c>
      <c r="D33" s="4"/>
      <c r="E33" s="151" t="s">
        <v>281</v>
      </c>
      <c r="F33" s="151"/>
      <c r="G33" s="67">
        <f>IF(G19=0,0,G32/G19)</f>
        <v>0.014737169221434539</v>
      </c>
      <c r="I33" s="68">
        <f>G33</f>
        <v>0.014737169221434539</v>
      </c>
      <c r="N33" s="4"/>
      <c r="P33" s="4"/>
    </row>
    <row r="34" spans="1:16" ht="15.5">
      <c r="A34" s="7"/>
      <c r="C34" s="4"/>
      <c r="D34" s="4"/>
      <c r="E34" s="151"/>
      <c r="F34" s="151"/>
      <c r="G34" s="4"/>
      <c r="I34" s="67"/>
      <c r="N34" s="4"/>
      <c r="P34" s="2"/>
    </row>
    <row r="35" spans="1:16" ht="15.5">
      <c r="A35" s="7"/>
      <c r="C35" s="2" t="s">
        <v>93</v>
      </c>
      <c r="D35" s="2"/>
      <c r="E35" s="10"/>
      <c r="F35" s="10"/>
      <c r="I35" s="67"/>
      <c r="N35" s="4"/>
      <c r="P35" s="4"/>
    </row>
    <row r="36" spans="1:16" ht="15.5">
      <c r="A36" s="7" t="s">
        <v>248</v>
      </c>
      <c r="C36" s="2" t="s">
        <v>249</v>
      </c>
      <c r="D36" s="2"/>
      <c r="E36" s="151" t="s">
        <v>318</v>
      </c>
      <c r="F36" s="151"/>
      <c r="G36" s="19">
        <f>'Attachment H-21-A ATSI '!I178</f>
        <v>295439972.51714754</v>
      </c>
      <c r="I36" s="67"/>
      <c r="N36" s="4"/>
      <c r="P36" s="4"/>
    </row>
    <row r="37" spans="1:14" ht="15.5">
      <c r="A37" s="7" t="s">
        <v>250</v>
      </c>
      <c r="C37" s="4" t="s">
        <v>251</v>
      </c>
      <c r="D37" s="4"/>
      <c r="E37" s="151" t="s">
        <v>282</v>
      </c>
      <c r="F37" s="151"/>
      <c r="G37" s="68">
        <f>IF(G19=0,0,G36/G19)</f>
        <v>0.066624328230576943</v>
      </c>
      <c r="I37" s="68">
        <f>G37</f>
        <v>0.066624328230576943</v>
      </c>
      <c r="N37" s="4"/>
    </row>
    <row r="38" spans="1:16" ht="15.5">
      <c r="A38" s="7"/>
      <c r="C38" s="2"/>
      <c r="D38" s="2"/>
      <c r="E38" s="151"/>
      <c r="F38" s="151"/>
      <c r="G38" s="4"/>
      <c r="I38" s="67"/>
      <c r="N38" s="4"/>
      <c r="O38" s="10"/>
      <c r="P38" s="4"/>
    </row>
    <row r="39" spans="1:16" ht="15.5">
      <c r="A39" s="150" t="s">
        <v>252</v>
      </c>
      <c r="B39" s="33"/>
      <c r="C39" s="18" t="s">
        <v>253</v>
      </c>
      <c r="D39" s="18"/>
      <c r="E39" s="17" t="s">
        <v>254</v>
      </c>
      <c r="F39" s="17"/>
      <c r="G39" s="9"/>
      <c r="I39" s="69">
        <f>I33+I37</f>
        <v>0.081361497452011489</v>
      </c>
      <c r="N39" s="4"/>
      <c r="O39" s="10"/>
      <c r="P39" s="4"/>
    </row>
    <row r="40" spans="14:16" ht="15.5">
      <c r="N40" s="2"/>
      <c r="O40" s="2"/>
      <c r="P40" s="4"/>
    </row>
    <row r="41" spans="14:16" ht="15.5">
      <c r="N41" s="2"/>
      <c r="O41" s="2"/>
      <c r="P41" s="4"/>
    </row>
    <row r="42" spans="14:16" ht="15.5">
      <c r="N42" s="2"/>
      <c r="O42" s="2"/>
      <c r="P42" s="4"/>
    </row>
    <row r="43" spans="14:16" ht="15.5">
      <c r="N43" s="2"/>
      <c r="O43" s="2"/>
      <c r="P43" s="2"/>
    </row>
    <row r="44" spans="14:16" ht="15.5">
      <c r="N44" s="4"/>
      <c r="O44" s="4"/>
      <c r="P44" s="4"/>
    </row>
    <row r="45" spans="14:16" ht="15.5">
      <c r="N45" s="4"/>
      <c r="O45" s="31"/>
      <c r="P45" s="4"/>
    </row>
    <row r="46" spans="14:16" ht="15.5">
      <c r="N46" s="4"/>
      <c r="O46" s="31"/>
      <c r="P46" s="4"/>
    </row>
    <row r="47" spans="14:16" ht="15.5">
      <c r="N47" s="4"/>
      <c r="O47" s="31"/>
      <c r="P47" s="4"/>
    </row>
    <row r="48" spans="1:16" ht="15.5">
      <c r="A48" s="7"/>
      <c r="E48" s="32"/>
      <c r="F48" s="32"/>
      <c r="G48" s="4"/>
      <c r="J48" s="30"/>
      <c r="M48" s="4"/>
      <c r="N48" s="4"/>
      <c r="O48" s="31"/>
      <c r="P48" s="4"/>
    </row>
    <row r="49" spans="1:16" ht="15.5">
      <c r="A49" s="7"/>
      <c r="E49" s="32"/>
      <c r="F49" s="32"/>
      <c r="G49" s="4"/>
      <c r="J49" s="30"/>
      <c r="M49" s="4"/>
      <c r="N49" s="4"/>
      <c r="O49" s="31"/>
      <c r="P49" s="4"/>
    </row>
    <row r="50" spans="1:16" ht="15.5">
      <c r="A50" s="6"/>
      <c r="C50" s="7"/>
      <c r="D50" s="7"/>
      <c r="E50" s="32"/>
      <c r="F50" s="32"/>
      <c r="G50" s="4"/>
      <c r="J50" s="30"/>
      <c r="N50" s="4"/>
      <c r="O50" s="3"/>
      <c r="P50" s="3"/>
    </row>
    <row r="51" spans="1:16" ht="15.5">
      <c r="A51" s="6"/>
      <c r="C51" s="7"/>
      <c r="D51" s="7"/>
      <c r="E51" s="32"/>
      <c r="F51" s="32"/>
      <c r="G51" s="4"/>
      <c r="J51" s="30"/>
      <c r="N51" s="4"/>
      <c r="O51" s="31"/>
      <c r="P51" s="3"/>
    </row>
    <row r="52" spans="1:16" ht="15.5">
      <c r="A52" s="6"/>
      <c r="C52" s="7"/>
      <c r="D52" s="7"/>
      <c r="E52" s="32"/>
      <c r="F52" s="32"/>
      <c r="G52" s="4"/>
      <c r="J52" s="30"/>
      <c r="N52" s="4"/>
      <c r="O52" s="31"/>
      <c r="P52" s="3"/>
    </row>
    <row r="53" spans="1:16" ht="15.5">
      <c r="A53" s="27"/>
      <c r="G53" s="4"/>
      <c r="N53" s="4"/>
      <c r="O53" s="4"/>
      <c r="P53" s="4"/>
    </row>
    <row r="54" spans="16:16" ht="15.5">
      <c r="P54" s="26" t="str">
        <f>P1</f>
        <v>Attachment  H-21A, Appendix E</v>
      </c>
    </row>
    <row r="55" spans="16:16" ht="15.5">
      <c r="P55" s="26" t="s">
        <v>283</v>
      </c>
    </row>
    <row r="56" spans="10:16" ht="15.5">
      <c r="J56" s="609"/>
      <c r="K56" s="609"/>
      <c r="L56" s="609"/>
      <c r="M56" s="609"/>
      <c r="N56" s="609"/>
      <c r="P56" s="26" t="str">
        <f>P3</f>
        <v>For the 12 months ended 12/31/2023</v>
      </c>
    </row>
    <row r="57" spans="1:16" ht="15.5">
      <c r="A57" s="27"/>
      <c r="G57" s="4"/>
      <c r="J57" s="609"/>
      <c r="K57" s="609"/>
      <c r="L57" s="609"/>
      <c r="M57" s="609"/>
      <c r="N57" s="609"/>
      <c r="O57" s="26"/>
      <c r="P57" s="4"/>
    </row>
    <row r="58" spans="1:16" ht="15.5">
      <c r="A58" s="27"/>
      <c r="C58" s="2"/>
      <c r="D58" s="2"/>
      <c r="J58" s="609"/>
      <c r="K58" s="609"/>
      <c r="L58" s="609"/>
      <c r="M58" s="609"/>
      <c r="N58" s="609"/>
      <c r="O58" s="26"/>
      <c r="P58" s="4"/>
    </row>
    <row r="59" spans="1:16" ht="15.5">
      <c r="A59" s="27"/>
      <c r="C59" s="2"/>
      <c r="D59" s="2"/>
      <c r="J59" s="609"/>
      <c r="K59" s="609"/>
      <c r="L59" s="609"/>
      <c r="M59" s="609"/>
      <c r="N59" s="609"/>
      <c r="P59" s="4"/>
    </row>
    <row r="60" spans="1:16" ht="14.25" customHeight="1">
      <c r="A60" s="27"/>
      <c r="N60" s="4"/>
      <c r="P60" s="4"/>
    </row>
    <row r="61" spans="1:16" ht="15.5">
      <c r="A61" s="696" t="str">
        <f>A5</f>
        <v xml:space="preserve">  Legacy MTEP Credit Calculation</v>
      </c>
      <c r="B61" s="696"/>
      <c r="C61" s="696"/>
      <c r="D61" s="696"/>
      <c r="E61" s="696"/>
      <c r="F61" s="696"/>
      <c r="G61" s="696"/>
      <c r="H61" s="696"/>
      <c r="I61" s="696"/>
      <c r="J61" s="696"/>
      <c r="K61" s="696"/>
      <c r="L61" s="696"/>
      <c r="M61" s="696"/>
      <c r="N61" s="696"/>
      <c r="O61" s="696"/>
      <c r="P61" s="696"/>
    </row>
    <row r="62" spans="1:16" ht="15.5">
      <c r="A62" s="697" t="str">
        <f>A6</f>
        <v>To be completed in conjunction with Attachment H-21A</v>
      </c>
      <c r="B62" s="697"/>
      <c r="C62" s="697"/>
      <c r="D62" s="697"/>
      <c r="E62" s="697"/>
      <c r="F62" s="697"/>
      <c r="G62" s="697"/>
      <c r="H62" s="697"/>
      <c r="I62" s="697"/>
      <c r="J62" s="697"/>
      <c r="K62" s="697"/>
      <c r="L62" s="697"/>
      <c r="M62" s="697"/>
      <c r="N62" s="697"/>
      <c r="O62" s="697"/>
      <c r="P62" s="697"/>
    </row>
    <row r="63" spans="1:16" ht="15.5">
      <c r="A63" s="27"/>
      <c r="E63" s="18"/>
      <c r="H63" s="2"/>
      <c r="I63" s="2"/>
      <c r="J63" s="2"/>
      <c r="K63" s="2"/>
      <c r="L63" s="225"/>
      <c r="M63" s="2"/>
      <c r="N63" s="4"/>
      <c r="O63" s="4"/>
      <c r="P63" s="4"/>
    </row>
    <row r="64" spans="1:16" ht="15.5">
      <c r="A64" s="27"/>
      <c r="E64" s="18"/>
      <c r="F64" s="18"/>
      <c r="H64" s="2"/>
      <c r="I64" s="2"/>
      <c r="J64" s="2"/>
      <c r="K64" s="2"/>
      <c r="L64" s="225"/>
      <c r="M64" s="2"/>
      <c r="N64" s="4"/>
      <c r="O64" s="4"/>
      <c r="P64" s="4"/>
    </row>
    <row r="65" spans="1:16" ht="15.5">
      <c r="A65" s="27"/>
      <c r="C65" s="35">
        <v>-1</v>
      </c>
      <c r="D65" s="35">
        <v>-2</v>
      </c>
      <c r="E65" s="35">
        <v>-3</v>
      </c>
      <c r="F65" s="35">
        <v>-4</v>
      </c>
      <c r="G65" s="35">
        <v>-5</v>
      </c>
      <c r="H65" s="35">
        <v>-6</v>
      </c>
      <c r="I65" s="35">
        <v>-7</v>
      </c>
      <c r="J65" s="35">
        <v>-8</v>
      </c>
      <c r="K65" s="35">
        <v>-9</v>
      </c>
      <c r="L65" s="35">
        <v>-10</v>
      </c>
      <c r="M65" s="150" t="s">
        <v>713</v>
      </c>
      <c r="N65" s="150" t="s">
        <v>714</v>
      </c>
      <c r="O65" s="150" t="s">
        <v>719</v>
      </c>
      <c r="P65" s="150" t="s">
        <v>720</v>
      </c>
    </row>
    <row r="66" spans="1:16" ht="79.5" customHeight="1">
      <c r="A66" s="36" t="s">
        <v>255</v>
      </c>
      <c r="B66" s="37"/>
      <c r="C66" s="37" t="s">
        <v>256</v>
      </c>
      <c r="D66" s="38" t="s">
        <v>257</v>
      </c>
      <c r="E66" s="39" t="s">
        <v>258</v>
      </c>
      <c r="F66" s="39" t="s">
        <v>242</v>
      </c>
      <c r="G66" s="40" t="s">
        <v>259</v>
      </c>
      <c r="H66" s="39" t="s">
        <v>260</v>
      </c>
      <c r="I66" s="39" t="s">
        <v>253</v>
      </c>
      <c r="J66" s="40" t="s">
        <v>261</v>
      </c>
      <c r="K66" s="39" t="s">
        <v>262</v>
      </c>
      <c r="L66" s="312" t="s">
        <v>636</v>
      </c>
      <c r="M66" s="313" t="s">
        <v>263</v>
      </c>
      <c r="N66" s="41" t="s">
        <v>722</v>
      </c>
      <c r="O66" s="41" t="s">
        <v>409</v>
      </c>
      <c r="P66" s="41" t="s">
        <v>723</v>
      </c>
    </row>
    <row r="67" spans="1:16" ht="46.5" customHeight="1">
      <c r="A67" s="42"/>
      <c r="B67" s="43"/>
      <c r="C67" s="43"/>
      <c r="D67" s="43"/>
      <c r="E67" s="44" t="s">
        <v>21</v>
      </c>
      <c r="F67" s="44" t="s">
        <v>285</v>
      </c>
      <c r="G67" s="45" t="s">
        <v>264</v>
      </c>
      <c r="H67" s="44" t="s">
        <v>22</v>
      </c>
      <c r="I67" s="44" t="s">
        <v>286</v>
      </c>
      <c r="J67" s="45" t="s">
        <v>265</v>
      </c>
      <c r="K67" s="44" t="s">
        <v>186</v>
      </c>
      <c r="L67" s="153" t="s">
        <v>637</v>
      </c>
      <c r="M67" s="314" t="s">
        <v>266</v>
      </c>
      <c r="N67" s="46" t="s">
        <v>724</v>
      </c>
      <c r="O67" s="46" t="s">
        <v>570</v>
      </c>
      <c r="P67" s="153" t="s">
        <v>725</v>
      </c>
    </row>
    <row r="68" spans="1:16" ht="15.5">
      <c r="A68" s="47"/>
      <c r="B68" s="2"/>
      <c r="C68" s="2"/>
      <c r="D68" s="2"/>
      <c r="E68" s="2"/>
      <c r="F68" s="2"/>
      <c r="G68" s="48"/>
      <c r="H68" s="2"/>
      <c r="I68" s="2"/>
      <c r="J68" s="48"/>
      <c r="K68" s="2"/>
      <c r="L68" s="228"/>
      <c r="M68" s="4"/>
      <c r="N68" s="49"/>
      <c r="O68" s="49"/>
      <c r="P68" s="48"/>
    </row>
    <row r="69" spans="1:19" ht="15.5">
      <c r="A69" s="50" t="s">
        <v>9</v>
      </c>
      <c r="C69" s="317" t="s">
        <v>904</v>
      </c>
      <c r="D69" s="213">
        <v>890</v>
      </c>
      <c r="E69" s="99">
        <v>10147903.509999992</v>
      </c>
      <c r="F69" s="68">
        <f>$I$29</f>
        <v>0.078107237967316459</v>
      </c>
      <c r="G69" s="63">
        <f>E69*F69</f>
        <v>792624.71432493534</v>
      </c>
      <c r="H69" s="99">
        <v>6872388.0521650016</v>
      </c>
      <c r="I69" s="68">
        <f>$I$39</f>
        <v>0.081361497452011489</v>
      </c>
      <c r="J69" s="63">
        <f>H69*I69</f>
        <v>559147.78299545695</v>
      </c>
      <c r="K69" s="99">
        <v>225643.57277808335</v>
      </c>
      <c r="L69" s="61">
        <f>G69+J69+K69</f>
        <v>1577416.0700984756</v>
      </c>
      <c r="M69" s="172">
        <v>0.92779999999999996</v>
      </c>
      <c r="N69" s="61">
        <f>L69*(1-M69)</f>
        <v>113889.44026110999</v>
      </c>
      <c r="O69" s="171"/>
      <c r="P69" s="63">
        <f>N69+O69</f>
        <v>113889.44026110999</v>
      </c>
      <c r="Q69" s="52"/>
      <c r="R69" s="52"/>
      <c r="S69" s="52"/>
    </row>
    <row r="70" spans="1:19" ht="15.5">
      <c r="A70" s="50" t="s">
        <v>267</v>
      </c>
      <c r="C70" s="317" t="s">
        <v>905</v>
      </c>
      <c r="D70" s="213">
        <v>1326</v>
      </c>
      <c r="E70" s="99">
        <v>5855485.5799999973</v>
      </c>
      <c r="F70" s="68">
        <f>$I$29</f>
        <v>0.078107237967316459</v>
      </c>
      <c r="G70" s="63">
        <f>E70*F70</f>
        <v>457355.80561124982</v>
      </c>
      <c r="H70" s="99">
        <v>4014008.7501249164</v>
      </c>
      <c r="I70" s="68">
        <f>$I$39</f>
        <v>0.081361497452011489</v>
      </c>
      <c r="J70" s="63">
        <f>H70*I70</f>
        <v>326585.76269564021</v>
      </c>
      <c r="K70" s="99">
        <v>120660.85379800005</v>
      </c>
      <c r="L70" s="61">
        <f>G70+J70+K70</f>
        <v>904602.42210489011</v>
      </c>
      <c r="M70" s="172">
        <v>0.82579999999999998</v>
      </c>
      <c r="N70" s="61">
        <f t="shared" si="0" ref="N70">L70*(1-M70)</f>
        <v>157581.74193067188</v>
      </c>
      <c r="O70" s="171"/>
      <c r="P70" s="63">
        <f t="shared" si="1" ref="P70">N70+O70</f>
        <v>157581.74193067188</v>
      </c>
      <c r="Q70" s="52"/>
      <c r="R70" s="52"/>
      <c r="S70" s="52"/>
    </row>
    <row r="71" spans="1:19" ht="15.5">
      <c r="A71" s="50"/>
      <c r="C71" s="52"/>
      <c r="D71" s="52"/>
      <c r="E71" s="52"/>
      <c r="F71" s="52"/>
      <c r="G71" s="53"/>
      <c r="H71" s="52"/>
      <c r="I71" s="52"/>
      <c r="J71" s="53"/>
      <c r="K71" s="52"/>
      <c r="L71" s="229"/>
      <c r="M71" s="52"/>
      <c r="N71" s="53"/>
      <c r="O71" s="53"/>
      <c r="P71" s="53"/>
      <c r="Q71" s="52"/>
      <c r="R71" s="52"/>
      <c r="S71" s="52"/>
    </row>
    <row r="72" spans="1:19" ht="15.5">
      <c r="A72" s="50"/>
      <c r="C72" s="52"/>
      <c r="D72" s="52"/>
      <c r="E72" s="52"/>
      <c r="F72" s="52"/>
      <c r="G72" s="53"/>
      <c r="H72" s="52"/>
      <c r="I72" s="52"/>
      <c r="J72" s="53"/>
      <c r="K72" s="52"/>
      <c r="L72" s="229"/>
      <c r="M72" s="52"/>
      <c r="N72" s="53"/>
      <c r="O72" s="53"/>
      <c r="P72" s="53"/>
      <c r="Q72" s="52"/>
      <c r="R72" s="52"/>
      <c r="S72" s="52"/>
    </row>
    <row r="73" spans="1:19" ht="15.5">
      <c r="A73" s="50"/>
      <c r="C73" s="52"/>
      <c r="D73" s="52"/>
      <c r="E73" s="52"/>
      <c r="F73" s="52"/>
      <c r="G73" s="53"/>
      <c r="H73" s="52"/>
      <c r="I73" s="52"/>
      <c r="J73" s="53"/>
      <c r="K73" s="52"/>
      <c r="L73" s="229"/>
      <c r="M73" s="52"/>
      <c r="N73" s="53"/>
      <c r="O73" s="53"/>
      <c r="P73" s="53"/>
      <c r="Q73" s="52"/>
      <c r="R73" s="52"/>
      <c r="S73" s="52"/>
    </row>
    <row r="74" spans="1:19" ht="15.5">
      <c r="A74" s="50"/>
      <c r="C74" s="52"/>
      <c r="D74" s="52"/>
      <c r="E74" s="52"/>
      <c r="F74" s="52"/>
      <c r="G74" s="53"/>
      <c r="H74" s="52"/>
      <c r="I74" s="52"/>
      <c r="J74" s="53"/>
      <c r="K74" s="52"/>
      <c r="L74" s="229"/>
      <c r="M74" s="52"/>
      <c r="N74" s="53"/>
      <c r="O74" s="53"/>
      <c r="P74" s="53"/>
      <c r="Q74" s="52"/>
      <c r="R74" s="52"/>
      <c r="S74" s="52"/>
    </row>
    <row r="75" spans="1:19" ht="15.5">
      <c r="A75" s="50"/>
      <c r="C75" s="52"/>
      <c r="D75" s="52"/>
      <c r="E75" s="52"/>
      <c r="F75" s="52"/>
      <c r="G75" s="53"/>
      <c r="H75" s="52"/>
      <c r="I75" s="52"/>
      <c r="J75" s="53"/>
      <c r="K75" s="52"/>
      <c r="L75" s="229"/>
      <c r="M75" s="52"/>
      <c r="N75" s="53"/>
      <c r="O75" s="53"/>
      <c r="P75" s="53"/>
      <c r="Q75" s="52"/>
      <c r="R75" s="52"/>
      <c r="S75" s="52"/>
    </row>
    <row r="76" spans="1:19" ht="15.5">
      <c r="A76" s="50"/>
      <c r="C76" s="52"/>
      <c r="D76" s="52"/>
      <c r="E76" s="52"/>
      <c r="F76" s="52"/>
      <c r="G76" s="53"/>
      <c r="H76" s="52"/>
      <c r="I76" s="52"/>
      <c r="J76" s="53"/>
      <c r="K76" s="52"/>
      <c r="L76" s="229"/>
      <c r="M76" s="52"/>
      <c r="N76" s="53"/>
      <c r="O76" s="53"/>
      <c r="P76" s="53"/>
      <c r="Q76" s="52"/>
      <c r="R76" s="52"/>
      <c r="S76" s="52"/>
    </row>
    <row r="77" spans="1:19" ht="15.5">
      <c r="A77" s="50"/>
      <c r="C77" s="52"/>
      <c r="D77" s="52"/>
      <c r="E77" s="52"/>
      <c r="F77" s="52"/>
      <c r="G77" s="53"/>
      <c r="H77" s="52"/>
      <c r="I77" s="52"/>
      <c r="J77" s="53"/>
      <c r="K77" s="52"/>
      <c r="L77" s="229"/>
      <c r="M77" s="52"/>
      <c r="N77" s="53"/>
      <c r="O77" s="53"/>
      <c r="P77" s="53"/>
      <c r="Q77" s="52"/>
      <c r="R77" s="52"/>
      <c r="S77" s="52"/>
    </row>
    <row r="78" spans="1:19" ht="15.5">
      <c r="A78" s="50"/>
      <c r="C78" s="52"/>
      <c r="D78" s="52"/>
      <c r="E78" s="52"/>
      <c r="F78" s="52"/>
      <c r="G78" s="53"/>
      <c r="H78" s="52"/>
      <c r="I78" s="52"/>
      <c r="J78" s="53"/>
      <c r="K78" s="52"/>
      <c r="L78" s="229"/>
      <c r="M78" s="52"/>
      <c r="N78" s="53"/>
      <c r="O78" s="53"/>
      <c r="P78" s="53"/>
      <c r="Q78" s="52"/>
      <c r="R78" s="52"/>
      <c r="S78" s="52"/>
    </row>
    <row r="79" spans="1:19" ht="15.5">
      <c r="A79" s="50"/>
      <c r="C79" s="52"/>
      <c r="D79" s="52"/>
      <c r="E79" s="52"/>
      <c r="F79" s="52"/>
      <c r="G79" s="53"/>
      <c r="H79" s="52"/>
      <c r="I79" s="52"/>
      <c r="J79" s="53"/>
      <c r="K79" s="52"/>
      <c r="L79" s="229"/>
      <c r="M79" s="52"/>
      <c r="N79" s="53"/>
      <c r="O79" s="53"/>
      <c r="P79" s="53"/>
      <c r="Q79" s="52"/>
      <c r="R79" s="52"/>
      <c r="S79" s="52"/>
    </row>
    <row r="80" spans="1:19" ht="15.5">
      <c r="A80" s="50"/>
      <c r="C80" s="52"/>
      <c r="D80" s="52"/>
      <c r="E80" s="52"/>
      <c r="F80" s="52"/>
      <c r="G80" s="53"/>
      <c r="H80" s="52"/>
      <c r="I80" s="52"/>
      <c r="J80" s="53"/>
      <c r="K80" s="52"/>
      <c r="L80" s="229"/>
      <c r="M80" s="52"/>
      <c r="N80" s="53"/>
      <c r="O80" s="53"/>
      <c r="P80" s="53"/>
      <c r="Q80" s="52"/>
      <c r="R80" s="52"/>
      <c r="S80" s="52"/>
    </row>
    <row r="81" spans="1:19" ht="15.5">
      <c r="A81" s="50"/>
      <c r="C81" s="52"/>
      <c r="D81" s="52"/>
      <c r="E81" s="52"/>
      <c r="F81" s="52"/>
      <c r="G81" s="53"/>
      <c r="H81" s="52"/>
      <c r="I81" s="52"/>
      <c r="J81" s="53"/>
      <c r="K81" s="52"/>
      <c r="L81" s="229"/>
      <c r="M81" s="52"/>
      <c r="N81" s="53"/>
      <c r="O81" s="53"/>
      <c r="P81" s="53"/>
      <c r="Q81" s="52"/>
      <c r="R81" s="52"/>
      <c r="S81" s="52"/>
    </row>
    <row r="82" spans="1:19" ht="15.5">
      <c r="A82" s="50"/>
      <c r="C82" s="52"/>
      <c r="D82" s="52"/>
      <c r="E82" s="52"/>
      <c r="F82" s="52"/>
      <c r="G82" s="53"/>
      <c r="H82" s="52"/>
      <c r="I82" s="52"/>
      <c r="J82" s="53"/>
      <c r="K82" s="52"/>
      <c r="L82" s="229"/>
      <c r="M82" s="52"/>
      <c r="N82" s="53"/>
      <c r="O82" s="53"/>
      <c r="P82" s="53"/>
      <c r="Q82" s="52"/>
      <c r="R82" s="52"/>
      <c r="S82" s="52"/>
    </row>
    <row r="83" spans="1:19" ht="15.5">
      <c r="A83" s="54"/>
      <c r="B83" s="55"/>
      <c r="C83" s="56"/>
      <c r="D83" s="56"/>
      <c r="E83" s="56"/>
      <c r="F83" s="56"/>
      <c r="G83" s="57"/>
      <c r="H83" s="56"/>
      <c r="I83" s="56"/>
      <c r="J83" s="57"/>
      <c r="K83" s="56"/>
      <c r="L83" s="230"/>
      <c r="M83" s="56"/>
      <c r="N83" s="57"/>
      <c r="O83" s="57"/>
      <c r="P83" s="57"/>
      <c r="Q83" s="52"/>
      <c r="R83" s="52"/>
      <c r="S83" s="52"/>
    </row>
    <row r="84" spans="1:19" ht="15.5">
      <c r="A84" s="7" t="s">
        <v>269</v>
      </c>
      <c r="C84" s="2" t="s">
        <v>270</v>
      </c>
      <c r="D84" s="2"/>
      <c r="E84" s="32"/>
      <c r="F84" s="32"/>
      <c r="G84" s="4"/>
      <c r="H84" s="4"/>
      <c r="I84" s="4"/>
      <c r="J84" s="4"/>
      <c r="K84" s="4"/>
      <c r="L84" s="227"/>
      <c r="N84" s="316"/>
      <c r="O84" s="19"/>
      <c r="P84" s="19">
        <f>SUM(P69:P83)</f>
        <v>271471.18219178187</v>
      </c>
      <c r="Q84" s="19"/>
      <c r="R84" s="52"/>
      <c r="S84" s="52"/>
    </row>
    <row r="85" spans="1:19" ht="15.5">
      <c r="A85" s="52"/>
      <c r="B85" s="52"/>
      <c r="C85" s="52"/>
      <c r="D85" s="52"/>
      <c r="E85" s="52"/>
      <c r="F85" s="52"/>
      <c r="G85" s="52"/>
      <c r="H85" s="52"/>
      <c r="I85" s="52"/>
      <c r="J85" s="52"/>
      <c r="K85" s="52"/>
      <c r="L85" s="226"/>
      <c r="N85" s="315"/>
      <c r="O85" s="315"/>
      <c r="P85" s="19"/>
      <c r="Q85" s="52"/>
      <c r="R85" s="52"/>
      <c r="S85" s="52"/>
    </row>
    <row r="86" spans="1:19" ht="15.5">
      <c r="A86" s="58">
        <v>3</v>
      </c>
      <c r="B86" s="52"/>
      <c r="C86" s="1" t="s">
        <v>323</v>
      </c>
      <c r="D86" s="52"/>
      <c r="E86" s="52"/>
      <c r="F86" s="52"/>
      <c r="G86" s="52"/>
      <c r="H86" s="52"/>
      <c r="I86" s="52"/>
      <c r="J86" s="52"/>
      <c r="K86" s="52"/>
      <c r="L86" s="226"/>
      <c r="N86" s="19">
        <f>SUM(N69:N83)</f>
        <v>271471.18219178187</v>
      </c>
      <c r="O86" s="19"/>
      <c r="P86" s="316"/>
      <c r="Q86" s="19"/>
      <c r="R86" s="52"/>
      <c r="S86" s="52"/>
    </row>
    <row r="87" spans="1:19" ht="15.5">
      <c r="A87" s="52"/>
      <c r="B87" s="52"/>
      <c r="C87" s="52"/>
      <c r="D87" s="52"/>
      <c r="E87" s="52"/>
      <c r="F87" s="52"/>
      <c r="G87" s="52"/>
      <c r="H87" s="52"/>
      <c r="I87" s="52"/>
      <c r="J87" s="52"/>
      <c r="K87" s="52"/>
      <c r="L87" s="226"/>
      <c r="M87" s="52"/>
      <c r="N87" s="52"/>
      <c r="O87" s="52"/>
      <c r="P87" s="52"/>
      <c r="Q87" s="52"/>
      <c r="R87" s="52"/>
      <c r="S87" s="52"/>
    </row>
    <row r="88" spans="1:19" ht="15.5">
      <c r="A88" s="52"/>
      <c r="B88" s="52"/>
      <c r="C88" s="52"/>
      <c r="D88" s="52"/>
      <c r="E88" s="52"/>
      <c r="F88" s="52"/>
      <c r="G88" s="52"/>
      <c r="H88" s="52"/>
      <c r="I88" s="52"/>
      <c r="J88" s="52"/>
      <c r="K88" s="52"/>
      <c r="L88" s="226"/>
      <c r="M88" s="52"/>
      <c r="N88" s="52"/>
      <c r="O88" s="52"/>
      <c r="P88" s="52"/>
      <c r="Q88" s="52"/>
      <c r="R88" s="52"/>
      <c r="S88" s="52"/>
    </row>
    <row r="89" spans="1:19" ht="15.5">
      <c r="A89" s="1" t="s">
        <v>139</v>
      </c>
      <c r="B89" s="52"/>
      <c r="C89" s="52"/>
      <c r="D89" s="52"/>
      <c r="E89" s="52"/>
      <c r="F89" s="52"/>
      <c r="G89" s="52"/>
      <c r="H89" s="52"/>
      <c r="I89" s="52"/>
      <c r="J89" s="52"/>
      <c r="K89" s="52"/>
      <c r="L89" s="226"/>
      <c r="M89" s="52"/>
      <c r="N89" s="52"/>
      <c r="O89" s="52"/>
      <c r="P89" s="52"/>
      <c r="Q89" s="52"/>
      <c r="R89" s="52"/>
      <c r="S89" s="52"/>
    </row>
    <row r="90" spans="1:19" ht="16" thickBot="1">
      <c r="A90" s="59" t="s">
        <v>140</v>
      </c>
      <c r="B90" s="52"/>
      <c r="C90" s="52"/>
      <c r="D90" s="52"/>
      <c r="E90" s="52"/>
      <c r="F90" s="52"/>
      <c r="G90" s="52"/>
      <c r="H90" s="52"/>
      <c r="I90" s="52"/>
      <c r="J90" s="52"/>
      <c r="K90" s="52"/>
      <c r="L90" s="226"/>
      <c r="M90" s="52"/>
      <c r="N90" s="52"/>
      <c r="O90" s="52"/>
      <c r="P90" s="52"/>
      <c r="Q90" s="52"/>
      <c r="R90" s="52"/>
      <c r="S90" s="52"/>
    </row>
    <row r="91" spans="1:19" ht="15.5">
      <c r="A91" s="32" t="s">
        <v>141</v>
      </c>
      <c r="C91" s="681" t="s">
        <v>324</v>
      </c>
      <c r="D91" s="681"/>
      <c r="E91" s="681"/>
      <c r="F91" s="681"/>
      <c r="G91" s="681"/>
      <c r="H91" s="681"/>
      <c r="I91" s="681"/>
      <c r="J91" s="681"/>
      <c r="K91" s="681"/>
      <c r="L91" s="681"/>
      <c r="M91" s="681"/>
      <c r="N91" s="681"/>
      <c r="O91" s="681"/>
      <c r="P91" s="52"/>
      <c r="Q91" s="52"/>
      <c r="R91" s="52"/>
      <c r="S91" s="52"/>
    </row>
    <row r="92" spans="1:19" ht="15.5">
      <c r="A92" s="32" t="s">
        <v>142</v>
      </c>
      <c r="C92" s="681" t="s">
        <v>325</v>
      </c>
      <c r="D92" s="681"/>
      <c r="E92" s="681"/>
      <c r="F92" s="681"/>
      <c r="G92" s="681"/>
      <c r="H92" s="681"/>
      <c r="I92" s="681"/>
      <c r="J92" s="681"/>
      <c r="K92" s="681"/>
      <c r="L92" s="681"/>
      <c r="M92" s="681"/>
      <c r="N92" s="681"/>
      <c r="O92" s="681"/>
      <c r="P92" s="52"/>
      <c r="Q92" s="52"/>
      <c r="R92" s="52"/>
      <c r="S92" s="52"/>
    </row>
    <row r="93" spans="1:19" ht="33" customHeight="1">
      <c r="A93" s="60" t="s">
        <v>143</v>
      </c>
      <c r="C93" s="694" t="s">
        <v>302</v>
      </c>
      <c r="D93" s="694"/>
      <c r="E93" s="694"/>
      <c r="F93" s="694"/>
      <c r="G93" s="694"/>
      <c r="H93" s="694"/>
      <c r="I93" s="694"/>
      <c r="J93" s="694"/>
      <c r="K93" s="694"/>
      <c r="L93" s="694"/>
      <c r="M93" s="694"/>
      <c r="N93" s="694"/>
      <c r="O93" s="694"/>
      <c r="P93" s="52"/>
      <c r="Q93" s="52"/>
      <c r="R93" s="52"/>
      <c r="S93" s="52"/>
    </row>
    <row r="94" spans="1:19" ht="15.5">
      <c r="A94" s="60" t="s">
        <v>144</v>
      </c>
      <c r="C94" s="694" t="s">
        <v>271</v>
      </c>
      <c r="D94" s="694"/>
      <c r="E94" s="694"/>
      <c r="F94" s="694"/>
      <c r="G94" s="694"/>
      <c r="H94" s="694"/>
      <c r="I94" s="694"/>
      <c r="J94" s="694"/>
      <c r="K94" s="694"/>
      <c r="L94" s="694"/>
      <c r="M94" s="694"/>
      <c r="N94" s="694"/>
      <c r="O94" s="694"/>
      <c r="P94" s="52"/>
      <c r="Q94" s="52"/>
      <c r="R94" s="52"/>
      <c r="S94" s="52"/>
    </row>
    <row r="95" spans="1:19" ht="15.5">
      <c r="A95" s="32" t="s">
        <v>145</v>
      </c>
      <c r="C95" s="681" t="s">
        <v>322</v>
      </c>
      <c r="D95" s="681"/>
      <c r="E95" s="681"/>
      <c r="F95" s="681"/>
      <c r="G95" s="681"/>
      <c r="H95" s="681"/>
      <c r="I95" s="681"/>
      <c r="J95" s="681"/>
      <c r="K95" s="681"/>
      <c r="L95" s="681"/>
      <c r="M95" s="681"/>
      <c r="N95" s="681"/>
      <c r="O95" s="681"/>
      <c r="P95" s="52"/>
      <c r="Q95" s="52"/>
      <c r="R95" s="52"/>
      <c r="S95" s="52"/>
    </row>
    <row r="96" spans="1:19" ht="15.5">
      <c r="A96" s="32" t="s">
        <v>146</v>
      </c>
      <c r="C96" s="681" t="s">
        <v>272</v>
      </c>
      <c r="D96" s="681"/>
      <c r="E96" s="681"/>
      <c r="F96" s="681"/>
      <c r="G96" s="681"/>
      <c r="H96" s="681"/>
      <c r="I96" s="681"/>
      <c r="J96" s="681"/>
      <c r="K96" s="681"/>
      <c r="L96" s="681"/>
      <c r="M96" s="681"/>
      <c r="N96" s="681"/>
      <c r="O96" s="681"/>
      <c r="P96" s="52"/>
      <c r="Q96" s="52"/>
      <c r="R96" s="52"/>
      <c r="S96" s="52"/>
    </row>
    <row r="97" spans="1:19" ht="15.5">
      <c r="A97" s="32" t="s">
        <v>147</v>
      </c>
      <c r="C97" s="681" t="s">
        <v>721</v>
      </c>
      <c r="D97" s="681"/>
      <c r="E97" s="681"/>
      <c r="F97" s="681"/>
      <c r="G97" s="681"/>
      <c r="H97" s="681"/>
      <c r="I97" s="681"/>
      <c r="J97" s="681"/>
      <c r="K97" s="681"/>
      <c r="L97" s="681"/>
      <c r="M97" s="681"/>
      <c r="N97" s="681"/>
      <c r="O97" s="681"/>
      <c r="P97" s="52"/>
      <c r="Q97" s="52"/>
      <c r="R97" s="52"/>
      <c r="S97" s="52"/>
    </row>
    <row r="98" spans="1:12" ht="15.5">
      <c r="A98" s="32" t="s">
        <v>149</v>
      </c>
      <c r="C98" s="1" t="s">
        <v>640</v>
      </c>
      <c r="L98" s="1"/>
    </row>
    <row r="99" spans="1:19" ht="15.5">
      <c r="A99" s="6"/>
      <c r="C99" s="7"/>
      <c r="D99" s="7"/>
      <c r="E99" s="32"/>
      <c r="F99" s="32"/>
      <c r="G99" s="4"/>
      <c r="J99" s="30"/>
      <c r="N99" s="4"/>
      <c r="O99" s="3"/>
      <c r="P99" s="52"/>
      <c r="Q99" s="52"/>
      <c r="R99" s="52"/>
      <c r="S99" s="52"/>
    </row>
    <row r="100" spans="3:19" ht="15.5">
      <c r="C100" s="52"/>
      <c r="D100" s="52"/>
      <c r="E100" s="52"/>
      <c r="F100" s="52"/>
      <c r="G100" s="52"/>
      <c r="H100" s="52"/>
      <c r="I100" s="52"/>
      <c r="J100" s="52"/>
      <c r="K100" s="52"/>
      <c r="L100" s="226"/>
      <c r="M100" s="52"/>
      <c r="N100" s="52"/>
      <c r="O100" s="52"/>
      <c r="P100" s="52"/>
      <c r="Q100" s="52"/>
      <c r="R100" s="52"/>
      <c r="S100" s="52"/>
    </row>
    <row r="101" spans="3:19" ht="15.5">
      <c r="C101" s="52"/>
      <c r="D101" s="52"/>
      <c r="E101" s="52"/>
      <c r="F101" s="52"/>
      <c r="G101" s="52"/>
      <c r="H101" s="52"/>
      <c r="I101" s="52"/>
      <c r="J101" s="52"/>
      <c r="K101" s="52"/>
      <c r="L101" s="226"/>
      <c r="M101" s="52"/>
      <c r="N101" s="52"/>
      <c r="O101" s="52"/>
      <c r="P101" s="52"/>
      <c r="Q101" s="52"/>
      <c r="R101" s="52"/>
      <c r="S101" s="52"/>
    </row>
    <row r="102" spans="3:19" ht="15.5">
      <c r="C102" s="52"/>
      <c r="D102" s="52"/>
      <c r="E102" s="52"/>
      <c r="F102" s="52"/>
      <c r="G102" s="52"/>
      <c r="H102" s="52"/>
      <c r="I102" s="52"/>
      <c r="J102" s="52"/>
      <c r="K102" s="52"/>
      <c r="L102" s="226"/>
      <c r="M102" s="52"/>
      <c r="N102" s="52"/>
      <c r="O102" s="52"/>
      <c r="P102" s="52"/>
      <c r="Q102" s="52"/>
      <c r="R102" s="52"/>
      <c r="S102" s="52"/>
    </row>
    <row r="103" spans="3:19" ht="15.5">
      <c r="C103" s="52"/>
      <c r="D103" s="52"/>
      <c r="E103" s="52"/>
      <c r="F103" s="52"/>
      <c r="G103" s="52"/>
      <c r="H103" s="52"/>
      <c r="I103" s="52"/>
      <c r="J103" s="52"/>
      <c r="K103" s="52"/>
      <c r="L103" s="226"/>
      <c r="M103" s="52"/>
      <c r="N103" s="52"/>
      <c r="O103" s="52"/>
      <c r="P103" s="52"/>
      <c r="Q103" s="52"/>
      <c r="R103" s="52"/>
      <c r="S103" s="52"/>
    </row>
    <row r="104" spans="3:19" ht="15.5">
      <c r="C104" s="52"/>
      <c r="D104" s="52"/>
      <c r="E104" s="52"/>
      <c r="F104" s="52"/>
      <c r="G104" s="52"/>
      <c r="H104" s="52"/>
      <c r="I104" s="52"/>
      <c r="J104" s="52"/>
      <c r="K104" s="52"/>
      <c r="L104" s="226"/>
      <c r="M104" s="52"/>
      <c r="N104" s="52"/>
      <c r="O104" s="52"/>
      <c r="P104" s="52"/>
      <c r="Q104" s="52"/>
      <c r="R104" s="52"/>
      <c r="S104" s="52"/>
    </row>
    <row r="105" spans="3:19" ht="15.5">
      <c r="C105" s="52"/>
      <c r="D105" s="52"/>
      <c r="E105" s="52"/>
      <c r="F105" s="52"/>
      <c r="G105" s="52"/>
      <c r="H105" s="52"/>
      <c r="I105" s="52"/>
      <c r="J105" s="52"/>
      <c r="K105" s="52"/>
      <c r="L105" s="226"/>
      <c r="M105" s="52"/>
      <c r="N105" s="52"/>
      <c r="O105" s="52"/>
      <c r="P105" s="52"/>
      <c r="Q105" s="52"/>
      <c r="R105" s="52"/>
      <c r="S105" s="52"/>
    </row>
    <row r="106" spans="3:19" ht="15.5">
      <c r="C106" s="52"/>
      <c r="D106" s="52"/>
      <c r="E106" s="52"/>
      <c r="F106" s="52"/>
      <c r="G106" s="52"/>
      <c r="H106" s="52"/>
      <c r="I106" s="52"/>
      <c r="J106" s="52"/>
      <c r="K106" s="52"/>
      <c r="L106" s="226"/>
      <c r="M106" s="52"/>
      <c r="N106" s="52"/>
      <c r="O106" s="52"/>
      <c r="P106" s="52"/>
      <c r="Q106" s="52"/>
      <c r="R106" s="52"/>
      <c r="S106" s="52"/>
    </row>
    <row r="107" spans="3:19" ht="15.5">
      <c r="C107" s="52"/>
      <c r="D107" s="52"/>
      <c r="E107" s="52"/>
      <c r="F107" s="52"/>
      <c r="G107" s="52"/>
      <c r="H107" s="52"/>
      <c r="I107" s="52"/>
      <c r="J107" s="52"/>
      <c r="K107" s="52"/>
      <c r="L107" s="226"/>
      <c r="M107" s="52"/>
      <c r="N107" s="52"/>
      <c r="O107" s="52"/>
      <c r="P107" s="52"/>
      <c r="Q107" s="52"/>
      <c r="R107" s="52"/>
      <c r="S107" s="52"/>
    </row>
    <row r="108" spans="3:19" ht="15.5">
      <c r="C108" s="52"/>
      <c r="D108" s="52"/>
      <c r="E108" s="52"/>
      <c r="F108" s="52"/>
      <c r="G108" s="52"/>
      <c r="H108" s="52"/>
      <c r="I108" s="52"/>
      <c r="J108" s="52"/>
      <c r="K108" s="52"/>
      <c r="L108" s="226"/>
      <c r="M108" s="52"/>
      <c r="N108" s="52"/>
      <c r="O108" s="52"/>
      <c r="P108" s="52"/>
      <c r="Q108" s="52"/>
      <c r="R108" s="52"/>
      <c r="S108" s="52"/>
    </row>
    <row r="109" spans="3:19" ht="15.5">
      <c r="C109" s="52"/>
      <c r="D109" s="52"/>
      <c r="E109" s="52"/>
      <c r="F109" s="52"/>
      <c r="G109" s="52"/>
      <c r="H109" s="52"/>
      <c r="I109" s="52"/>
      <c r="J109" s="52"/>
      <c r="K109" s="52"/>
      <c r="L109" s="226"/>
      <c r="M109" s="52"/>
      <c r="N109" s="52"/>
      <c r="O109" s="52"/>
      <c r="P109" s="52"/>
      <c r="Q109" s="52"/>
      <c r="R109" s="52"/>
      <c r="S109" s="52"/>
    </row>
    <row r="110" spans="3:19" ht="15.5">
      <c r="C110" s="52"/>
      <c r="D110" s="52"/>
      <c r="E110" s="52"/>
      <c r="F110" s="52"/>
      <c r="G110" s="52"/>
      <c r="H110" s="52"/>
      <c r="I110" s="52"/>
      <c r="J110" s="52"/>
      <c r="K110" s="52"/>
      <c r="L110" s="226"/>
      <c r="M110" s="52"/>
      <c r="N110" s="52"/>
      <c r="O110" s="52"/>
      <c r="P110" s="52"/>
      <c r="Q110" s="52"/>
      <c r="R110" s="52"/>
      <c r="S110" s="52"/>
    </row>
    <row r="111" spans="3:19" ht="15.5">
      <c r="C111" s="52"/>
      <c r="D111" s="52"/>
      <c r="E111" s="52"/>
      <c r="F111" s="52"/>
      <c r="G111" s="52"/>
      <c r="H111" s="52"/>
      <c r="I111" s="52"/>
      <c r="J111" s="52"/>
      <c r="K111" s="52"/>
      <c r="L111" s="226"/>
      <c r="M111" s="52"/>
      <c r="N111" s="52"/>
      <c r="O111" s="52"/>
      <c r="P111" s="52"/>
      <c r="Q111" s="52"/>
      <c r="R111" s="52"/>
      <c r="S111" s="52"/>
    </row>
    <row r="112" spans="3:19" ht="15.5">
      <c r="C112" s="52"/>
      <c r="D112" s="52"/>
      <c r="E112" s="52"/>
      <c r="F112" s="52"/>
      <c r="G112" s="52"/>
      <c r="H112" s="52"/>
      <c r="I112" s="52"/>
      <c r="J112" s="52"/>
      <c r="K112" s="52"/>
      <c r="L112" s="226"/>
      <c r="M112" s="52"/>
      <c r="N112" s="52"/>
      <c r="O112" s="52"/>
      <c r="P112" s="52"/>
      <c r="Q112" s="52"/>
      <c r="R112" s="52"/>
      <c r="S112" s="52"/>
    </row>
    <row r="113" spans="3:19" ht="15.5">
      <c r="C113" s="52"/>
      <c r="D113" s="52"/>
      <c r="E113" s="52"/>
      <c r="F113" s="52"/>
      <c r="G113" s="52"/>
      <c r="H113" s="52"/>
      <c r="I113" s="52"/>
      <c r="J113" s="52"/>
      <c r="K113" s="52"/>
      <c r="L113" s="226"/>
      <c r="M113" s="52"/>
      <c r="N113" s="52"/>
      <c r="O113" s="52"/>
      <c r="P113" s="52"/>
      <c r="Q113" s="52"/>
      <c r="R113" s="52"/>
      <c r="S113" s="52"/>
    </row>
    <row r="114" spans="3:19" ht="15.5">
      <c r="C114" s="52"/>
      <c r="D114" s="52"/>
      <c r="E114" s="52"/>
      <c r="F114" s="52"/>
      <c r="G114" s="52"/>
      <c r="H114" s="52"/>
      <c r="I114" s="52"/>
      <c r="J114" s="52"/>
      <c r="K114" s="52"/>
      <c r="L114" s="226"/>
      <c r="M114" s="52"/>
      <c r="N114" s="52"/>
      <c r="O114" s="52"/>
      <c r="P114" s="52"/>
      <c r="Q114" s="52"/>
      <c r="R114" s="52"/>
      <c r="S114" s="52"/>
    </row>
    <row r="115" spans="3:19" ht="15.5">
      <c r="C115" s="52"/>
      <c r="D115" s="52"/>
      <c r="E115" s="52"/>
      <c r="F115" s="52"/>
      <c r="G115" s="52"/>
      <c r="H115" s="52"/>
      <c r="I115" s="52"/>
      <c r="J115" s="52"/>
      <c r="K115" s="52"/>
      <c r="L115" s="226"/>
      <c r="M115" s="52"/>
      <c r="N115" s="52"/>
      <c r="O115" s="52"/>
      <c r="P115" s="52"/>
      <c r="Q115" s="52"/>
      <c r="R115" s="52"/>
      <c r="S115" s="52"/>
    </row>
    <row r="116" spans="3:19" ht="15.5">
      <c r="C116" s="52"/>
      <c r="D116" s="52"/>
      <c r="E116" s="52"/>
      <c r="F116" s="52"/>
      <c r="G116" s="52"/>
      <c r="H116" s="52"/>
      <c r="I116" s="52"/>
      <c r="J116" s="52"/>
      <c r="K116" s="52"/>
      <c r="L116" s="226"/>
      <c r="M116" s="52"/>
      <c r="N116" s="52"/>
      <c r="O116" s="52"/>
      <c r="P116" s="52"/>
      <c r="Q116" s="52"/>
      <c r="R116" s="52"/>
      <c r="S116" s="52"/>
    </row>
    <row r="117" spans="3:19" ht="15.5">
      <c r="C117" s="52"/>
      <c r="D117" s="52"/>
      <c r="E117" s="52"/>
      <c r="F117" s="52"/>
      <c r="G117" s="52"/>
      <c r="H117" s="52"/>
      <c r="I117" s="52"/>
      <c r="J117" s="52"/>
      <c r="K117" s="52"/>
      <c r="L117" s="226"/>
      <c r="M117" s="52"/>
      <c r="N117" s="52"/>
      <c r="O117" s="52"/>
      <c r="P117" s="52"/>
      <c r="Q117" s="52"/>
      <c r="R117" s="52"/>
      <c r="S117" s="52"/>
    </row>
    <row r="118" spans="3:19" ht="15.5">
      <c r="C118" s="52"/>
      <c r="D118" s="52"/>
      <c r="E118" s="52"/>
      <c r="F118" s="52"/>
      <c r="G118" s="52"/>
      <c r="H118" s="52"/>
      <c r="I118" s="52"/>
      <c r="J118" s="52"/>
      <c r="K118" s="52"/>
      <c r="L118" s="226"/>
      <c r="M118" s="52"/>
      <c r="N118" s="52"/>
      <c r="O118" s="52"/>
      <c r="P118" s="52"/>
      <c r="Q118" s="52"/>
      <c r="R118" s="52"/>
      <c r="S118" s="52"/>
    </row>
    <row r="119" spans="3:19" ht="15.5">
      <c r="C119" s="52"/>
      <c r="D119" s="52"/>
      <c r="E119" s="52"/>
      <c r="F119" s="52"/>
      <c r="G119" s="52"/>
      <c r="H119" s="52"/>
      <c r="I119" s="52"/>
      <c r="J119" s="52"/>
      <c r="K119" s="52"/>
      <c r="L119" s="226"/>
      <c r="M119" s="52"/>
      <c r="N119" s="52"/>
      <c r="O119" s="52"/>
      <c r="P119" s="52"/>
      <c r="Q119" s="52"/>
      <c r="R119" s="52"/>
      <c r="S119" s="52"/>
    </row>
    <row r="120" spans="3:19" ht="15.5">
      <c r="C120" s="52"/>
      <c r="D120" s="52"/>
      <c r="E120" s="52"/>
      <c r="F120" s="52"/>
      <c r="G120" s="52"/>
      <c r="H120" s="52"/>
      <c r="I120" s="52"/>
      <c r="J120" s="52"/>
      <c r="K120" s="52"/>
      <c r="L120" s="226"/>
      <c r="M120" s="52"/>
      <c r="N120" s="52"/>
      <c r="O120" s="52"/>
      <c r="P120" s="52"/>
      <c r="Q120" s="52"/>
      <c r="R120" s="52"/>
      <c r="S120" s="52"/>
    </row>
    <row r="121" spans="3:19" ht="15.5">
      <c r="C121" s="52"/>
      <c r="D121" s="52"/>
      <c r="E121" s="52"/>
      <c r="F121" s="52"/>
      <c r="G121" s="52"/>
      <c r="H121" s="52"/>
      <c r="I121" s="52"/>
      <c r="J121" s="52"/>
      <c r="K121" s="52"/>
      <c r="L121" s="226"/>
      <c r="M121" s="52"/>
      <c r="N121" s="52"/>
      <c r="O121" s="52"/>
      <c r="P121" s="52"/>
      <c r="Q121" s="52"/>
      <c r="R121" s="52"/>
      <c r="S121" s="52"/>
    </row>
    <row r="122" spans="3:19" ht="15.5">
      <c r="C122" s="52"/>
      <c r="D122" s="52"/>
      <c r="E122" s="52"/>
      <c r="F122" s="52"/>
      <c r="G122" s="52"/>
      <c r="H122" s="52"/>
      <c r="I122" s="52"/>
      <c r="J122" s="52"/>
      <c r="K122" s="52"/>
      <c r="L122" s="226"/>
      <c r="M122" s="52"/>
      <c r="N122" s="52"/>
      <c r="O122" s="52"/>
      <c r="P122" s="52"/>
      <c r="Q122" s="52"/>
      <c r="R122" s="52"/>
      <c r="S122" s="52"/>
    </row>
    <row r="123" spans="3:19" ht="15.5">
      <c r="C123" s="52"/>
      <c r="D123" s="52"/>
      <c r="E123" s="52"/>
      <c r="F123" s="52"/>
      <c r="G123" s="52"/>
      <c r="H123" s="52"/>
      <c r="I123" s="52"/>
      <c r="J123" s="52"/>
      <c r="K123" s="52"/>
      <c r="L123" s="226"/>
      <c r="M123" s="52"/>
      <c r="N123" s="52"/>
      <c r="O123" s="52"/>
      <c r="P123" s="52"/>
      <c r="Q123" s="52"/>
      <c r="R123" s="52"/>
      <c r="S123" s="52"/>
    </row>
    <row r="124" spans="3:19" ht="15.5">
      <c r="C124" s="52"/>
      <c r="D124" s="52"/>
      <c r="E124" s="52"/>
      <c r="F124" s="52"/>
      <c r="G124" s="52"/>
      <c r="H124" s="52"/>
      <c r="I124" s="52"/>
      <c r="J124" s="52"/>
      <c r="K124" s="52"/>
      <c r="L124" s="226"/>
      <c r="M124" s="52"/>
      <c r="N124" s="52"/>
      <c r="O124" s="52"/>
      <c r="P124" s="52"/>
      <c r="Q124" s="52"/>
      <c r="R124" s="52"/>
      <c r="S124" s="52"/>
    </row>
    <row r="125" spans="3:19" ht="15.5">
      <c r="C125" s="52"/>
      <c r="D125" s="52"/>
      <c r="E125" s="52"/>
      <c r="F125" s="52"/>
      <c r="G125" s="52"/>
      <c r="H125" s="52"/>
      <c r="I125" s="52"/>
      <c r="J125" s="52"/>
      <c r="K125" s="52"/>
      <c r="L125" s="226"/>
      <c r="M125" s="52"/>
      <c r="N125" s="52"/>
      <c r="O125" s="52"/>
      <c r="P125" s="52"/>
      <c r="Q125" s="52"/>
      <c r="R125" s="52"/>
      <c r="S125" s="52"/>
    </row>
    <row r="126" spans="3:19" ht="15.5">
      <c r="C126" s="52"/>
      <c r="D126" s="52"/>
      <c r="E126" s="52"/>
      <c r="F126" s="52"/>
      <c r="G126" s="52"/>
      <c r="H126" s="52"/>
      <c r="I126" s="52"/>
      <c r="J126" s="52"/>
      <c r="K126" s="52"/>
      <c r="L126" s="226"/>
      <c r="M126" s="52"/>
      <c r="N126" s="52"/>
      <c r="O126" s="52"/>
      <c r="P126" s="52"/>
      <c r="Q126" s="52"/>
      <c r="R126" s="52"/>
      <c r="S126" s="52"/>
    </row>
    <row r="127" spans="3:19" ht="15.5">
      <c r="C127" s="52"/>
      <c r="D127" s="52"/>
      <c r="E127" s="52"/>
      <c r="F127" s="52"/>
      <c r="G127" s="52"/>
      <c r="H127" s="52"/>
      <c r="I127" s="52"/>
      <c r="J127" s="52"/>
      <c r="K127" s="52"/>
      <c r="L127" s="226"/>
      <c r="M127" s="52"/>
      <c r="N127" s="52"/>
      <c r="O127" s="52"/>
      <c r="P127" s="52"/>
      <c r="Q127" s="52"/>
      <c r="R127" s="52"/>
      <c r="S127" s="52"/>
    </row>
    <row r="128" spans="3:19" ht="15.5">
      <c r="C128" s="52"/>
      <c r="D128" s="52"/>
      <c r="E128" s="52"/>
      <c r="F128" s="52"/>
      <c r="G128" s="52"/>
      <c r="H128" s="52"/>
      <c r="I128" s="52"/>
      <c r="J128" s="52"/>
      <c r="K128" s="52"/>
      <c r="L128" s="226"/>
      <c r="M128" s="52"/>
      <c r="N128" s="52"/>
      <c r="O128" s="52"/>
      <c r="P128" s="52"/>
      <c r="Q128" s="52"/>
      <c r="R128" s="52"/>
      <c r="S128" s="52"/>
    </row>
    <row r="129" spans="3:19" ht="15.5">
      <c r="C129" s="52"/>
      <c r="D129" s="52"/>
      <c r="E129" s="52"/>
      <c r="F129" s="52"/>
      <c r="G129" s="52"/>
      <c r="H129" s="52"/>
      <c r="I129" s="52"/>
      <c r="J129" s="52"/>
      <c r="K129" s="52"/>
      <c r="L129" s="226"/>
      <c r="M129" s="52"/>
      <c r="N129" s="52"/>
      <c r="O129" s="52"/>
      <c r="P129" s="52"/>
      <c r="Q129" s="52"/>
      <c r="R129" s="52"/>
      <c r="S129" s="52"/>
    </row>
    <row r="130" spans="3:19" ht="15.5">
      <c r="C130" s="52"/>
      <c r="D130" s="52"/>
      <c r="E130" s="52"/>
      <c r="F130" s="52"/>
      <c r="G130" s="52"/>
      <c r="H130" s="52"/>
      <c r="I130" s="52"/>
      <c r="J130" s="52"/>
      <c r="K130" s="52"/>
      <c r="L130" s="226"/>
      <c r="M130" s="52"/>
      <c r="N130" s="52"/>
      <c r="O130" s="52"/>
      <c r="P130" s="52"/>
      <c r="Q130" s="52"/>
      <c r="R130" s="52"/>
      <c r="S130" s="52"/>
    </row>
    <row r="131" spans="3:19" ht="15.5">
      <c r="C131" s="52"/>
      <c r="D131" s="52"/>
      <c r="E131" s="52"/>
      <c r="F131" s="52"/>
      <c r="G131" s="52"/>
      <c r="H131" s="52"/>
      <c r="I131" s="52"/>
      <c r="J131" s="52"/>
      <c r="K131" s="52"/>
      <c r="L131" s="226"/>
      <c r="M131" s="52"/>
      <c r="N131" s="52"/>
      <c r="O131" s="52"/>
      <c r="P131" s="52"/>
      <c r="Q131" s="52"/>
      <c r="R131" s="52"/>
      <c r="S131" s="52"/>
    </row>
    <row r="132" spans="3:19" ht="15.5">
      <c r="C132" s="52"/>
      <c r="D132" s="52"/>
      <c r="E132" s="52"/>
      <c r="F132" s="52"/>
      <c r="G132" s="52"/>
      <c r="H132" s="52"/>
      <c r="I132" s="52"/>
      <c r="J132" s="52"/>
      <c r="K132" s="52"/>
      <c r="L132" s="226"/>
      <c r="M132" s="52"/>
      <c r="N132" s="52"/>
      <c r="O132" s="52"/>
      <c r="P132" s="52"/>
      <c r="Q132" s="52"/>
      <c r="R132" s="52"/>
      <c r="S132" s="52"/>
    </row>
    <row r="133" spans="3:19" ht="15.5">
      <c r="C133" s="52"/>
      <c r="D133" s="52"/>
      <c r="E133" s="52"/>
      <c r="F133" s="52"/>
      <c r="G133" s="52"/>
      <c r="H133" s="52"/>
      <c r="I133" s="52"/>
      <c r="J133" s="52"/>
      <c r="K133" s="52"/>
      <c r="L133" s="226"/>
      <c r="M133" s="52"/>
      <c r="N133" s="52"/>
      <c r="O133" s="52"/>
      <c r="P133" s="52"/>
      <c r="Q133" s="52"/>
      <c r="R133" s="52"/>
      <c r="S133" s="52"/>
    </row>
    <row r="134" spans="3:19" ht="15.5">
      <c r="C134" s="52"/>
      <c r="D134" s="52"/>
      <c r="E134" s="52"/>
      <c r="F134" s="52"/>
      <c r="G134" s="52"/>
      <c r="H134" s="52"/>
      <c r="I134" s="52"/>
      <c r="J134" s="52"/>
      <c r="K134" s="52"/>
      <c r="L134" s="226"/>
      <c r="M134" s="52"/>
      <c r="N134" s="52"/>
      <c r="O134" s="52"/>
      <c r="P134" s="52"/>
      <c r="Q134" s="52"/>
      <c r="R134" s="52"/>
      <c r="S134" s="52"/>
    </row>
    <row r="135" spans="3:19" ht="15.5">
      <c r="C135" s="52"/>
      <c r="D135" s="52"/>
      <c r="E135" s="52"/>
      <c r="F135" s="52"/>
      <c r="G135" s="52"/>
      <c r="H135" s="52"/>
      <c r="I135" s="52"/>
      <c r="J135" s="52"/>
      <c r="K135" s="52"/>
      <c r="L135" s="226"/>
      <c r="M135" s="52"/>
      <c r="N135" s="52"/>
      <c r="O135" s="52"/>
      <c r="P135" s="52"/>
      <c r="Q135" s="52"/>
      <c r="R135" s="52"/>
      <c r="S135" s="52"/>
    </row>
    <row r="136" spans="3:19" ht="15.5">
      <c r="C136" s="52"/>
      <c r="D136" s="52"/>
      <c r="E136" s="52"/>
      <c r="F136" s="52"/>
      <c r="G136" s="52"/>
      <c r="H136" s="52"/>
      <c r="I136" s="52"/>
      <c r="J136" s="52"/>
      <c r="K136" s="52"/>
      <c r="L136" s="226"/>
      <c r="M136" s="52"/>
      <c r="N136" s="52"/>
      <c r="O136" s="52"/>
      <c r="P136" s="52"/>
      <c r="Q136" s="52"/>
      <c r="R136" s="52"/>
      <c r="S136" s="52"/>
    </row>
    <row r="137" spans="3:19" ht="15.5">
      <c r="C137" s="52"/>
      <c r="D137" s="52"/>
      <c r="E137" s="52"/>
      <c r="F137" s="52"/>
      <c r="G137" s="52"/>
      <c r="H137" s="52"/>
      <c r="I137" s="52"/>
      <c r="J137" s="52"/>
      <c r="K137" s="52"/>
      <c r="L137" s="226"/>
      <c r="M137" s="52"/>
      <c r="N137" s="52"/>
      <c r="O137" s="52"/>
      <c r="P137" s="52"/>
      <c r="Q137" s="52"/>
      <c r="R137" s="52"/>
      <c r="S137" s="52"/>
    </row>
    <row r="138" spans="3:19" ht="15.5">
      <c r="C138" s="52"/>
      <c r="D138" s="52"/>
      <c r="E138" s="52"/>
      <c r="F138" s="52"/>
      <c r="G138" s="52"/>
      <c r="H138" s="52"/>
      <c r="I138" s="52"/>
      <c r="J138" s="52"/>
      <c r="K138" s="52"/>
      <c r="L138" s="226"/>
      <c r="M138" s="52"/>
      <c r="N138" s="52"/>
      <c r="O138" s="52"/>
      <c r="P138" s="52"/>
      <c r="Q138" s="52"/>
      <c r="R138" s="52"/>
      <c r="S138" s="52"/>
    </row>
    <row r="139" spans="3:19" ht="15.5">
      <c r="C139" s="52"/>
      <c r="D139" s="52"/>
      <c r="E139" s="52"/>
      <c r="F139" s="52"/>
      <c r="G139" s="52"/>
      <c r="H139" s="52"/>
      <c r="I139" s="52"/>
      <c r="J139" s="52"/>
      <c r="K139" s="52"/>
      <c r="L139" s="226"/>
      <c r="M139" s="52"/>
      <c r="N139" s="52"/>
      <c r="O139" s="52"/>
      <c r="P139" s="52"/>
      <c r="Q139" s="52"/>
      <c r="R139" s="52"/>
      <c r="S139" s="52"/>
    </row>
    <row r="140" spans="3:19" ht="15.5">
      <c r="C140" s="52"/>
      <c r="D140" s="52"/>
      <c r="E140" s="52"/>
      <c r="F140" s="52"/>
      <c r="G140" s="52"/>
      <c r="H140" s="52"/>
      <c r="I140" s="52"/>
      <c r="J140" s="52"/>
      <c r="K140" s="52"/>
      <c r="L140" s="226"/>
      <c r="M140" s="52"/>
      <c r="N140" s="52"/>
      <c r="O140" s="52"/>
      <c r="P140" s="52"/>
      <c r="Q140" s="52"/>
      <c r="R140" s="52"/>
      <c r="S140" s="52"/>
    </row>
    <row r="141" spans="3:19" ht="15.5">
      <c r="C141" s="52"/>
      <c r="D141" s="52"/>
      <c r="E141" s="52"/>
      <c r="F141" s="52"/>
      <c r="G141" s="52"/>
      <c r="H141" s="52"/>
      <c r="I141" s="52"/>
      <c r="J141" s="52"/>
      <c r="K141" s="52"/>
      <c r="L141" s="226"/>
      <c r="M141" s="52"/>
      <c r="N141" s="52"/>
      <c r="O141" s="52"/>
      <c r="P141" s="52"/>
      <c r="Q141" s="52"/>
      <c r="R141" s="52"/>
      <c r="S141" s="52"/>
    </row>
    <row r="142" spans="3:19" ht="15.5">
      <c r="C142" s="52"/>
      <c r="D142" s="52"/>
      <c r="E142" s="52"/>
      <c r="F142" s="52"/>
      <c r="G142" s="52"/>
      <c r="H142" s="52"/>
      <c r="I142" s="52"/>
      <c r="J142" s="52"/>
      <c r="K142" s="52"/>
      <c r="L142" s="226"/>
      <c r="M142" s="52"/>
      <c r="N142" s="52"/>
      <c r="O142" s="52"/>
      <c r="P142" s="52"/>
      <c r="Q142" s="52"/>
      <c r="R142" s="52"/>
      <c r="S142" s="52"/>
    </row>
    <row r="143" spans="3:19" ht="15.5">
      <c r="C143" s="52"/>
      <c r="D143" s="52"/>
      <c r="E143" s="52"/>
      <c r="F143" s="52"/>
      <c r="G143" s="52"/>
      <c r="H143" s="52"/>
      <c r="I143" s="52"/>
      <c r="J143" s="52"/>
      <c r="K143" s="52"/>
      <c r="L143" s="226"/>
      <c r="M143" s="52"/>
      <c r="N143" s="52"/>
      <c r="O143" s="52"/>
      <c r="P143" s="52"/>
      <c r="Q143" s="52"/>
      <c r="R143" s="52"/>
      <c r="S143" s="52"/>
    </row>
    <row r="144" spans="3:19" ht="15.5">
      <c r="C144" s="52"/>
      <c r="D144" s="52"/>
      <c r="E144" s="52"/>
      <c r="F144" s="52"/>
      <c r="G144" s="52"/>
      <c r="H144" s="52"/>
      <c r="I144" s="52"/>
      <c r="J144" s="52"/>
      <c r="K144" s="52"/>
      <c r="L144" s="226"/>
      <c r="M144" s="52"/>
      <c r="N144" s="52"/>
      <c r="O144" s="52"/>
      <c r="P144" s="52"/>
      <c r="Q144" s="52"/>
      <c r="R144" s="52"/>
      <c r="S144" s="52"/>
    </row>
    <row r="145" spans="3:19" ht="15.5">
      <c r="C145" s="52"/>
      <c r="D145" s="52"/>
      <c r="E145" s="52"/>
      <c r="F145" s="52"/>
      <c r="G145" s="52"/>
      <c r="H145" s="52"/>
      <c r="I145" s="52"/>
      <c r="J145" s="52"/>
      <c r="K145" s="52"/>
      <c r="L145" s="226"/>
      <c r="M145" s="52"/>
      <c r="N145" s="52"/>
      <c r="O145" s="52"/>
      <c r="P145" s="52"/>
      <c r="Q145" s="52"/>
      <c r="R145" s="52"/>
      <c r="S145" s="52"/>
    </row>
    <row r="146" spans="3:19" ht="15.5">
      <c r="C146" s="52"/>
      <c r="D146" s="52"/>
      <c r="E146" s="52"/>
      <c r="F146" s="52"/>
      <c r="G146" s="52"/>
      <c r="H146" s="52"/>
      <c r="I146" s="52"/>
      <c r="J146" s="52"/>
      <c r="K146" s="52"/>
      <c r="L146" s="226"/>
      <c r="M146" s="52"/>
      <c r="N146" s="52"/>
      <c r="O146" s="52"/>
      <c r="P146" s="52"/>
      <c r="Q146" s="52"/>
      <c r="R146" s="52"/>
      <c r="S146" s="52"/>
    </row>
    <row r="147" spans="3:19" ht="15.5">
      <c r="C147" s="52"/>
      <c r="D147" s="52"/>
      <c r="E147" s="52"/>
      <c r="F147" s="52"/>
      <c r="G147" s="52"/>
      <c r="H147" s="52"/>
      <c r="I147" s="52"/>
      <c r="J147" s="52"/>
      <c r="K147" s="52"/>
      <c r="L147" s="226"/>
      <c r="M147" s="52"/>
      <c r="N147" s="52"/>
      <c r="O147" s="52"/>
      <c r="P147" s="52"/>
      <c r="Q147" s="52"/>
      <c r="R147" s="52"/>
      <c r="S147" s="52"/>
    </row>
    <row r="148" spans="3:19" ht="15.5">
      <c r="C148" s="52"/>
      <c r="D148" s="52"/>
      <c r="E148" s="52"/>
      <c r="F148" s="52"/>
      <c r="G148" s="52"/>
      <c r="H148" s="52"/>
      <c r="I148" s="52"/>
      <c r="J148" s="52"/>
      <c r="K148" s="52"/>
      <c r="L148" s="226"/>
      <c r="M148" s="52"/>
      <c r="N148" s="52"/>
      <c r="O148" s="52"/>
      <c r="P148" s="52"/>
      <c r="Q148" s="52"/>
      <c r="R148" s="52"/>
      <c r="S148" s="52"/>
    </row>
    <row r="149" spans="3:19" ht="15.5">
      <c r="C149" s="52"/>
      <c r="D149" s="52"/>
      <c r="E149" s="52"/>
      <c r="F149" s="52"/>
      <c r="G149" s="52"/>
      <c r="H149" s="52"/>
      <c r="I149" s="52"/>
      <c r="J149" s="52"/>
      <c r="K149" s="52"/>
      <c r="L149" s="226"/>
      <c r="M149" s="52"/>
      <c r="N149" s="52"/>
      <c r="O149" s="52"/>
      <c r="P149" s="52"/>
      <c r="Q149" s="52"/>
      <c r="R149" s="52"/>
      <c r="S149" s="52"/>
    </row>
    <row r="150" spans="3:19" ht="15.5">
      <c r="C150" s="52"/>
      <c r="D150" s="52"/>
      <c r="E150" s="52"/>
      <c r="F150" s="52"/>
      <c r="G150" s="52"/>
      <c r="H150" s="52"/>
      <c r="I150" s="52"/>
      <c r="J150" s="52"/>
      <c r="K150" s="52"/>
      <c r="L150" s="226"/>
      <c r="M150" s="52"/>
      <c r="N150" s="52"/>
      <c r="O150" s="52"/>
      <c r="P150" s="52"/>
      <c r="Q150" s="52"/>
      <c r="R150" s="52"/>
      <c r="S150" s="52"/>
    </row>
    <row r="151" spans="3:19" ht="15.5">
      <c r="C151" s="52"/>
      <c r="D151" s="52"/>
      <c r="E151" s="52"/>
      <c r="F151" s="52"/>
      <c r="G151" s="52"/>
      <c r="H151" s="52"/>
      <c r="I151" s="52"/>
      <c r="J151" s="52"/>
      <c r="K151" s="52"/>
      <c r="L151" s="226"/>
      <c r="M151" s="52"/>
      <c r="N151" s="52"/>
      <c r="O151" s="52"/>
      <c r="P151" s="52"/>
      <c r="Q151" s="52"/>
      <c r="R151" s="52"/>
      <c r="S151" s="52"/>
    </row>
    <row r="152" spans="3:19" ht="15.5">
      <c r="C152" s="52"/>
      <c r="D152" s="52"/>
      <c r="E152" s="52"/>
      <c r="F152" s="52"/>
      <c r="G152" s="52"/>
      <c r="H152" s="52"/>
      <c r="I152" s="52"/>
      <c r="J152" s="52"/>
      <c r="K152" s="52"/>
      <c r="L152" s="226"/>
      <c r="M152" s="52"/>
      <c r="N152" s="52"/>
      <c r="O152" s="52"/>
      <c r="P152" s="52"/>
      <c r="Q152" s="52"/>
      <c r="R152" s="52"/>
      <c r="S152" s="52"/>
    </row>
    <row r="153" spans="3:19" ht="15.5">
      <c r="C153" s="52"/>
      <c r="D153" s="52"/>
      <c r="E153" s="52"/>
      <c r="F153" s="52"/>
      <c r="G153" s="52"/>
      <c r="H153" s="52"/>
      <c r="I153" s="52"/>
      <c r="J153" s="52"/>
      <c r="K153" s="52"/>
      <c r="L153" s="226"/>
      <c r="M153" s="52"/>
      <c r="N153" s="52"/>
      <c r="O153" s="52"/>
      <c r="P153" s="52"/>
      <c r="Q153" s="52"/>
      <c r="R153" s="52"/>
      <c r="S153" s="52"/>
    </row>
    <row r="154" spans="3:19" ht="15.5">
      <c r="C154" s="52"/>
      <c r="D154" s="52"/>
      <c r="E154" s="52"/>
      <c r="F154" s="52"/>
      <c r="G154" s="52"/>
      <c r="H154" s="52"/>
      <c r="I154" s="52"/>
      <c r="J154" s="52"/>
      <c r="K154" s="52"/>
      <c r="L154" s="226"/>
      <c r="M154" s="52"/>
      <c r="N154" s="52"/>
      <c r="O154" s="52"/>
      <c r="P154" s="52"/>
      <c r="Q154" s="52"/>
      <c r="R154" s="52"/>
      <c r="S154" s="52"/>
    </row>
    <row r="155" spans="3:19" ht="15.5">
      <c r="C155" s="52"/>
      <c r="D155" s="52"/>
      <c r="E155" s="52"/>
      <c r="F155" s="52"/>
      <c r="G155" s="52"/>
      <c r="H155" s="52"/>
      <c r="I155" s="52"/>
      <c r="J155" s="52"/>
      <c r="K155" s="52"/>
      <c r="L155" s="226"/>
      <c r="M155" s="52"/>
      <c r="N155" s="52"/>
      <c r="O155" s="52"/>
      <c r="P155" s="52"/>
      <c r="Q155" s="52"/>
      <c r="R155" s="52"/>
      <c r="S155" s="52"/>
    </row>
    <row r="156" spans="3:19" ht="15.5">
      <c r="C156" s="52"/>
      <c r="D156" s="52"/>
      <c r="E156" s="52"/>
      <c r="F156" s="52"/>
      <c r="G156" s="52"/>
      <c r="H156" s="52"/>
      <c r="I156" s="52"/>
      <c r="J156" s="52"/>
      <c r="K156" s="52"/>
      <c r="L156" s="226"/>
      <c r="M156" s="52"/>
      <c r="N156" s="52"/>
      <c r="O156" s="52"/>
      <c r="P156" s="52"/>
      <c r="Q156" s="52"/>
      <c r="R156" s="52"/>
      <c r="S156" s="52"/>
    </row>
    <row r="157" spans="3:19" ht="15.5">
      <c r="C157" s="52"/>
      <c r="D157" s="52"/>
      <c r="E157" s="52"/>
      <c r="F157" s="52"/>
      <c r="G157" s="52"/>
      <c r="H157" s="52"/>
      <c r="I157" s="52"/>
      <c r="J157" s="52"/>
      <c r="K157" s="52"/>
      <c r="L157" s="226"/>
      <c r="M157" s="52"/>
      <c r="N157" s="52"/>
      <c r="O157" s="52"/>
      <c r="P157" s="52"/>
      <c r="Q157" s="52"/>
      <c r="R157" s="52"/>
      <c r="S157" s="52"/>
    </row>
    <row r="158" spans="3:19" ht="15.5">
      <c r="C158" s="52"/>
      <c r="D158" s="52"/>
      <c r="E158" s="52"/>
      <c r="F158" s="52"/>
      <c r="G158" s="52"/>
      <c r="H158" s="52"/>
      <c r="I158" s="52"/>
      <c r="J158" s="52"/>
      <c r="K158" s="52"/>
      <c r="L158" s="226"/>
      <c r="M158" s="52"/>
      <c r="N158" s="52"/>
      <c r="O158" s="52"/>
      <c r="P158" s="52"/>
      <c r="Q158" s="52"/>
      <c r="R158" s="52"/>
      <c r="S158" s="52"/>
    </row>
    <row r="159" spans="3:19" ht="15.5">
      <c r="C159" s="52"/>
      <c r="D159" s="52"/>
      <c r="E159" s="52"/>
      <c r="F159" s="52"/>
      <c r="G159" s="52"/>
      <c r="H159" s="52"/>
      <c r="I159" s="52"/>
      <c r="J159" s="52"/>
      <c r="K159" s="52"/>
      <c r="L159" s="226"/>
      <c r="M159" s="52"/>
      <c r="N159" s="52"/>
      <c r="O159" s="52"/>
      <c r="P159" s="52"/>
      <c r="Q159" s="52"/>
      <c r="R159" s="52"/>
      <c r="S159" s="52"/>
    </row>
    <row r="160" spans="3:19" ht="15.5">
      <c r="C160" s="52"/>
      <c r="D160" s="52"/>
      <c r="E160" s="52"/>
      <c r="F160" s="52"/>
      <c r="G160" s="52"/>
      <c r="H160" s="52"/>
      <c r="I160" s="52"/>
      <c r="J160" s="52"/>
      <c r="K160" s="52"/>
      <c r="L160" s="226"/>
      <c r="M160" s="52"/>
      <c r="N160" s="52"/>
      <c r="O160" s="52"/>
      <c r="P160" s="52"/>
      <c r="Q160" s="52"/>
      <c r="R160" s="52"/>
      <c r="S160" s="52"/>
    </row>
    <row r="161" spans="3:19" ht="15.5">
      <c r="C161" s="52"/>
      <c r="D161" s="52"/>
      <c r="E161" s="52"/>
      <c r="F161" s="52"/>
      <c r="G161" s="52"/>
      <c r="H161" s="52"/>
      <c r="I161" s="52"/>
      <c r="J161" s="52"/>
      <c r="K161" s="52"/>
      <c r="L161" s="226"/>
      <c r="M161" s="52"/>
      <c r="N161" s="52"/>
      <c r="O161" s="52"/>
      <c r="P161" s="52"/>
      <c r="Q161" s="52"/>
      <c r="R161" s="52"/>
      <c r="S161" s="52"/>
    </row>
    <row r="162" spans="3:19" ht="15.5">
      <c r="C162" s="52"/>
      <c r="D162" s="52"/>
      <c r="E162" s="52"/>
      <c r="F162" s="52"/>
      <c r="G162" s="52"/>
      <c r="H162" s="52"/>
      <c r="I162" s="52"/>
      <c r="J162" s="52"/>
      <c r="K162" s="52"/>
      <c r="L162" s="226"/>
      <c r="M162" s="52"/>
      <c r="N162" s="52"/>
      <c r="O162" s="52"/>
      <c r="P162" s="52"/>
      <c r="Q162" s="52"/>
      <c r="R162" s="52"/>
      <c r="S162" s="52"/>
    </row>
    <row r="163" spans="3:19" ht="15.5">
      <c r="C163" s="52"/>
      <c r="D163" s="52"/>
      <c r="E163" s="52"/>
      <c r="F163" s="52"/>
      <c r="G163" s="52"/>
      <c r="H163" s="52"/>
      <c r="I163" s="52"/>
      <c r="J163" s="52"/>
      <c r="K163" s="52"/>
      <c r="L163" s="226"/>
      <c r="M163" s="52"/>
      <c r="N163" s="52"/>
      <c r="O163" s="52"/>
      <c r="P163" s="52"/>
      <c r="Q163" s="52"/>
      <c r="R163" s="52"/>
      <c r="S163" s="52"/>
    </row>
    <row r="164" spans="3:19" ht="15.5">
      <c r="C164" s="52"/>
      <c r="D164" s="52"/>
      <c r="E164" s="52"/>
      <c r="F164" s="52"/>
      <c r="G164" s="52"/>
      <c r="H164" s="52"/>
      <c r="I164" s="52"/>
      <c r="J164" s="52"/>
      <c r="K164" s="52"/>
      <c r="L164" s="226"/>
      <c r="M164" s="52"/>
      <c r="N164" s="52"/>
      <c r="O164" s="52"/>
      <c r="P164" s="52"/>
      <c r="Q164" s="52"/>
      <c r="R164" s="52"/>
      <c r="S164" s="52"/>
    </row>
    <row r="165" spans="3:19" ht="15.5">
      <c r="C165" s="52"/>
      <c r="D165" s="52"/>
      <c r="E165" s="52"/>
      <c r="F165" s="52"/>
      <c r="G165" s="52"/>
      <c r="H165" s="52"/>
      <c r="I165" s="52"/>
      <c r="J165" s="52"/>
      <c r="K165" s="52"/>
      <c r="L165" s="226"/>
      <c r="M165" s="52"/>
      <c r="N165" s="52"/>
      <c r="O165" s="52"/>
      <c r="P165" s="52"/>
      <c r="Q165" s="52"/>
      <c r="R165" s="52"/>
      <c r="S165" s="52"/>
    </row>
    <row r="166" spans="3:19" ht="15.5">
      <c r="C166" s="52"/>
      <c r="D166" s="52"/>
      <c r="E166" s="52"/>
      <c r="F166" s="52"/>
      <c r="G166" s="52"/>
      <c r="H166" s="52"/>
      <c r="I166" s="52"/>
      <c r="J166" s="52"/>
      <c r="K166" s="52"/>
      <c r="L166" s="226"/>
      <c r="M166" s="52"/>
      <c r="N166" s="52"/>
      <c r="O166" s="52"/>
      <c r="P166" s="52"/>
      <c r="Q166" s="52"/>
      <c r="R166" s="52"/>
      <c r="S166" s="52"/>
    </row>
    <row r="167" spans="3:19" ht="15.5">
      <c r="C167" s="52"/>
      <c r="D167" s="52"/>
      <c r="E167" s="52"/>
      <c r="F167" s="52"/>
      <c r="G167" s="52"/>
      <c r="H167" s="52"/>
      <c r="I167" s="52"/>
      <c r="J167" s="52"/>
      <c r="K167" s="52"/>
      <c r="L167" s="226"/>
      <c r="M167" s="52"/>
      <c r="N167" s="52"/>
      <c r="O167" s="52"/>
      <c r="P167" s="52"/>
      <c r="Q167" s="52"/>
      <c r="R167" s="52"/>
      <c r="S167" s="52"/>
    </row>
    <row r="168" spans="3:19" ht="15.5">
      <c r="C168" s="52"/>
      <c r="D168" s="52"/>
      <c r="E168" s="52"/>
      <c r="F168" s="52"/>
      <c r="G168" s="52"/>
      <c r="H168" s="52"/>
      <c r="I168" s="52"/>
      <c r="J168" s="52"/>
      <c r="K168" s="52"/>
      <c r="L168" s="226"/>
      <c r="M168" s="52"/>
      <c r="N168" s="52"/>
      <c r="O168" s="52"/>
      <c r="P168" s="52"/>
      <c r="Q168" s="52"/>
      <c r="R168" s="52"/>
      <c r="S168" s="52"/>
    </row>
    <row r="169" spans="3:19" ht="15.5">
      <c r="C169" s="52"/>
      <c r="D169" s="52"/>
      <c r="E169" s="52"/>
      <c r="F169" s="52"/>
      <c r="G169" s="52"/>
      <c r="H169" s="52"/>
      <c r="I169" s="52"/>
      <c r="J169" s="52"/>
      <c r="K169" s="52"/>
      <c r="L169" s="226"/>
      <c r="M169" s="52"/>
      <c r="N169" s="52"/>
      <c r="O169" s="52"/>
      <c r="P169" s="52"/>
      <c r="Q169" s="52"/>
      <c r="R169" s="52"/>
      <c r="S169" s="52"/>
    </row>
    <row r="170" spans="3:19" ht="15.5">
      <c r="C170" s="52"/>
      <c r="D170" s="52"/>
      <c r="E170" s="52"/>
      <c r="F170" s="52"/>
      <c r="G170" s="52"/>
      <c r="H170" s="52"/>
      <c r="I170" s="52"/>
      <c r="J170" s="52"/>
      <c r="K170" s="52"/>
      <c r="L170" s="226"/>
      <c r="M170" s="52"/>
      <c r="N170" s="52"/>
      <c r="O170" s="52"/>
      <c r="P170" s="52"/>
      <c r="Q170" s="52"/>
      <c r="R170" s="52"/>
      <c r="S170" s="52"/>
    </row>
    <row r="171" spans="3:19" ht="15.5">
      <c r="C171" s="52"/>
      <c r="D171" s="52"/>
      <c r="E171" s="52"/>
      <c r="F171" s="52"/>
      <c r="G171" s="52"/>
      <c r="H171" s="52"/>
      <c r="I171" s="52"/>
      <c r="J171" s="52"/>
      <c r="K171" s="52"/>
      <c r="L171" s="226"/>
      <c r="M171" s="52"/>
      <c r="N171" s="52"/>
      <c r="O171" s="52"/>
      <c r="P171" s="52"/>
      <c r="Q171" s="52"/>
      <c r="R171" s="52"/>
      <c r="S171" s="52"/>
    </row>
    <row r="172" spans="3:19" ht="15.5">
      <c r="C172" s="52"/>
      <c r="D172" s="52"/>
      <c r="E172" s="52"/>
      <c r="F172" s="52"/>
      <c r="G172" s="52"/>
      <c r="H172" s="52"/>
      <c r="I172" s="52"/>
      <c r="J172" s="52"/>
      <c r="K172" s="52"/>
      <c r="L172" s="226"/>
      <c r="M172" s="52"/>
      <c r="N172" s="52"/>
      <c r="O172" s="52"/>
      <c r="P172" s="52"/>
      <c r="Q172" s="52"/>
      <c r="R172" s="52"/>
      <c r="S172" s="52"/>
    </row>
    <row r="173" spans="3:19" ht="15.5">
      <c r="C173" s="52"/>
      <c r="D173" s="52"/>
      <c r="E173" s="52"/>
      <c r="F173" s="52"/>
      <c r="G173" s="52"/>
      <c r="H173" s="52"/>
      <c r="I173" s="52"/>
      <c r="J173" s="52"/>
      <c r="K173" s="52"/>
      <c r="L173" s="226"/>
      <c r="M173" s="52"/>
      <c r="N173" s="52"/>
      <c r="O173" s="52"/>
      <c r="P173" s="52"/>
      <c r="Q173" s="52"/>
      <c r="R173" s="52"/>
      <c r="S173" s="52"/>
    </row>
    <row r="174" spans="3:19" ht="15.5">
      <c r="C174" s="52"/>
      <c r="D174" s="52"/>
      <c r="E174" s="52"/>
      <c r="F174" s="52"/>
      <c r="G174" s="52"/>
      <c r="H174" s="52"/>
      <c r="I174" s="52"/>
      <c r="J174" s="52"/>
      <c r="K174" s="52"/>
      <c r="L174" s="226"/>
      <c r="M174" s="52"/>
      <c r="N174" s="52"/>
      <c r="O174" s="52"/>
      <c r="P174" s="52"/>
      <c r="Q174" s="52"/>
      <c r="R174" s="52"/>
      <c r="S174" s="52"/>
    </row>
    <row r="175" spans="3:19" ht="15.5">
      <c r="C175" s="52"/>
      <c r="D175" s="52"/>
      <c r="E175" s="52"/>
      <c r="F175" s="52"/>
      <c r="G175" s="52"/>
      <c r="H175" s="52"/>
      <c r="I175" s="52"/>
      <c r="J175" s="52"/>
      <c r="K175" s="52"/>
      <c r="L175" s="226"/>
      <c r="M175" s="52"/>
      <c r="N175" s="52"/>
      <c r="O175" s="52"/>
      <c r="P175" s="52"/>
      <c r="Q175" s="52"/>
      <c r="R175" s="52"/>
      <c r="S175" s="52"/>
    </row>
    <row r="176" spans="3:19" ht="15.5">
      <c r="C176" s="52"/>
      <c r="D176" s="52"/>
      <c r="E176" s="52"/>
      <c r="F176" s="52"/>
      <c r="G176" s="52"/>
      <c r="H176" s="52"/>
      <c r="I176" s="52"/>
      <c r="J176" s="52"/>
      <c r="K176" s="52"/>
      <c r="L176" s="226"/>
      <c r="M176" s="52"/>
      <c r="N176" s="52"/>
      <c r="O176" s="52"/>
      <c r="P176" s="52"/>
      <c r="Q176" s="52"/>
      <c r="R176" s="52"/>
      <c r="S176" s="52"/>
    </row>
    <row r="177" spans="3:19" ht="15.5">
      <c r="C177" s="52"/>
      <c r="D177" s="52"/>
      <c r="E177" s="52"/>
      <c r="F177" s="52"/>
      <c r="G177" s="52"/>
      <c r="H177" s="52"/>
      <c r="I177" s="52"/>
      <c r="J177" s="52"/>
      <c r="K177" s="52"/>
      <c r="L177" s="226"/>
      <c r="M177" s="52"/>
      <c r="N177" s="52"/>
      <c r="O177" s="52"/>
      <c r="P177" s="52"/>
      <c r="Q177" s="52"/>
      <c r="R177" s="52"/>
      <c r="S177" s="52"/>
    </row>
    <row r="178" spans="3:19" ht="15.5">
      <c r="C178" s="52"/>
      <c r="D178" s="52"/>
      <c r="E178" s="52"/>
      <c r="F178" s="52"/>
      <c r="G178" s="52"/>
      <c r="H178" s="52"/>
      <c r="I178" s="52"/>
      <c r="J178" s="52"/>
      <c r="K178" s="52"/>
      <c r="L178" s="226"/>
      <c r="M178" s="52"/>
      <c r="N178" s="52"/>
      <c r="O178" s="52"/>
      <c r="P178" s="52"/>
      <c r="Q178" s="52"/>
      <c r="R178" s="52"/>
      <c r="S178" s="52"/>
    </row>
    <row r="179" spans="3:19" ht="15.5">
      <c r="C179" s="52"/>
      <c r="D179" s="52"/>
      <c r="E179" s="52"/>
      <c r="F179" s="52"/>
      <c r="G179" s="52"/>
      <c r="H179" s="52"/>
      <c r="I179" s="52"/>
      <c r="J179" s="52"/>
      <c r="K179" s="52"/>
      <c r="L179" s="226"/>
      <c r="M179" s="52"/>
      <c r="N179" s="52"/>
      <c r="O179" s="52"/>
      <c r="P179" s="52"/>
      <c r="Q179" s="52"/>
      <c r="R179" s="52"/>
      <c r="S179" s="52"/>
    </row>
    <row r="180" spans="3:19" ht="15.5">
      <c r="C180" s="52"/>
      <c r="D180" s="52"/>
      <c r="E180" s="52"/>
      <c r="F180" s="52"/>
      <c r="G180" s="52"/>
      <c r="H180" s="52"/>
      <c r="I180" s="52"/>
      <c r="J180" s="52"/>
      <c r="K180" s="52"/>
      <c r="L180" s="226"/>
      <c r="M180" s="52"/>
      <c r="N180" s="52"/>
      <c r="O180" s="52"/>
      <c r="P180" s="52"/>
      <c r="Q180" s="52"/>
      <c r="R180" s="52"/>
      <c r="S180" s="52"/>
    </row>
    <row r="181" spans="3:19" ht="15.5">
      <c r="C181" s="52"/>
      <c r="D181" s="52"/>
      <c r="E181" s="52"/>
      <c r="F181" s="52"/>
      <c r="G181" s="52"/>
      <c r="H181" s="52"/>
      <c r="I181" s="52"/>
      <c r="J181" s="52"/>
      <c r="K181" s="52"/>
      <c r="L181" s="226"/>
      <c r="M181" s="52"/>
      <c r="N181" s="52"/>
      <c r="O181" s="52"/>
      <c r="P181" s="52"/>
      <c r="Q181" s="52"/>
      <c r="R181" s="52"/>
      <c r="S181" s="52"/>
    </row>
    <row r="182" spans="3:19" ht="15.5">
      <c r="C182" s="52"/>
      <c r="D182" s="52"/>
      <c r="E182" s="52"/>
      <c r="F182" s="52"/>
      <c r="G182" s="52"/>
      <c r="H182" s="52"/>
      <c r="I182" s="52"/>
      <c r="J182" s="52"/>
      <c r="K182" s="52"/>
      <c r="L182" s="226"/>
      <c r="M182" s="52"/>
      <c r="N182" s="52"/>
      <c r="O182" s="52"/>
      <c r="P182" s="52"/>
      <c r="Q182" s="52"/>
      <c r="R182" s="52"/>
      <c r="S182" s="52"/>
    </row>
    <row r="183" spans="3:19" ht="15.5">
      <c r="C183" s="52"/>
      <c r="D183" s="52"/>
      <c r="E183" s="52"/>
      <c r="F183" s="52"/>
      <c r="G183" s="52"/>
      <c r="H183" s="52"/>
      <c r="I183" s="52"/>
      <c r="J183" s="52"/>
      <c r="K183" s="52"/>
      <c r="L183" s="226"/>
      <c r="M183" s="52"/>
      <c r="N183" s="52"/>
      <c r="O183" s="52"/>
      <c r="P183" s="52"/>
      <c r="Q183" s="52"/>
      <c r="R183" s="52"/>
      <c r="S183" s="52"/>
    </row>
    <row r="184" spans="3:19" ht="15.5">
      <c r="C184" s="52"/>
      <c r="D184" s="52"/>
      <c r="E184" s="52"/>
      <c r="F184" s="52"/>
      <c r="G184" s="52"/>
      <c r="H184" s="52"/>
      <c r="I184" s="52"/>
      <c r="J184" s="52"/>
      <c r="K184" s="52"/>
      <c r="L184" s="226"/>
      <c r="M184" s="52"/>
      <c r="N184" s="52"/>
      <c r="O184" s="52"/>
      <c r="P184" s="52"/>
      <c r="Q184" s="52"/>
      <c r="R184" s="52"/>
      <c r="S184" s="52"/>
    </row>
    <row r="185" spans="3:19" ht="15.5">
      <c r="C185" s="52"/>
      <c r="D185" s="52"/>
      <c r="E185" s="52"/>
      <c r="F185" s="52"/>
      <c r="G185" s="52"/>
      <c r="H185" s="52"/>
      <c r="I185" s="52"/>
      <c r="J185" s="52"/>
      <c r="K185" s="52"/>
      <c r="L185" s="226"/>
      <c r="M185" s="52"/>
      <c r="N185" s="52"/>
      <c r="O185" s="52"/>
      <c r="P185" s="52"/>
      <c r="Q185" s="52"/>
      <c r="R185" s="52"/>
      <c r="S185" s="52"/>
    </row>
    <row r="186" spans="3:19" ht="15.5">
      <c r="C186" s="52"/>
      <c r="D186" s="52"/>
      <c r="E186" s="52"/>
      <c r="F186" s="52"/>
      <c r="G186" s="52"/>
      <c r="H186" s="52"/>
      <c r="I186" s="52"/>
      <c r="J186" s="52"/>
      <c r="K186" s="52"/>
      <c r="L186" s="226"/>
      <c r="M186" s="52"/>
      <c r="N186" s="52"/>
      <c r="O186" s="52"/>
      <c r="P186" s="52"/>
      <c r="Q186" s="52"/>
      <c r="R186" s="52"/>
      <c r="S186" s="52"/>
    </row>
    <row r="187" spans="3:19" ht="15.5">
      <c r="C187" s="52"/>
      <c r="D187" s="52"/>
      <c r="E187" s="52"/>
      <c r="F187" s="52"/>
      <c r="G187" s="52"/>
      <c r="H187" s="52"/>
      <c r="I187" s="52"/>
      <c r="J187" s="52"/>
      <c r="K187" s="52"/>
      <c r="L187" s="226"/>
      <c r="M187" s="52"/>
      <c r="N187" s="52"/>
      <c r="O187" s="52"/>
      <c r="P187" s="52"/>
      <c r="Q187" s="52"/>
      <c r="R187" s="52"/>
      <c r="S187" s="52"/>
    </row>
    <row r="188" spans="3:19" ht="15.5">
      <c r="C188" s="52"/>
      <c r="D188" s="52"/>
      <c r="E188" s="52"/>
      <c r="F188" s="52"/>
      <c r="G188" s="52"/>
      <c r="H188" s="52"/>
      <c r="I188" s="52"/>
      <c r="J188" s="52"/>
      <c r="K188" s="52"/>
      <c r="L188" s="226"/>
      <c r="M188" s="52"/>
      <c r="N188" s="52"/>
      <c r="O188" s="52"/>
      <c r="P188" s="52"/>
      <c r="Q188" s="52"/>
      <c r="R188" s="52"/>
      <c r="S188" s="52"/>
    </row>
    <row r="189" spans="3:19" ht="15.5">
      <c r="C189" s="52"/>
      <c r="D189" s="52"/>
      <c r="E189" s="52"/>
      <c r="F189" s="52"/>
      <c r="G189" s="52"/>
      <c r="H189" s="52"/>
      <c r="I189" s="52"/>
      <c r="J189" s="52"/>
      <c r="K189" s="52"/>
      <c r="L189" s="226"/>
      <c r="M189" s="52"/>
      <c r="N189" s="52"/>
      <c r="O189" s="52"/>
      <c r="P189" s="52"/>
      <c r="Q189" s="52"/>
      <c r="R189" s="52"/>
      <c r="S189" s="52"/>
    </row>
    <row r="190" spans="3:19" ht="15.5">
      <c r="C190" s="52"/>
      <c r="D190" s="52"/>
      <c r="E190" s="52"/>
      <c r="F190" s="52"/>
      <c r="G190" s="52"/>
      <c r="H190" s="52"/>
      <c r="I190" s="52"/>
      <c r="J190" s="52"/>
      <c r="K190" s="52"/>
      <c r="L190" s="226"/>
      <c r="M190" s="52"/>
      <c r="N190" s="52"/>
      <c r="O190" s="52"/>
      <c r="P190" s="52"/>
      <c r="Q190" s="52"/>
      <c r="R190" s="52"/>
      <c r="S190" s="52"/>
    </row>
    <row r="191" spans="3:19" ht="15.5">
      <c r="C191" s="52"/>
      <c r="D191" s="52"/>
      <c r="E191" s="52"/>
      <c r="F191" s="52"/>
      <c r="G191" s="52"/>
      <c r="H191" s="52"/>
      <c r="I191" s="52"/>
      <c r="J191" s="52"/>
      <c r="K191" s="52"/>
      <c r="L191" s="226"/>
      <c r="M191" s="52"/>
      <c r="N191" s="52"/>
      <c r="O191" s="52"/>
      <c r="P191" s="52"/>
      <c r="Q191" s="52"/>
      <c r="R191" s="52"/>
      <c r="S191" s="52"/>
    </row>
    <row r="192" spans="3:19" ht="15.5">
      <c r="C192" s="52"/>
      <c r="D192" s="52"/>
      <c r="E192" s="52"/>
      <c r="F192" s="52"/>
      <c r="G192" s="52"/>
      <c r="H192" s="52"/>
      <c r="I192" s="52"/>
      <c r="J192" s="52"/>
      <c r="K192" s="52"/>
      <c r="L192" s="226"/>
      <c r="M192" s="52"/>
      <c r="N192" s="52"/>
      <c r="O192" s="52"/>
      <c r="P192" s="52"/>
      <c r="Q192" s="52"/>
      <c r="R192" s="52"/>
      <c r="S192" s="52"/>
    </row>
    <row r="193" spans="3:19" ht="15.5">
      <c r="C193" s="52"/>
      <c r="D193" s="52"/>
      <c r="E193" s="52"/>
      <c r="F193" s="52"/>
      <c r="G193" s="52"/>
      <c r="H193" s="52"/>
      <c r="I193" s="52"/>
      <c r="J193" s="52"/>
      <c r="K193" s="52"/>
      <c r="L193" s="226"/>
      <c r="M193" s="52"/>
      <c r="N193" s="52"/>
      <c r="O193" s="52"/>
      <c r="P193" s="52"/>
      <c r="Q193" s="52"/>
      <c r="R193" s="52"/>
      <c r="S193" s="52"/>
    </row>
    <row r="194" spans="3:19" ht="15.5">
      <c r="C194" s="52"/>
      <c r="D194" s="52"/>
      <c r="E194" s="52"/>
      <c r="F194" s="52"/>
      <c r="G194" s="52"/>
      <c r="H194" s="52"/>
      <c r="I194" s="52"/>
      <c r="J194" s="52"/>
      <c r="K194" s="52"/>
      <c r="L194" s="226"/>
      <c r="M194" s="52"/>
      <c r="N194" s="52"/>
      <c r="O194" s="52"/>
      <c r="P194" s="52"/>
      <c r="Q194" s="52"/>
      <c r="R194" s="52"/>
      <c r="S194" s="52"/>
    </row>
    <row r="195" spans="3:19" ht="15.5">
      <c r="C195" s="52"/>
      <c r="D195" s="52"/>
      <c r="E195" s="52"/>
      <c r="F195" s="52"/>
      <c r="G195" s="52"/>
      <c r="H195" s="52"/>
      <c r="I195" s="52"/>
      <c r="J195" s="52"/>
      <c r="K195" s="52"/>
      <c r="L195" s="226"/>
      <c r="M195" s="52"/>
      <c r="N195" s="52"/>
      <c r="O195" s="52"/>
      <c r="P195" s="52"/>
      <c r="Q195" s="52"/>
      <c r="R195" s="52"/>
      <c r="S195" s="52"/>
    </row>
    <row r="196" spans="3:19" ht="15.5">
      <c r="C196" s="52"/>
      <c r="D196" s="52"/>
      <c r="E196" s="52"/>
      <c r="F196" s="52"/>
      <c r="G196" s="52"/>
      <c r="H196" s="52"/>
      <c r="I196" s="52"/>
      <c r="J196" s="52"/>
      <c r="K196" s="52"/>
      <c r="L196" s="226"/>
      <c r="M196" s="52"/>
      <c r="N196" s="52"/>
      <c r="O196" s="52"/>
      <c r="P196" s="52"/>
      <c r="Q196" s="52"/>
      <c r="R196" s="52"/>
      <c r="S196" s="52"/>
    </row>
    <row r="197" spans="3:19" ht="15.5">
      <c r="C197" s="52"/>
      <c r="D197" s="52"/>
      <c r="E197" s="52"/>
      <c r="F197" s="52"/>
      <c r="G197" s="52"/>
      <c r="H197" s="52"/>
      <c r="I197" s="52"/>
      <c r="J197" s="52"/>
      <c r="K197" s="52"/>
      <c r="L197" s="226"/>
      <c r="M197" s="52"/>
      <c r="N197" s="52"/>
      <c r="O197" s="52"/>
      <c r="P197" s="52"/>
      <c r="Q197" s="52"/>
      <c r="R197" s="52"/>
      <c r="S197" s="52"/>
    </row>
    <row r="198" spans="3:19" ht="15.5">
      <c r="C198" s="52"/>
      <c r="D198" s="52"/>
      <c r="E198" s="52"/>
      <c r="F198" s="52"/>
      <c r="G198" s="52"/>
      <c r="H198" s="52"/>
      <c r="I198" s="52"/>
      <c r="J198" s="52"/>
      <c r="K198" s="52"/>
      <c r="L198" s="226"/>
      <c r="M198" s="52"/>
      <c r="N198" s="52"/>
      <c r="O198" s="52"/>
      <c r="P198" s="52"/>
      <c r="Q198" s="52"/>
      <c r="R198" s="52"/>
      <c r="S198" s="52"/>
    </row>
    <row r="199" spans="3:19" ht="15.5">
      <c r="C199" s="52"/>
      <c r="D199" s="52"/>
      <c r="E199" s="52"/>
      <c r="F199" s="52"/>
      <c r="G199" s="52"/>
      <c r="H199" s="52"/>
      <c r="I199" s="52"/>
      <c r="J199" s="52"/>
      <c r="K199" s="52"/>
      <c r="L199" s="226"/>
      <c r="M199" s="52"/>
      <c r="N199" s="52"/>
      <c r="O199" s="52"/>
      <c r="P199" s="52"/>
      <c r="Q199" s="52"/>
      <c r="R199" s="52"/>
      <c r="S199" s="52"/>
    </row>
    <row r="200" spans="3:19" ht="15.5">
      <c r="C200" s="52"/>
      <c r="D200" s="52"/>
      <c r="E200" s="52"/>
      <c r="F200" s="52"/>
      <c r="G200" s="52"/>
      <c r="H200" s="52"/>
      <c r="I200" s="52"/>
      <c r="J200" s="52"/>
      <c r="K200" s="52"/>
      <c r="L200" s="226"/>
      <c r="M200" s="52"/>
      <c r="N200" s="52"/>
      <c r="O200" s="52"/>
      <c r="P200" s="52"/>
      <c r="Q200" s="52"/>
      <c r="R200" s="52"/>
      <c r="S200" s="52"/>
    </row>
    <row r="201" spans="3:19" ht="15.5">
      <c r="C201" s="52"/>
      <c r="D201" s="52"/>
      <c r="E201" s="52"/>
      <c r="F201" s="52"/>
      <c r="G201" s="52"/>
      <c r="H201" s="52"/>
      <c r="I201" s="52"/>
      <c r="J201" s="52"/>
      <c r="K201" s="52"/>
      <c r="L201" s="226"/>
      <c r="M201" s="52"/>
      <c r="N201" s="52"/>
      <c r="O201" s="52"/>
      <c r="P201" s="52"/>
      <c r="Q201" s="52"/>
      <c r="R201" s="52"/>
      <c r="S201" s="52"/>
    </row>
    <row r="202" spans="3:19" ht="15.5">
      <c r="C202" s="52"/>
      <c r="D202" s="52"/>
      <c r="E202" s="52"/>
      <c r="F202" s="52"/>
      <c r="G202" s="52"/>
      <c r="H202" s="52"/>
      <c r="I202" s="52"/>
      <c r="J202" s="52"/>
      <c r="K202" s="52"/>
      <c r="L202" s="226"/>
      <c r="M202" s="52"/>
      <c r="N202" s="52"/>
      <c r="O202" s="52"/>
      <c r="P202" s="52"/>
      <c r="Q202" s="52"/>
      <c r="R202" s="52"/>
      <c r="S202" s="52"/>
    </row>
    <row r="203" spans="3:19" ht="15.5">
      <c r="C203" s="52"/>
      <c r="D203" s="52"/>
      <c r="E203" s="52"/>
      <c r="F203" s="52"/>
      <c r="G203" s="52"/>
      <c r="H203" s="52"/>
      <c r="I203" s="52"/>
      <c r="J203" s="52"/>
      <c r="K203" s="52"/>
      <c r="L203" s="226"/>
      <c r="M203" s="52"/>
      <c r="N203" s="52"/>
      <c r="O203" s="52"/>
      <c r="P203" s="52"/>
      <c r="Q203" s="52"/>
      <c r="R203" s="52"/>
      <c r="S203" s="52"/>
    </row>
    <row r="204" spans="3:19" ht="15.5">
      <c r="C204" s="52"/>
      <c r="D204" s="52"/>
      <c r="E204" s="52"/>
      <c r="F204" s="52"/>
      <c r="G204" s="52"/>
      <c r="H204" s="52"/>
      <c r="I204" s="52"/>
      <c r="J204" s="52"/>
      <c r="K204" s="52"/>
      <c r="L204" s="226"/>
      <c r="M204" s="52"/>
      <c r="N204" s="52"/>
      <c r="O204" s="52"/>
      <c r="P204" s="52"/>
      <c r="Q204" s="52"/>
      <c r="R204" s="52"/>
      <c r="S204" s="52"/>
    </row>
    <row r="205" spans="3:19" ht="15.5">
      <c r="C205" s="52"/>
      <c r="D205" s="52"/>
      <c r="E205" s="52"/>
      <c r="F205" s="52"/>
      <c r="G205" s="52"/>
      <c r="H205" s="52"/>
      <c r="I205" s="52"/>
      <c r="J205" s="52"/>
      <c r="K205" s="52"/>
      <c r="L205" s="226"/>
      <c r="M205" s="52"/>
      <c r="N205" s="52"/>
      <c r="O205" s="52"/>
      <c r="P205" s="52"/>
      <c r="Q205" s="52"/>
      <c r="R205" s="52"/>
      <c r="S205" s="52"/>
    </row>
    <row r="206" spans="3:19" ht="15.5">
      <c r="C206" s="52"/>
      <c r="D206" s="52"/>
      <c r="E206" s="52"/>
      <c r="F206" s="52"/>
      <c r="G206" s="52"/>
      <c r="H206" s="52"/>
      <c r="I206" s="52"/>
      <c r="J206" s="52"/>
      <c r="K206" s="52"/>
      <c r="L206" s="226"/>
      <c r="M206" s="52"/>
      <c r="N206" s="52"/>
      <c r="O206" s="52"/>
      <c r="P206" s="52"/>
      <c r="Q206" s="52"/>
      <c r="R206" s="52"/>
      <c r="S206" s="52"/>
    </row>
    <row r="207" spans="3:19" ht="15.5">
      <c r="C207" s="52"/>
      <c r="D207" s="52"/>
      <c r="E207" s="52"/>
      <c r="F207" s="52"/>
      <c r="G207" s="52"/>
      <c r="H207" s="52"/>
      <c r="I207" s="52"/>
      <c r="J207" s="52"/>
      <c r="K207" s="52"/>
      <c r="L207" s="226"/>
      <c r="M207" s="52"/>
      <c r="N207" s="52"/>
      <c r="O207" s="52"/>
      <c r="P207" s="52"/>
      <c r="Q207" s="52"/>
      <c r="R207" s="52"/>
      <c r="S207" s="52"/>
    </row>
    <row r="208" spans="3:19" ht="15.5">
      <c r="C208" s="52"/>
      <c r="D208" s="52"/>
      <c r="E208" s="52"/>
      <c r="F208" s="52"/>
      <c r="G208" s="52"/>
      <c r="H208" s="52"/>
      <c r="I208" s="52"/>
      <c r="J208" s="52"/>
      <c r="K208" s="52"/>
      <c r="L208" s="226"/>
      <c r="M208" s="52"/>
      <c r="N208" s="52"/>
      <c r="O208" s="52"/>
      <c r="P208" s="52"/>
      <c r="Q208" s="52"/>
      <c r="R208" s="52"/>
      <c r="S208" s="52"/>
    </row>
    <row r="209" spans="3:19" ht="15.5">
      <c r="C209" s="52"/>
      <c r="D209" s="52"/>
      <c r="E209" s="52"/>
      <c r="F209" s="52"/>
      <c r="G209" s="52"/>
      <c r="H209" s="52"/>
      <c r="I209" s="52"/>
      <c r="J209" s="52"/>
      <c r="K209" s="52"/>
      <c r="L209" s="226"/>
      <c r="M209" s="52"/>
      <c r="N209" s="52"/>
      <c r="O209" s="52"/>
      <c r="P209" s="52"/>
      <c r="Q209" s="52"/>
      <c r="R209" s="52"/>
      <c r="S209" s="52"/>
    </row>
    <row r="210" spans="3:19" ht="15.5">
      <c r="C210" s="52"/>
      <c r="D210" s="52"/>
      <c r="E210" s="52"/>
      <c r="F210" s="52"/>
      <c r="G210" s="52"/>
      <c r="H210" s="52"/>
      <c r="I210" s="52"/>
      <c r="J210" s="52"/>
      <c r="K210" s="52"/>
      <c r="L210" s="226"/>
      <c r="M210" s="52"/>
      <c r="N210" s="52"/>
      <c r="O210" s="52"/>
      <c r="P210" s="52"/>
      <c r="Q210" s="52"/>
      <c r="R210" s="52"/>
      <c r="S210" s="52"/>
    </row>
    <row r="211" spans="3:19" ht="15.5">
      <c r="C211" s="52"/>
      <c r="D211" s="52"/>
      <c r="E211" s="52"/>
      <c r="F211" s="52"/>
      <c r="G211" s="52"/>
      <c r="H211" s="52"/>
      <c r="I211" s="52"/>
      <c r="J211" s="52"/>
      <c r="K211" s="52"/>
      <c r="L211" s="226"/>
      <c r="M211" s="52"/>
      <c r="N211" s="52"/>
      <c r="O211" s="52"/>
      <c r="P211" s="52"/>
      <c r="Q211" s="52"/>
      <c r="R211" s="52"/>
      <c r="S211" s="52"/>
    </row>
    <row r="212" spans="3:19" ht="15.5">
      <c r="C212" s="52"/>
      <c r="D212" s="52"/>
      <c r="E212" s="52"/>
      <c r="F212" s="52"/>
      <c r="G212" s="52"/>
      <c r="H212" s="52"/>
      <c r="I212" s="52"/>
      <c r="J212" s="52"/>
      <c r="K212" s="52"/>
      <c r="L212" s="226"/>
      <c r="M212" s="52"/>
      <c r="N212" s="52"/>
      <c r="O212" s="52"/>
      <c r="P212" s="52"/>
      <c r="Q212" s="52"/>
      <c r="R212" s="52"/>
      <c r="S212" s="52"/>
    </row>
    <row r="213" spans="3:19" ht="15.5">
      <c r="C213" s="52"/>
      <c r="D213" s="52"/>
      <c r="E213" s="52"/>
      <c r="F213" s="52"/>
      <c r="G213" s="52"/>
      <c r="H213" s="52"/>
      <c r="I213" s="52"/>
      <c r="J213" s="52"/>
      <c r="K213" s="52"/>
      <c r="L213" s="226"/>
      <c r="M213" s="52"/>
      <c r="N213" s="52"/>
      <c r="O213" s="52"/>
      <c r="P213" s="52"/>
      <c r="Q213" s="52"/>
      <c r="R213" s="52"/>
      <c r="S213" s="52"/>
    </row>
    <row r="214" spans="3:19" ht="15.5">
      <c r="C214" s="52"/>
      <c r="D214" s="52"/>
      <c r="E214" s="52"/>
      <c r="F214" s="52"/>
      <c r="G214" s="52"/>
      <c r="H214" s="52"/>
      <c r="I214" s="52"/>
      <c r="J214" s="52"/>
      <c r="K214" s="52"/>
      <c r="L214" s="226"/>
      <c r="M214" s="52"/>
      <c r="N214" s="52"/>
      <c r="O214" s="52"/>
      <c r="P214" s="52"/>
      <c r="Q214" s="52"/>
      <c r="R214" s="52"/>
      <c r="S214" s="52"/>
    </row>
    <row r="215" spans="3:19" ht="15.5">
      <c r="C215" s="52"/>
      <c r="D215" s="52"/>
      <c r="E215" s="52"/>
      <c r="F215" s="52"/>
      <c r="G215" s="52"/>
      <c r="H215" s="52"/>
      <c r="I215" s="52"/>
      <c r="J215" s="52"/>
      <c r="K215" s="52"/>
      <c r="L215" s="226"/>
      <c r="M215" s="52"/>
      <c r="N215" s="52"/>
      <c r="O215" s="52"/>
      <c r="P215" s="52"/>
      <c r="Q215" s="52"/>
      <c r="R215" s="52"/>
      <c r="S215" s="52"/>
    </row>
    <row r="216" spans="3:19" ht="15.5">
      <c r="C216" s="52"/>
      <c r="D216" s="52"/>
      <c r="E216" s="52"/>
      <c r="F216" s="52"/>
      <c r="G216" s="52"/>
      <c r="H216" s="52"/>
      <c r="I216" s="52"/>
      <c r="J216" s="52"/>
      <c r="K216" s="52"/>
      <c r="L216" s="226"/>
      <c r="M216" s="52"/>
      <c r="N216" s="52"/>
      <c r="O216" s="52"/>
      <c r="P216" s="52"/>
      <c r="Q216" s="52"/>
      <c r="R216" s="52"/>
      <c r="S216" s="52"/>
    </row>
    <row r="217" spans="3:19" ht="15.5">
      <c r="C217" s="52"/>
      <c r="D217" s="52"/>
      <c r="E217" s="52"/>
      <c r="F217" s="52"/>
      <c r="G217" s="52"/>
      <c r="H217" s="52"/>
      <c r="I217" s="52"/>
      <c r="J217" s="52"/>
      <c r="K217" s="52"/>
      <c r="L217" s="226"/>
      <c r="M217" s="52"/>
      <c r="N217" s="52"/>
      <c r="O217" s="52"/>
      <c r="P217" s="52"/>
      <c r="Q217" s="52"/>
      <c r="R217" s="52"/>
      <c r="S217" s="52"/>
    </row>
    <row r="218" spans="3:19" ht="15.5">
      <c r="C218" s="52"/>
      <c r="D218" s="52"/>
      <c r="E218" s="52"/>
      <c r="F218" s="52"/>
      <c r="G218" s="52"/>
      <c r="H218" s="52"/>
      <c r="I218" s="52"/>
      <c r="J218" s="52"/>
      <c r="K218" s="52"/>
      <c r="L218" s="226"/>
      <c r="M218" s="52"/>
      <c r="N218" s="52"/>
      <c r="O218" s="52"/>
      <c r="P218" s="52"/>
      <c r="Q218" s="52"/>
      <c r="R218" s="52"/>
      <c r="S218" s="52"/>
    </row>
    <row r="219" spans="3:19" ht="15.5">
      <c r="C219" s="52"/>
      <c r="D219" s="52"/>
      <c r="E219" s="52"/>
      <c r="F219" s="52"/>
      <c r="G219" s="52"/>
      <c r="H219" s="52"/>
      <c r="I219" s="52"/>
      <c r="J219" s="52"/>
      <c r="K219" s="52"/>
      <c r="L219" s="226"/>
      <c r="M219" s="52"/>
      <c r="N219" s="52"/>
      <c r="O219" s="52"/>
      <c r="P219" s="52"/>
      <c r="Q219" s="52"/>
      <c r="R219" s="52"/>
      <c r="S219" s="52"/>
    </row>
    <row r="220" spans="3:19" ht="15.5">
      <c r="C220" s="52"/>
      <c r="D220" s="52"/>
      <c r="E220" s="52"/>
      <c r="F220" s="52"/>
      <c r="G220" s="52"/>
      <c r="H220" s="52"/>
      <c r="I220" s="52"/>
      <c r="J220" s="52"/>
      <c r="K220" s="52"/>
      <c r="L220" s="226"/>
      <c r="M220" s="52"/>
      <c r="N220" s="52"/>
      <c r="O220" s="52"/>
      <c r="P220" s="52"/>
      <c r="Q220" s="52"/>
      <c r="R220" s="52"/>
      <c r="S220" s="52"/>
    </row>
    <row r="221" spans="3:19" ht="15.5">
      <c r="C221" s="52"/>
      <c r="D221" s="52"/>
      <c r="E221" s="52"/>
      <c r="F221" s="52"/>
      <c r="G221" s="52"/>
      <c r="H221" s="52"/>
      <c r="I221" s="52"/>
      <c r="J221" s="52"/>
      <c r="K221" s="52"/>
      <c r="L221" s="226"/>
      <c r="M221" s="52"/>
      <c r="N221" s="52"/>
      <c r="O221" s="52"/>
      <c r="P221" s="52"/>
      <c r="Q221" s="52"/>
      <c r="R221" s="52"/>
      <c r="S221" s="52"/>
    </row>
    <row r="222" spans="3:19" ht="15.5">
      <c r="C222" s="52"/>
      <c r="D222" s="52"/>
      <c r="E222" s="52"/>
      <c r="F222" s="52"/>
      <c r="G222" s="52"/>
      <c r="H222" s="52"/>
      <c r="I222" s="52"/>
      <c r="J222" s="52"/>
      <c r="K222" s="52"/>
      <c r="L222" s="226"/>
      <c r="M222" s="52"/>
      <c r="N222" s="52"/>
      <c r="O222" s="52"/>
      <c r="P222" s="52"/>
      <c r="Q222" s="52"/>
      <c r="R222" s="52"/>
      <c r="S222" s="52"/>
    </row>
    <row r="223" spans="3:19" ht="15.5">
      <c r="C223" s="52"/>
      <c r="D223" s="52"/>
      <c r="E223" s="52"/>
      <c r="F223" s="52"/>
      <c r="G223" s="52"/>
      <c r="H223" s="52"/>
      <c r="I223" s="52"/>
      <c r="J223" s="52"/>
      <c r="K223" s="52"/>
      <c r="L223" s="226"/>
      <c r="M223" s="52"/>
      <c r="N223" s="52"/>
      <c r="O223" s="52"/>
      <c r="P223" s="52"/>
      <c r="Q223" s="52"/>
      <c r="R223" s="52"/>
      <c r="S223" s="52"/>
    </row>
    <row r="224" spans="3:19" ht="15.5">
      <c r="C224" s="52"/>
      <c r="D224" s="52"/>
      <c r="E224" s="52"/>
      <c r="F224" s="52"/>
      <c r="G224" s="52"/>
      <c r="H224" s="52"/>
      <c r="I224" s="52"/>
      <c r="J224" s="52"/>
      <c r="K224" s="52"/>
      <c r="L224" s="226"/>
      <c r="M224" s="52"/>
      <c r="N224" s="52"/>
      <c r="O224" s="52"/>
      <c r="P224" s="52"/>
      <c r="Q224" s="52"/>
      <c r="R224" s="52"/>
      <c r="S224" s="52"/>
    </row>
    <row r="225" spans="3:19" ht="15.5">
      <c r="C225" s="52"/>
      <c r="D225" s="52"/>
      <c r="E225" s="52"/>
      <c r="F225" s="52"/>
      <c r="G225" s="52"/>
      <c r="H225" s="52"/>
      <c r="I225" s="52"/>
      <c r="J225" s="52"/>
      <c r="K225" s="52"/>
      <c r="L225" s="226"/>
      <c r="M225" s="52"/>
      <c r="N225" s="52"/>
      <c r="O225" s="52"/>
      <c r="P225" s="52"/>
      <c r="Q225" s="52"/>
      <c r="R225" s="52"/>
      <c r="S225" s="52"/>
    </row>
    <row r="226" spans="3:19" ht="15.5">
      <c r="C226" s="52"/>
      <c r="D226" s="52"/>
      <c r="E226" s="52"/>
      <c r="F226" s="52"/>
      <c r="G226" s="52"/>
      <c r="H226" s="52"/>
      <c r="I226" s="52"/>
      <c r="J226" s="52"/>
      <c r="K226" s="52"/>
      <c r="L226" s="226"/>
      <c r="M226" s="52"/>
      <c r="N226" s="52"/>
      <c r="O226" s="52"/>
      <c r="P226" s="52"/>
      <c r="Q226" s="52"/>
      <c r="R226" s="52"/>
      <c r="S226" s="52"/>
    </row>
    <row r="227" spans="3:19" ht="15.5">
      <c r="C227" s="52"/>
      <c r="D227" s="52"/>
      <c r="E227" s="52"/>
      <c r="F227" s="52"/>
      <c r="G227" s="52"/>
      <c r="H227" s="52"/>
      <c r="I227" s="52"/>
      <c r="J227" s="52"/>
      <c r="K227" s="52"/>
      <c r="L227" s="226"/>
      <c r="M227" s="52"/>
      <c r="N227" s="52"/>
      <c r="O227" s="52"/>
      <c r="P227" s="52"/>
      <c r="Q227" s="52"/>
      <c r="R227" s="52"/>
      <c r="S227" s="52"/>
    </row>
    <row r="228" spans="3:19" ht="15.5">
      <c r="C228" s="52"/>
      <c r="D228" s="52"/>
      <c r="E228" s="52"/>
      <c r="F228" s="52"/>
      <c r="G228" s="52"/>
      <c r="H228" s="52"/>
      <c r="I228" s="52"/>
      <c r="J228" s="52"/>
      <c r="K228" s="52"/>
      <c r="L228" s="226"/>
      <c r="M228" s="52"/>
      <c r="N228" s="52"/>
      <c r="O228" s="52"/>
      <c r="P228" s="52"/>
      <c r="Q228" s="52"/>
      <c r="R228" s="52"/>
      <c r="S228" s="52"/>
    </row>
    <row r="229" spans="3:19" ht="15.5">
      <c r="C229" s="52"/>
      <c r="D229" s="52"/>
      <c r="E229" s="52"/>
      <c r="F229" s="52"/>
      <c r="G229" s="52"/>
      <c r="H229" s="52"/>
      <c r="I229" s="52"/>
      <c r="J229" s="52"/>
      <c r="K229" s="52"/>
      <c r="L229" s="226"/>
      <c r="M229" s="52"/>
      <c r="N229" s="52"/>
      <c r="O229" s="52"/>
      <c r="P229" s="52"/>
      <c r="Q229" s="52"/>
      <c r="R229" s="52"/>
      <c r="S229" s="52"/>
    </row>
    <row r="230" spans="3:19" ht="15.5">
      <c r="C230" s="52"/>
      <c r="D230" s="52"/>
      <c r="E230" s="52"/>
      <c r="F230" s="52"/>
      <c r="G230" s="52"/>
      <c r="H230" s="52"/>
      <c r="I230" s="52"/>
      <c r="J230" s="52"/>
      <c r="K230" s="52"/>
      <c r="L230" s="226"/>
      <c r="M230" s="52"/>
      <c r="N230" s="52"/>
      <c r="O230" s="52"/>
      <c r="P230" s="52"/>
      <c r="Q230" s="52"/>
      <c r="R230" s="52"/>
      <c r="S230" s="52"/>
    </row>
    <row r="231" spans="3:19" ht="15.5">
      <c r="C231" s="52"/>
      <c r="D231" s="52"/>
      <c r="E231" s="52"/>
      <c r="F231" s="52"/>
      <c r="G231" s="52"/>
      <c r="H231" s="52"/>
      <c r="I231" s="52"/>
      <c r="J231" s="52"/>
      <c r="K231" s="52"/>
      <c r="L231" s="226"/>
      <c r="M231" s="52"/>
      <c r="N231" s="52"/>
      <c r="O231" s="52"/>
      <c r="P231" s="52"/>
      <c r="Q231" s="52"/>
      <c r="R231" s="52"/>
      <c r="S231" s="52"/>
    </row>
    <row r="232" spans="3:19" ht="15.5">
      <c r="C232" s="52"/>
      <c r="D232" s="52"/>
      <c r="E232" s="52"/>
      <c r="F232" s="52"/>
      <c r="G232" s="52"/>
      <c r="H232" s="52"/>
      <c r="I232" s="52"/>
      <c r="J232" s="52"/>
      <c r="K232" s="52"/>
      <c r="L232" s="226"/>
      <c r="M232" s="52"/>
      <c r="N232" s="52"/>
      <c r="O232" s="52"/>
      <c r="P232" s="52"/>
      <c r="Q232" s="52"/>
      <c r="R232" s="52"/>
      <c r="S232" s="52"/>
    </row>
    <row r="233" spans="3:19" ht="15.5">
      <c r="C233" s="52"/>
      <c r="D233" s="52"/>
      <c r="E233" s="52"/>
      <c r="F233" s="52"/>
      <c r="G233" s="52"/>
      <c r="H233" s="52"/>
      <c r="I233" s="52"/>
      <c r="J233" s="52"/>
      <c r="K233" s="52"/>
      <c r="L233" s="226"/>
      <c r="M233" s="52"/>
      <c r="N233" s="52"/>
      <c r="O233" s="52"/>
      <c r="P233" s="52"/>
      <c r="Q233" s="52"/>
      <c r="R233" s="52"/>
      <c r="S233" s="52"/>
    </row>
    <row r="234" spans="3:19" ht="15.5">
      <c r="C234" s="52"/>
      <c r="D234" s="52"/>
      <c r="E234" s="52"/>
      <c r="F234" s="52"/>
      <c r="G234" s="52"/>
      <c r="H234" s="52"/>
      <c r="I234" s="52"/>
      <c r="J234" s="52"/>
      <c r="K234" s="52"/>
      <c r="L234" s="226"/>
      <c r="M234" s="52"/>
      <c r="N234" s="52"/>
      <c r="O234" s="52"/>
      <c r="P234" s="52"/>
      <c r="Q234" s="52"/>
      <c r="R234" s="52"/>
      <c r="S234" s="52"/>
    </row>
    <row r="235" spans="3:19" ht="15.5">
      <c r="C235" s="52"/>
      <c r="D235" s="52"/>
      <c r="E235" s="52"/>
      <c r="F235" s="52"/>
      <c r="G235" s="52"/>
      <c r="H235" s="52"/>
      <c r="I235" s="52"/>
      <c r="J235" s="52"/>
      <c r="K235" s="52"/>
      <c r="L235" s="226"/>
      <c r="M235" s="52"/>
      <c r="N235" s="52"/>
      <c r="O235" s="52"/>
      <c r="P235" s="52"/>
      <c r="Q235" s="52"/>
      <c r="R235" s="52"/>
      <c r="S235" s="52"/>
    </row>
    <row r="236" spans="3:19" ht="15.5">
      <c r="C236" s="52"/>
      <c r="D236" s="52"/>
      <c r="E236" s="52"/>
      <c r="F236" s="52"/>
      <c r="G236" s="52"/>
      <c r="H236" s="52"/>
      <c r="I236" s="52"/>
      <c r="J236" s="52"/>
      <c r="K236" s="52"/>
      <c r="L236" s="226"/>
      <c r="M236" s="52"/>
      <c r="N236" s="52"/>
      <c r="O236" s="52"/>
      <c r="P236" s="52"/>
      <c r="Q236" s="52"/>
      <c r="R236" s="52"/>
      <c r="S236" s="52"/>
    </row>
    <row r="237" spans="3:19" ht="15.5">
      <c r="C237" s="52"/>
      <c r="D237" s="52"/>
      <c r="E237" s="52"/>
      <c r="F237" s="52"/>
      <c r="G237" s="52"/>
      <c r="H237" s="52"/>
      <c r="I237" s="52"/>
      <c r="J237" s="52"/>
      <c r="K237" s="52"/>
      <c r="L237" s="226"/>
      <c r="M237" s="52"/>
      <c r="N237" s="52"/>
      <c r="O237" s="52"/>
      <c r="P237" s="52"/>
      <c r="Q237" s="52"/>
      <c r="R237" s="52"/>
      <c r="S237" s="52"/>
    </row>
    <row r="238" spans="3:19" ht="15.5">
      <c r="C238" s="52"/>
      <c r="D238" s="52"/>
      <c r="E238" s="52"/>
      <c r="F238" s="52"/>
      <c r="G238" s="52"/>
      <c r="H238" s="52"/>
      <c r="I238" s="52"/>
      <c r="J238" s="52"/>
      <c r="K238" s="52"/>
      <c r="L238" s="226"/>
      <c r="M238" s="52"/>
      <c r="N238" s="52"/>
      <c r="O238" s="52"/>
      <c r="P238" s="52"/>
      <c r="Q238" s="52"/>
      <c r="R238" s="52"/>
      <c r="S238" s="52"/>
    </row>
    <row r="239" spans="3:19" ht="15.5">
      <c r="C239" s="52"/>
      <c r="D239" s="52"/>
      <c r="E239" s="52"/>
      <c r="F239" s="52"/>
      <c r="G239" s="52"/>
      <c r="H239" s="52"/>
      <c r="I239" s="52"/>
      <c r="J239" s="52"/>
      <c r="K239" s="52"/>
      <c r="L239" s="226"/>
      <c r="M239" s="52"/>
      <c r="N239" s="52"/>
      <c r="O239" s="52"/>
      <c r="P239" s="52"/>
      <c r="Q239" s="52"/>
      <c r="R239" s="52"/>
      <c r="S239" s="52"/>
    </row>
    <row r="240" spans="3:19" ht="15.5">
      <c r="C240" s="52"/>
      <c r="D240" s="52"/>
      <c r="E240" s="52"/>
      <c r="F240" s="52"/>
      <c r="G240" s="52"/>
      <c r="H240" s="52"/>
      <c r="I240" s="52"/>
      <c r="J240" s="52"/>
      <c r="K240" s="52"/>
      <c r="L240" s="226"/>
      <c r="M240" s="52"/>
      <c r="N240" s="52"/>
      <c r="O240" s="52"/>
      <c r="P240" s="52"/>
      <c r="Q240" s="52"/>
      <c r="R240" s="52"/>
      <c r="S240" s="52"/>
    </row>
    <row r="241" spans="3:19" ht="15.5">
      <c r="C241" s="52"/>
      <c r="D241" s="52"/>
      <c r="E241" s="52"/>
      <c r="F241" s="52"/>
      <c r="G241" s="52"/>
      <c r="H241" s="52"/>
      <c r="I241" s="52"/>
      <c r="J241" s="52"/>
      <c r="K241" s="52"/>
      <c r="L241" s="226"/>
      <c r="M241" s="52"/>
      <c r="N241" s="52"/>
      <c r="O241" s="52"/>
      <c r="P241" s="52"/>
      <c r="Q241" s="52"/>
      <c r="R241" s="52"/>
      <c r="S241" s="52"/>
    </row>
    <row r="242" spans="3:19" ht="15.5">
      <c r="C242" s="52"/>
      <c r="D242" s="52"/>
      <c r="E242" s="52"/>
      <c r="F242" s="52"/>
      <c r="G242" s="52"/>
      <c r="H242" s="52"/>
      <c r="I242" s="52"/>
      <c r="J242" s="52"/>
      <c r="K242" s="52"/>
      <c r="L242" s="226"/>
      <c r="M242" s="52"/>
      <c r="N242" s="52"/>
      <c r="O242" s="52"/>
      <c r="P242" s="52"/>
      <c r="Q242" s="52"/>
      <c r="R242" s="52"/>
      <c r="S242" s="52"/>
    </row>
    <row r="243" spans="3:19" ht="15.5">
      <c r="C243" s="52"/>
      <c r="D243" s="52"/>
      <c r="E243" s="52"/>
      <c r="F243" s="52"/>
      <c r="G243" s="52"/>
      <c r="H243" s="52"/>
      <c r="I243" s="52"/>
      <c r="J243" s="52"/>
      <c r="K243" s="52"/>
      <c r="L243" s="226"/>
      <c r="M243" s="52"/>
      <c r="N243" s="52"/>
      <c r="O243" s="52"/>
      <c r="P243" s="52"/>
      <c r="Q243" s="52"/>
      <c r="R243" s="52"/>
      <c r="S243" s="52"/>
    </row>
    <row r="244" spans="3:19" ht="15.5">
      <c r="C244" s="52"/>
      <c r="D244" s="52"/>
      <c r="E244" s="52"/>
      <c r="F244" s="52"/>
      <c r="G244" s="52"/>
      <c r="H244" s="52"/>
      <c r="I244" s="52"/>
      <c r="J244" s="52"/>
      <c r="K244" s="52"/>
      <c r="L244" s="226"/>
      <c r="M244" s="52"/>
      <c r="N244" s="52"/>
      <c r="O244" s="52"/>
      <c r="P244" s="52"/>
      <c r="Q244" s="52"/>
      <c r="R244" s="52"/>
      <c r="S244" s="52"/>
    </row>
    <row r="245" spans="3:19" ht="15.5">
      <c r="C245" s="52"/>
      <c r="D245" s="52"/>
      <c r="E245" s="52"/>
      <c r="F245" s="52"/>
      <c r="G245" s="52"/>
      <c r="H245" s="52"/>
      <c r="I245" s="52"/>
      <c r="J245" s="52"/>
      <c r="K245" s="52"/>
      <c r="L245" s="226"/>
      <c r="M245" s="52"/>
      <c r="N245" s="52"/>
      <c r="O245" s="52"/>
      <c r="P245" s="52"/>
      <c r="Q245" s="52"/>
      <c r="R245" s="52"/>
      <c r="S245" s="52"/>
    </row>
    <row r="246" spans="3:19" ht="15.5">
      <c r="C246" s="52"/>
      <c r="D246" s="52"/>
      <c r="E246" s="52"/>
      <c r="F246" s="52"/>
      <c r="G246" s="52"/>
      <c r="H246" s="52"/>
      <c r="I246" s="52"/>
      <c r="J246" s="52"/>
      <c r="K246" s="52"/>
      <c r="L246" s="226"/>
      <c r="M246" s="52"/>
      <c r="N246" s="52"/>
      <c r="O246" s="52"/>
      <c r="P246" s="52"/>
      <c r="Q246" s="52"/>
      <c r="R246" s="52"/>
      <c r="S246" s="52"/>
    </row>
    <row r="247" spans="3:19" ht="15.5">
      <c r="C247" s="52"/>
      <c r="D247" s="52"/>
      <c r="E247" s="52"/>
      <c r="F247" s="52"/>
      <c r="G247" s="52"/>
      <c r="H247" s="52"/>
      <c r="I247" s="52"/>
      <c r="J247" s="52"/>
      <c r="K247" s="52"/>
      <c r="L247" s="226"/>
      <c r="M247" s="52"/>
      <c r="N247" s="52"/>
      <c r="O247" s="52"/>
      <c r="P247" s="52"/>
      <c r="Q247" s="52"/>
      <c r="R247" s="52"/>
      <c r="S247" s="52"/>
    </row>
    <row r="248" spans="3:19" ht="15.5">
      <c r="C248" s="52"/>
      <c r="D248" s="52"/>
      <c r="E248" s="52"/>
      <c r="F248" s="52"/>
      <c r="G248" s="52"/>
      <c r="H248" s="52"/>
      <c r="I248" s="52"/>
      <c r="J248" s="52"/>
      <c r="K248" s="52"/>
      <c r="L248" s="226"/>
      <c r="M248" s="52"/>
      <c r="N248" s="52"/>
      <c r="O248" s="52"/>
      <c r="P248" s="52"/>
      <c r="Q248" s="52"/>
      <c r="R248" s="52"/>
      <c r="S248" s="52"/>
    </row>
    <row r="249" spans="3:19" ht="15.5">
      <c r="C249" s="52"/>
      <c r="D249" s="52"/>
      <c r="E249" s="52"/>
      <c r="F249" s="52"/>
      <c r="G249" s="52"/>
      <c r="H249" s="52"/>
      <c r="I249" s="52"/>
      <c r="J249" s="52"/>
      <c r="K249" s="52"/>
      <c r="L249" s="226"/>
      <c r="M249" s="52"/>
      <c r="N249" s="52"/>
      <c r="O249" s="52"/>
      <c r="P249" s="52"/>
      <c r="Q249" s="52"/>
      <c r="R249" s="52"/>
      <c r="S249" s="52"/>
    </row>
    <row r="250" spans="3:19" ht="15.5">
      <c r="C250" s="52"/>
      <c r="D250" s="52"/>
      <c r="E250" s="52"/>
      <c r="F250" s="52"/>
      <c r="G250" s="52"/>
      <c r="H250" s="52"/>
      <c r="I250" s="52"/>
      <c r="J250" s="52"/>
      <c r="K250" s="52"/>
      <c r="L250" s="226"/>
      <c r="M250" s="52"/>
      <c r="N250" s="52"/>
      <c r="O250" s="52"/>
      <c r="P250" s="52"/>
      <c r="Q250" s="52"/>
      <c r="R250" s="52"/>
      <c r="S250" s="52"/>
    </row>
    <row r="251" spans="3:19" ht="15.5">
      <c r="C251" s="52"/>
      <c r="D251" s="52"/>
      <c r="E251" s="52"/>
      <c r="F251" s="52"/>
      <c r="G251" s="52"/>
      <c r="H251" s="52"/>
      <c r="I251" s="52"/>
      <c r="J251" s="52"/>
      <c r="K251" s="52"/>
      <c r="L251" s="226"/>
      <c r="M251" s="52"/>
      <c r="N251" s="52"/>
      <c r="O251" s="52"/>
      <c r="P251" s="52"/>
      <c r="Q251" s="52"/>
      <c r="R251" s="52"/>
      <c r="S251" s="52"/>
    </row>
    <row r="252" spans="3:19" ht="15.5">
      <c r="C252" s="52"/>
      <c r="D252" s="52"/>
      <c r="E252" s="52"/>
      <c r="F252" s="52"/>
      <c r="G252" s="52"/>
      <c r="H252" s="52"/>
      <c r="I252" s="52"/>
      <c r="J252" s="52"/>
      <c r="K252" s="52"/>
      <c r="L252" s="226"/>
      <c r="M252" s="52"/>
      <c r="N252" s="52"/>
      <c r="O252" s="52"/>
      <c r="P252" s="52"/>
      <c r="Q252" s="52"/>
      <c r="R252" s="52"/>
      <c r="S252" s="52"/>
    </row>
    <row r="253" spans="3:19" ht="15.5">
      <c r="C253" s="52"/>
      <c r="D253" s="52"/>
      <c r="E253" s="52"/>
      <c r="F253" s="52"/>
      <c r="G253" s="52"/>
      <c r="H253" s="52"/>
      <c r="I253" s="52"/>
      <c r="J253" s="52"/>
      <c r="K253" s="52"/>
      <c r="L253" s="226"/>
      <c r="M253" s="52"/>
      <c r="N253" s="52"/>
      <c r="O253" s="52"/>
      <c r="P253" s="52"/>
      <c r="Q253" s="52"/>
      <c r="R253" s="52"/>
      <c r="S253" s="52"/>
    </row>
    <row r="254" spans="3:19" ht="15.5">
      <c r="C254" s="52"/>
      <c r="D254" s="52"/>
      <c r="E254" s="52"/>
      <c r="F254" s="52"/>
      <c r="G254" s="52"/>
      <c r="H254" s="52"/>
      <c r="I254" s="52"/>
      <c r="J254" s="52"/>
      <c r="K254" s="52"/>
      <c r="L254" s="226"/>
      <c r="M254" s="52"/>
      <c r="N254" s="52"/>
      <c r="O254" s="52"/>
      <c r="P254" s="52"/>
      <c r="Q254" s="52"/>
      <c r="R254" s="52"/>
      <c r="S254" s="52"/>
    </row>
    <row r="255" spans="3:19" ht="15.5">
      <c r="C255" s="52"/>
      <c r="D255" s="52"/>
      <c r="E255" s="52"/>
      <c r="F255" s="52"/>
      <c r="G255" s="52"/>
      <c r="H255" s="52"/>
      <c r="I255" s="52"/>
      <c r="J255" s="52"/>
      <c r="K255" s="52"/>
      <c r="L255" s="226"/>
      <c r="M255" s="52"/>
      <c r="N255" s="52"/>
      <c r="O255" s="52"/>
      <c r="P255" s="52"/>
      <c r="Q255" s="52"/>
      <c r="R255" s="52"/>
      <c r="S255" s="52"/>
    </row>
    <row r="256" spans="3:19" ht="15.5">
      <c r="C256" s="52"/>
      <c r="D256" s="52"/>
      <c r="E256" s="52"/>
      <c r="F256" s="52"/>
      <c r="G256" s="52"/>
      <c r="H256" s="52"/>
      <c r="I256" s="52"/>
      <c r="J256" s="52"/>
      <c r="K256" s="52"/>
      <c r="L256" s="226"/>
      <c r="M256" s="52"/>
      <c r="N256" s="52"/>
      <c r="O256" s="52"/>
      <c r="P256" s="52"/>
      <c r="Q256" s="52"/>
      <c r="R256" s="52"/>
      <c r="S256" s="52"/>
    </row>
    <row r="257" spans="3:19" ht="15.5">
      <c r="C257" s="52"/>
      <c r="D257" s="52"/>
      <c r="E257" s="52"/>
      <c r="F257" s="52"/>
      <c r="G257" s="52"/>
      <c r="H257" s="52"/>
      <c r="I257" s="52"/>
      <c r="J257" s="52"/>
      <c r="K257" s="52"/>
      <c r="L257" s="226"/>
      <c r="M257" s="52"/>
      <c r="N257" s="52"/>
      <c r="O257" s="52"/>
      <c r="P257" s="52"/>
      <c r="Q257" s="52"/>
      <c r="R257" s="52"/>
      <c r="S257" s="52"/>
    </row>
    <row r="258" spans="3:19" ht="15.5">
      <c r="C258" s="52"/>
      <c r="D258" s="52"/>
      <c r="E258" s="52"/>
      <c r="F258" s="52"/>
      <c r="G258" s="52"/>
      <c r="H258" s="52"/>
      <c r="I258" s="52"/>
      <c r="J258" s="52"/>
      <c r="K258" s="52"/>
      <c r="L258" s="226"/>
      <c r="M258" s="52"/>
      <c r="N258" s="52"/>
      <c r="O258" s="52"/>
      <c r="P258" s="52"/>
      <c r="Q258" s="52"/>
      <c r="R258" s="52"/>
      <c r="S258" s="52"/>
    </row>
    <row r="259" spans="3:19" ht="15.5">
      <c r="C259" s="52"/>
      <c r="D259" s="52"/>
      <c r="E259" s="52"/>
      <c r="F259" s="52"/>
      <c r="G259" s="52"/>
      <c r="H259" s="52"/>
      <c r="I259" s="52"/>
      <c r="J259" s="52"/>
      <c r="K259" s="52"/>
      <c r="L259" s="226"/>
      <c r="M259" s="52"/>
      <c r="N259" s="52"/>
      <c r="O259" s="52"/>
      <c r="P259" s="52"/>
      <c r="Q259" s="52"/>
      <c r="R259" s="52"/>
      <c r="S259" s="52"/>
    </row>
    <row r="260" spans="3:19" ht="15.5">
      <c r="C260" s="52"/>
      <c r="D260" s="52"/>
      <c r="E260" s="52"/>
      <c r="F260" s="52"/>
      <c r="G260" s="52"/>
      <c r="H260" s="52"/>
      <c r="I260" s="52"/>
      <c r="J260" s="52"/>
      <c r="K260" s="52"/>
      <c r="L260" s="226"/>
      <c r="M260" s="52"/>
      <c r="N260" s="52"/>
      <c r="O260" s="52"/>
      <c r="P260" s="52"/>
      <c r="Q260" s="52"/>
      <c r="R260" s="52"/>
      <c r="S260" s="52"/>
    </row>
    <row r="261" spans="3:19" ht="15.5">
      <c r="C261" s="52"/>
      <c r="D261" s="52"/>
      <c r="E261" s="52"/>
      <c r="F261" s="52"/>
      <c r="G261" s="52"/>
      <c r="H261" s="52"/>
      <c r="I261" s="52"/>
      <c r="J261" s="52"/>
      <c r="K261" s="52"/>
      <c r="L261" s="226"/>
      <c r="M261" s="52"/>
      <c r="N261" s="52"/>
      <c r="O261" s="52"/>
      <c r="P261" s="52"/>
      <c r="Q261" s="52"/>
      <c r="R261" s="52"/>
      <c r="S261" s="52"/>
    </row>
    <row r="262" spans="3:19" ht="15.5">
      <c r="C262" s="52"/>
      <c r="D262" s="52"/>
      <c r="E262" s="52"/>
      <c r="F262" s="52"/>
      <c r="G262" s="52"/>
      <c r="H262" s="52"/>
      <c r="I262" s="52"/>
      <c r="J262" s="52"/>
      <c r="K262" s="52"/>
      <c r="L262" s="226"/>
      <c r="M262" s="52"/>
      <c r="N262" s="52"/>
      <c r="O262" s="52"/>
      <c r="P262" s="52"/>
      <c r="Q262" s="52"/>
      <c r="R262" s="52"/>
      <c r="S262" s="52"/>
    </row>
    <row r="263" spans="3:19" ht="15.5">
      <c r="C263" s="52"/>
      <c r="D263" s="52"/>
      <c r="E263" s="52"/>
      <c r="F263" s="52"/>
      <c r="G263" s="52"/>
      <c r="H263" s="52"/>
      <c r="I263" s="52"/>
      <c r="J263" s="52"/>
      <c r="K263" s="52"/>
      <c r="L263" s="226"/>
      <c r="M263" s="52"/>
      <c r="N263" s="52"/>
      <c r="O263" s="52"/>
      <c r="P263" s="52"/>
      <c r="Q263" s="52"/>
      <c r="R263" s="52"/>
      <c r="S263" s="52"/>
    </row>
    <row r="264" spans="3:19" ht="15.5">
      <c r="C264" s="52"/>
      <c r="D264" s="52"/>
      <c r="E264" s="52"/>
      <c r="F264" s="52"/>
      <c r="G264" s="52"/>
      <c r="H264" s="52"/>
      <c r="I264" s="52"/>
      <c r="J264" s="52"/>
      <c r="K264" s="52"/>
      <c r="L264" s="226"/>
      <c r="M264" s="52"/>
      <c r="N264" s="52"/>
      <c r="O264" s="52"/>
      <c r="P264" s="52"/>
      <c r="Q264" s="52"/>
      <c r="R264" s="52"/>
      <c r="S264" s="52"/>
    </row>
    <row r="265" spans="3:19" ht="15.5">
      <c r="C265" s="52"/>
      <c r="D265" s="52"/>
      <c r="E265" s="52"/>
      <c r="F265" s="52"/>
      <c r="G265" s="52"/>
      <c r="H265" s="52"/>
      <c r="I265" s="52"/>
      <c r="J265" s="52"/>
      <c r="K265" s="52"/>
      <c r="L265" s="226"/>
      <c r="M265" s="52"/>
      <c r="N265" s="52"/>
      <c r="O265" s="52"/>
      <c r="P265" s="52"/>
      <c r="Q265" s="52"/>
      <c r="R265" s="52"/>
      <c r="S265" s="52"/>
    </row>
    <row r="266" spans="3:19" ht="15.5">
      <c r="C266" s="52"/>
      <c r="D266" s="52"/>
      <c r="E266" s="52"/>
      <c r="F266" s="52"/>
      <c r="G266" s="52"/>
      <c r="H266" s="52"/>
      <c r="I266" s="52"/>
      <c r="J266" s="52"/>
      <c r="K266" s="52"/>
      <c r="L266" s="226"/>
      <c r="M266" s="52"/>
      <c r="N266" s="52"/>
      <c r="O266" s="52"/>
      <c r="P266" s="52"/>
      <c r="Q266" s="52"/>
      <c r="R266" s="52"/>
      <c r="S266" s="52"/>
    </row>
    <row r="267" spans="3:19" ht="15.5">
      <c r="C267" s="52"/>
      <c r="D267" s="52"/>
      <c r="E267" s="52"/>
      <c r="F267" s="52"/>
      <c r="G267" s="52"/>
      <c r="H267" s="52"/>
      <c r="I267" s="52"/>
      <c r="J267" s="52"/>
      <c r="K267" s="52"/>
      <c r="L267" s="226"/>
      <c r="M267" s="52"/>
      <c r="N267" s="52"/>
      <c r="O267" s="52"/>
      <c r="P267" s="52"/>
      <c r="Q267" s="52"/>
      <c r="R267" s="52"/>
      <c r="S267" s="52"/>
    </row>
    <row r="268" spans="3:19" ht="15.5">
      <c r="C268" s="52"/>
      <c r="D268" s="52"/>
      <c r="E268" s="52"/>
      <c r="F268" s="52"/>
      <c r="G268" s="52"/>
      <c r="H268" s="52"/>
      <c r="I268" s="52"/>
      <c r="J268" s="52"/>
      <c r="K268" s="52"/>
      <c r="L268" s="226"/>
      <c r="M268" s="52"/>
      <c r="N268" s="52"/>
      <c r="O268" s="52"/>
      <c r="P268" s="52"/>
      <c r="Q268" s="52"/>
      <c r="R268" s="52"/>
      <c r="S268" s="52"/>
    </row>
    <row r="269" spans="3:19" ht="15.5">
      <c r="C269" s="52"/>
      <c r="D269" s="52"/>
      <c r="E269" s="52"/>
      <c r="F269" s="52"/>
      <c r="G269" s="52"/>
      <c r="H269" s="52"/>
      <c r="I269" s="52"/>
      <c r="J269" s="52"/>
      <c r="K269" s="52"/>
      <c r="L269" s="226"/>
      <c r="M269" s="52"/>
      <c r="N269" s="52"/>
      <c r="O269" s="52"/>
      <c r="P269" s="52"/>
      <c r="Q269" s="52"/>
      <c r="R269" s="52"/>
      <c r="S269" s="52"/>
    </row>
    <row r="270" spans="3:19" ht="15.5">
      <c r="C270" s="52"/>
      <c r="D270" s="52"/>
      <c r="E270" s="52"/>
      <c r="F270" s="52"/>
      <c r="G270" s="52"/>
      <c r="H270" s="52"/>
      <c r="I270" s="52"/>
      <c r="J270" s="52"/>
      <c r="K270" s="52"/>
      <c r="L270" s="226"/>
      <c r="M270" s="52"/>
      <c r="N270" s="52"/>
      <c r="O270" s="52"/>
      <c r="P270" s="52"/>
      <c r="Q270" s="52"/>
      <c r="R270" s="52"/>
      <c r="S270" s="52"/>
    </row>
    <row r="271" spans="3:19" ht="15.5">
      <c r="C271" s="52"/>
      <c r="D271" s="52"/>
      <c r="E271" s="52"/>
      <c r="F271" s="52"/>
      <c r="G271" s="52"/>
      <c r="H271" s="52"/>
      <c r="I271" s="52"/>
      <c r="J271" s="52"/>
      <c r="K271" s="52"/>
      <c r="L271" s="226"/>
      <c r="M271" s="52"/>
      <c r="N271" s="52"/>
      <c r="O271" s="52"/>
      <c r="P271" s="52"/>
      <c r="Q271" s="52"/>
      <c r="R271" s="52"/>
      <c r="S271" s="52"/>
    </row>
    <row r="272" spans="3:19" ht="15.5">
      <c r="C272" s="52"/>
      <c r="D272" s="52"/>
      <c r="E272" s="52"/>
      <c r="F272" s="52"/>
      <c r="G272" s="52"/>
      <c r="H272" s="52"/>
      <c r="I272" s="52"/>
      <c r="J272" s="52"/>
      <c r="K272" s="52"/>
      <c r="L272" s="226"/>
      <c r="M272" s="52"/>
      <c r="N272" s="52"/>
      <c r="O272" s="52"/>
      <c r="P272" s="52"/>
      <c r="Q272" s="52"/>
      <c r="R272" s="52"/>
      <c r="S272" s="52"/>
    </row>
    <row r="273" spans="3:19" ht="15.5">
      <c r="C273" s="52"/>
      <c r="D273" s="52"/>
      <c r="E273" s="52"/>
      <c r="F273" s="52"/>
      <c r="G273" s="52"/>
      <c r="H273" s="52"/>
      <c r="I273" s="52"/>
      <c r="J273" s="52"/>
      <c r="K273" s="52"/>
      <c r="L273" s="226"/>
      <c r="M273" s="52"/>
      <c r="N273" s="52"/>
      <c r="O273" s="52"/>
      <c r="P273" s="52"/>
      <c r="Q273" s="52"/>
      <c r="R273" s="52"/>
      <c r="S273" s="52"/>
    </row>
    <row r="274" spans="3:19" ht="15.5">
      <c r="C274" s="52"/>
      <c r="D274" s="52"/>
      <c r="E274" s="52"/>
      <c r="F274" s="52"/>
      <c r="G274" s="52"/>
      <c r="H274" s="52"/>
      <c r="I274" s="52"/>
      <c r="J274" s="52"/>
      <c r="K274" s="52"/>
      <c r="L274" s="226"/>
      <c r="M274" s="52"/>
      <c r="N274" s="52"/>
      <c r="O274" s="52"/>
      <c r="P274" s="52"/>
      <c r="Q274" s="52"/>
      <c r="R274" s="52"/>
      <c r="S274" s="52"/>
    </row>
    <row r="275" spans="3:19" ht="15.5">
      <c r="C275" s="52"/>
      <c r="D275" s="52"/>
      <c r="E275" s="52"/>
      <c r="F275" s="52"/>
      <c r="G275" s="52"/>
      <c r="H275" s="52"/>
      <c r="I275" s="52"/>
      <c r="J275" s="52"/>
      <c r="K275" s="52"/>
      <c r="L275" s="226"/>
      <c r="M275" s="52"/>
      <c r="N275" s="52"/>
      <c r="O275" s="52"/>
      <c r="P275" s="52"/>
      <c r="Q275" s="52"/>
      <c r="R275" s="52"/>
      <c r="S275" s="52"/>
    </row>
    <row r="276" spans="3:19" ht="15.5">
      <c r="C276" s="52"/>
      <c r="D276" s="52"/>
      <c r="E276" s="52"/>
      <c r="F276" s="52"/>
      <c r="G276" s="52"/>
      <c r="H276" s="52"/>
      <c r="I276" s="52"/>
      <c r="J276" s="52"/>
      <c r="K276" s="52"/>
      <c r="L276" s="226"/>
      <c r="M276" s="52"/>
      <c r="N276" s="52"/>
      <c r="O276" s="52"/>
      <c r="P276" s="52"/>
      <c r="Q276" s="52"/>
      <c r="R276" s="52"/>
      <c r="S276" s="52"/>
    </row>
    <row r="277" spans="3:19" ht="15.5">
      <c r="C277" s="52"/>
      <c r="D277" s="52"/>
      <c r="E277" s="52"/>
      <c r="F277" s="52"/>
      <c r="G277" s="52"/>
      <c r="H277" s="52"/>
      <c r="I277" s="52"/>
      <c r="J277" s="52"/>
      <c r="K277" s="52"/>
      <c r="L277" s="226"/>
      <c r="M277" s="52"/>
      <c r="N277" s="52"/>
      <c r="O277" s="52"/>
      <c r="P277" s="52"/>
      <c r="Q277" s="52"/>
      <c r="R277" s="52"/>
      <c r="S277" s="52"/>
    </row>
    <row r="278" spans="3:19" ht="15.5">
      <c r="C278" s="52"/>
      <c r="D278" s="52"/>
      <c r="E278" s="52"/>
      <c r="F278" s="52"/>
      <c r="G278" s="52"/>
      <c r="H278" s="52"/>
      <c r="I278" s="52"/>
      <c r="J278" s="52"/>
      <c r="K278" s="52"/>
      <c r="L278" s="226"/>
      <c r="M278" s="52"/>
      <c r="N278" s="52"/>
      <c r="O278" s="52"/>
      <c r="P278" s="52"/>
      <c r="Q278" s="52"/>
      <c r="R278" s="52"/>
      <c r="S278" s="52"/>
    </row>
    <row r="279" spans="3:19" ht="15.5">
      <c r="C279" s="52"/>
      <c r="D279" s="52"/>
      <c r="E279" s="52"/>
      <c r="F279" s="52"/>
      <c r="G279" s="52"/>
      <c r="H279" s="52"/>
      <c r="I279" s="52"/>
      <c r="J279" s="52"/>
      <c r="K279" s="52"/>
      <c r="L279" s="226"/>
      <c r="M279" s="52"/>
      <c r="N279" s="52"/>
      <c r="O279" s="52"/>
      <c r="P279" s="52"/>
      <c r="Q279" s="52"/>
      <c r="R279" s="52"/>
      <c r="S279" s="52"/>
    </row>
    <row r="280" spans="3:19" ht="15.5">
      <c r="C280" s="52"/>
      <c r="D280" s="52"/>
      <c r="E280" s="52"/>
      <c r="F280" s="52"/>
      <c r="G280" s="52"/>
      <c r="H280" s="52"/>
      <c r="I280" s="52"/>
      <c r="J280" s="52"/>
      <c r="K280" s="52"/>
      <c r="L280" s="226"/>
      <c r="M280" s="52"/>
      <c r="N280" s="52"/>
      <c r="O280" s="52"/>
      <c r="P280" s="52"/>
      <c r="Q280" s="52"/>
      <c r="R280" s="52"/>
      <c r="S280" s="52"/>
    </row>
    <row r="281" spans="3:19" ht="15.5">
      <c r="C281" s="52"/>
      <c r="D281" s="52"/>
      <c r="E281" s="52"/>
      <c r="F281" s="52"/>
      <c r="G281" s="52"/>
      <c r="H281" s="52"/>
      <c r="I281" s="52"/>
      <c r="J281" s="52"/>
      <c r="K281" s="52"/>
      <c r="L281" s="226"/>
      <c r="M281" s="52"/>
      <c r="N281" s="52"/>
      <c r="O281" s="52"/>
      <c r="P281" s="52"/>
      <c r="Q281" s="52"/>
      <c r="R281" s="52"/>
      <c r="S281" s="52"/>
    </row>
    <row r="282" spans="3:19" ht="15.5">
      <c r="C282" s="52"/>
      <c r="D282" s="52"/>
      <c r="E282" s="52"/>
      <c r="F282" s="52"/>
      <c r="G282" s="52"/>
      <c r="H282" s="52"/>
      <c r="I282" s="52"/>
      <c r="J282" s="52"/>
      <c r="K282" s="52"/>
      <c r="L282" s="226"/>
      <c r="M282" s="52"/>
      <c r="N282" s="52"/>
      <c r="O282" s="52"/>
      <c r="P282" s="52"/>
      <c r="Q282" s="52"/>
      <c r="R282" s="52"/>
      <c r="S282" s="52"/>
    </row>
    <row r="283" spans="3:19" ht="15.5">
      <c r="C283" s="52"/>
      <c r="D283" s="52"/>
      <c r="E283" s="52"/>
      <c r="F283" s="52"/>
      <c r="G283" s="52"/>
      <c r="H283" s="52"/>
      <c r="I283" s="52"/>
      <c r="J283" s="52"/>
      <c r="K283" s="52"/>
      <c r="L283" s="226"/>
      <c r="M283" s="52"/>
      <c r="N283" s="52"/>
      <c r="O283" s="52"/>
      <c r="P283" s="52"/>
      <c r="Q283" s="52"/>
      <c r="R283" s="52"/>
      <c r="S283" s="52"/>
    </row>
    <row r="284" spans="3:19" ht="15.5">
      <c r="C284" s="52"/>
      <c r="D284" s="52"/>
      <c r="E284" s="52"/>
      <c r="F284" s="52"/>
      <c r="G284" s="52"/>
      <c r="H284" s="52"/>
      <c r="I284" s="52"/>
      <c r="J284" s="52"/>
      <c r="K284" s="52"/>
      <c r="L284" s="226"/>
      <c r="M284" s="52"/>
      <c r="N284" s="52"/>
      <c r="O284" s="52"/>
      <c r="P284" s="52"/>
      <c r="Q284" s="52"/>
      <c r="R284" s="52"/>
      <c r="S284" s="52"/>
    </row>
    <row r="285" spans="3:19" ht="15.5">
      <c r="C285" s="52"/>
      <c r="D285" s="52"/>
      <c r="E285" s="52"/>
      <c r="F285" s="52"/>
      <c r="G285" s="52"/>
      <c r="H285" s="52"/>
      <c r="I285" s="52"/>
      <c r="J285" s="52"/>
      <c r="K285" s="52"/>
      <c r="L285" s="226"/>
      <c r="M285" s="52"/>
      <c r="N285" s="52"/>
      <c r="O285" s="52"/>
      <c r="P285" s="52"/>
      <c r="Q285" s="52"/>
      <c r="R285" s="52"/>
      <c r="S285" s="52"/>
    </row>
    <row r="286" spans="3:19" ht="15.5">
      <c r="C286" s="52"/>
      <c r="D286" s="52"/>
      <c r="E286" s="52"/>
      <c r="F286" s="52"/>
      <c r="G286" s="52"/>
      <c r="H286" s="52"/>
      <c r="I286" s="52"/>
      <c r="J286" s="52"/>
      <c r="K286" s="52"/>
      <c r="L286" s="226"/>
      <c r="M286" s="52"/>
      <c r="N286" s="52"/>
      <c r="O286" s="52"/>
      <c r="P286" s="52"/>
      <c r="Q286" s="52"/>
      <c r="R286" s="52"/>
      <c r="S286" s="52"/>
    </row>
    <row r="287" spans="3:19" ht="15.5">
      <c r="C287" s="52"/>
      <c r="D287" s="52"/>
      <c r="E287" s="52"/>
      <c r="F287" s="52"/>
      <c r="G287" s="52"/>
      <c r="H287" s="52"/>
      <c r="I287" s="52"/>
      <c r="J287" s="52"/>
      <c r="K287" s="52"/>
      <c r="L287" s="226"/>
      <c r="M287" s="52"/>
      <c r="N287" s="52"/>
      <c r="O287" s="52"/>
      <c r="P287" s="52"/>
      <c r="Q287" s="52"/>
      <c r="R287" s="52"/>
      <c r="S287" s="52"/>
    </row>
    <row r="288" spans="3:15" ht="15.5">
      <c r="C288" s="52"/>
      <c r="D288" s="52"/>
      <c r="E288" s="52"/>
      <c r="F288" s="52"/>
      <c r="G288" s="52"/>
      <c r="H288" s="52"/>
      <c r="I288" s="52"/>
      <c r="J288" s="52"/>
      <c r="K288" s="52"/>
      <c r="L288" s="226"/>
      <c r="M288" s="52"/>
      <c r="N288" s="52"/>
      <c r="O288" s="52"/>
    </row>
    <row r="289" spans="3:15" ht="15.5">
      <c r="C289" s="52"/>
      <c r="D289" s="52"/>
      <c r="E289" s="52"/>
      <c r="F289" s="52"/>
      <c r="G289" s="52"/>
      <c r="H289" s="52"/>
      <c r="I289" s="52"/>
      <c r="J289" s="52"/>
      <c r="K289" s="52"/>
      <c r="L289" s="226"/>
      <c r="M289" s="52"/>
      <c r="N289" s="52"/>
      <c r="O289" s="52"/>
    </row>
    <row r="290" spans="3:15" ht="15.5">
      <c r="C290" s="52"/>
      <c r="D290" s="52"/>
      <c r="E290" s="52"/>
      <c r="F290" s="52"/>
      <c r="G290" s="52"/>
      <c r="H290" s="52"/>
      <c r="I290" s="52"/>
      <c r="J290" s="52"/>
      <c r="K290" s="52"/>
      <c r="L290" s="226"/>
      <c r="M290" s="52"/>
      <c r="N290" s="52"/>
      <c r="O290" s="52"/>
    </row>
    <row r="291" spans="3:15" ht="15.5">
      <c r="C291" s="52"/>
      <c r="D291" s="52"/>
      <c r="E291" s="52"/>
      <c r="F291" s="52"/>
      <c r="G291" s="52"/>
      <c r="H291" s="52"/>
      <c r="I291" s="52"/>
      <c r="J291" s="52"/>
      <c r="K291" s="52"/>
      <c r="L291" s="226"/>
      <c r="M291" s="52"/>
      <c r="N291" s="52"/>
      <c r="O291" s="52"/>
    </row>
    <row r="292" spans="3:15" ht="15.5">
      <c r="C292" s="52"/>
      <c r="D292" s="52"/>
      <c r="E292" s="52"/>
      <c r="F292" s="52"/>
      <c r="G292" s="52"/>
      <c r="H292" s="52"/>
      <c r="I292" s="52"/>
      <c r="J292" s="52"/>
      <c r="K292" s="52"/>
      <c r="L292" s="226"/>
      <c r="M292" s="52"/>
      <c r="N292" s="52"/>
      <c r="O292" s="52"/>
    </row>
    <row r="293" spans="3:15" ht="15.5">
      <c r="C293" s="52"/>
      <c r="D293" s="52"/>
      <c r="E293" s="52"/>
      <c r="F293" s="52"/>
      <c r="G293" s="52"/>
      <c r="H293" s="52"/>
      <c r="I293" s="52"/>
      <c r="J293" s="52"/>
      <c r="K293" s="52"/>
      <c r="L293" s="226"/>
      <c r="M293" s="52"/>
      <c r="N293" s="52"/>
      <c r="O293" s="52"/>
    </row>
    <row r="294" spans="3:15" ht="15.5">
      <c r="C294" s="52"/>
      <c r="D294" s="52"/>
      <c r="E294" s="52"/>
      <c r="F294" s="52"/>
      <c r="G294" s="52"/>
      <c r="H294" s="52"/>
      <c r="I294" s="52"/>
      <c r="J294" s="52"/>
      <c r="K294" s="52"/>
      <c r="L294" s="226"/>
      <c r="M294" s="52"/>
      <c r="N294" s="52"/>
      <c r="O294" s="52"/>
    </row>
    <row r="295" spans="3:15" ht="15.5">
      <c r="C295" s="52"/>
      <c r="D295" s="52"/>
      <c r="E295" s="52"/>
      <c r="F295" s="52"/>
      <c r="G295" s="52"/>
      <c r="H295" s="52"/>
      <c r="I295" s="52"/>
      <c r="J295" s="52"/>
      <c r="K295" s="52"/>
      <c r="L295" s="226"/>
      <c r="M295" s="52"/>
      <c r="N295" s="52"/>
      <c r="O295" s="52"/>
    </row>
  </sheetData>
  <customSheetViews>
    <customSheetView guid="{e1861f40-ebd5-44ae-868b-fde0ed504d72}" printArea="1" scale="60" showPageBreaks="1" topLeftCell="A1" view="pageBreakPreview">
      <selection pane="topLeft" activeCell="A6" sqref="A6:P6"/>
      <rowBreaks count="1" manualBreakCount="1">
        <brk id="53" max="17" man="1"/>
      </rowBreaks>
      <pageMargins left="0.57" right="0.3" top="0.77" bottom="0.75" header="0.5" footer="0.5"/>
      <printOptions horizontalCentered="1"/>
      <pageSetup fitToHeight="0" horizontalDpi="300" verticalDpi="300" orientation="landscape" scale="43" r:id="rId2"/>
      <headerFooter alignWithMargins="0"/>
    </customSheetView>
  </customSheetViews>
  <mergeCells count="12">
    <mergeCell ref="C97:O97"/>
    <mergeCell ref="C93:O93"/>
    <mergeCell ref="C94:O94"/>
    <mergeCell ref="C91:O91"/>
    <mergeCell ref="C92:O92"/>
    <mergeCell ref="C95:O95"/>
    <mergeCell ref="C96:O96"/>
    <mergeCell ref="A5:P5"/>
    <mergeCell ref="A6:P6"/>
    <mergeCell ref="A61:P61"/>
    <mergeCell ref="A62:P62"/>
    <mergeCell ref="A7:N7"/>
  </mergeCells>
  <printOptions horizontalCentered="1"/>
  <pageMargins left="0.7" right="0.7" top="0.75" bottom="0.75" header="0.3" footer="0.3"/>
  <pageSetup fitToHeight="0" fitToWidth="0" orientation="landscape" scale="39" r:id="rId1"/>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240"/>
  <sheetViews>
    <sheetView view="pageBreakPreview" zoomScale="65" zoomScaleNormal="85" zoomScaleSheetLayoutView="65" workbookViewId="0" topLeftCell="A1">
      <selection pane="topLeft" activeCell="C3" sqref="C3"/>
    </sheetView>
  </sheetViews>
  <sheetFormatPr defaultColWidth="8.91714285714286" defaultRowHeight="15.5"/>
  <cols>
    <col min="1" max="1" width="6" style="1" customWidth="1"/>
    <col min="2" max="2" width="3.35714285714286" style="1" customWidth="1"/>
    <col min="3" max="3" width="39.0714285714286" style="1" customWidth="1"/>
    <col min="4" max="4" width="12" style="1" customWidth="1"/>
    <col min="5" max="5" width="14.4285714285714" style="1" customWidth="1"/>
    <col min="6" max="6" width="13.8571428571429" style="1" customWidth="1"/>
    <col min="7" max="7" width="14.0714285714286" style="1" customWidth="1"/>
    <col min="8" max="8" width="13.9285714285714" style="1" customWidth="1"/>
    <col min="9" max="10" width="13.0714285714286" style="1" customWidth="1"/>
    <col min="11" max="11" width="13.5" style="1" customWidth="1"/>
    <col min="12" max="12" width="15.3571428571429" style="1" customWidth="1"/>
    <col min="13" max="13" width="38.8571428571429" style="1" customWidth="1"/>
    <col min="14" max="16384" width="8.92857142857143" style="1"/>
  </cols>
  <sheetData>
    <row r="1" spans="3:13" ht="15.5">
      <c r="C1" s="609"/>
      <c r="M1" s="26" t="s">
        <v>464</v>
      </c>
    </row>
    <row r="2" spans="3:13" ht="15.65" customHeight="1">
      <c r="C2" s="609"/>
      <c r="E2" s="609"/>
      <c r="F2" s="609"/>
      <c r="G2" s="609"/>
      <c r="H2" s="609"/>
      <c r="I2" s="609"/>
      <c r="J2" s="609"/>
      <c r="K2" s="609"/>
      <c r="M2" s="26" t="s">
        <v>275</v>
      </c>
    </row>
    <row r="3" spans="3:13" ht="15.5">
      <c r="C3" s="609"/>
      <c r="E3" s="609"/>
      <c r="F3" s="609"/>
      <c r="G3" s="609"/>
      <c r="H3" s="609"/>
      <c r="I3" s="609"/>
      <c r="J3" s="609"/>
      <c r="K3" s="609"/>
      <c r="M3" s="112" t="s">
        <v>434</v>
      </c>
    </row>
    <row r="4" spans="1:11" ht="15.5">
      <c r="A4" s="27"/>
      <c r="C4" s="609"/>
      <c r="E4" s="609"/>
      <c r="F4" s="609"/>
      <c r="G4" s="609"/>
      <c r="H4" s="609"/>
      <c r="I4" s="609"/>
      <c r="J4" s="609"/>
      <c r="K4" s="609"/>
    </row>
    <row r="5" spans="1:11" ht="15.5">
      <c r="A5" s="27"/>
      <c r="C5" s="609"/>
      <c r="D5" s="2"/>
      <c r="E5" s="609"/>
      <c r="F5" s="609"/>
      <c r="G5" s="609"/>
      <c r="H5" s="609"/>
      <c r="I5" s="609"/>
      <c r="J5" s="609"/>
      <c r="K5" s="609"/>
    </row>
    <row r="6" spans="1:12" ht="15.5">
      <c r="A6" s="27"/>
      <c r="C6" s="609"/>
      <c r="D6" s="2"/>
      <c r="L6" s="4"/>
    </row>
    <row r="7" spans="1:3" ht="19.75" customHeight="1">
      <c r="A7" s="27"/>
      <c r="C7" s="609"/>
    </row>
    <row r="8" spans="1:12" ht="15.5">
      <c r="A8" s="696" t="s">
        <v>440</v>
      </c>
      <c r="B8" s="696"/>
      <c r="C8" s="696"/>
      <c r="D8" s="696"/>
      <c r="E8" s="696"/>
      <c r="F8" s="696"/>
      <c r="G8" s="696"/>
      <c r="H8" s="696"/>
      <c r="I8" s="696"/>
      <c r="J8" s="696"/>
      <c r="K8" s="696"/>
      <c r="L8" s="696"/>
    </row>
    <row r="9" spans="1:12" ht="15.5">
      <c r="A9" s="697" t="s">
        <v>436</v>
      </c>
      <c r="B9" s="698"/>
      <c r="C9" s="698"/>
      <c r="D9" s="698"/>
      <c r="E9" s="698"/>
      <c r="F9" s="698"/>
      <c r="G9" s="698"/>
      <c r="H9" s="698"/>
      <c r="I9" s="698"/>
      <c r="J9" s="698"/>
      <c r="K9" s="698"/>
      <c r="L9" s="698"/>
    </row>
    <row r="10" spans="1:12" ht="15.5">
      <c r="A10" s="27"/>
      <c r="E10" s="18"/>
      <c r="H10" s="2"/>
      <c r="I10" s="2"/>
      <c r="J10" s="2"/>
      <c r="K10" s="2"/>
      <c r="L10" s="2"/>
    </row>
    <row r="11" spans="1:12" ht="15.5">
      <c r="A11" s="27"/>
      <c r="E11" s="18"/>
      <c r="F11" s="18"/>
      <c r="H11" s="2"/>
      <c r="I11" s="2"/>
      <c r="J11" s="2"/>
      <c r="K11" s="2"/>
      <c r="L11" s="2"/>
    </row>
    <row r="12" spans="1:11" ht="15.5">
      <c r="A12" s="27"/>
      <c r="C12" s="35" t="s">
        <v>423</v>
      </c>
      <c r="D12" s="35" t="s">
        <v>424</v>
      </c>
      <c r="E12" s="35" t="s">
        <v>425</v>
      </c>
      <c r="F12" s="35" t="s">
        <v>426</v>
      </c>
      <c r="G12" s="35" t="s">
        <v>427</v>
      </c>
      <c r="H12" s="35" t="s">
        <v>428</v>
      </c>
      <c r="I12" s="35" t="s">
        <v>429</v>
      </c>
      <c r="J12" s="35" t="s">
        <v>430</v>
      </c>
      <c r="K12" s="35" t="s">
        <v>431</v>
      </c>
    </row>
    <row r="13" spans="1:11" s="101" customFormat="1" ht="80.15" customHeight="1">
      <c r="A13" s="36" t="s">
        <v>255</v>
      </c>
      <c r="B13" s="100"/>
      <c r="C13" s="38" t="s">
        <v>256</v>
      </c>
      <c r="D13" s="38" t="s">
        <v>257</v>
      </c>
      <c r="E13" s="39" t="s">
        <v>437</v>
      </c>
      <c r="F13" s="39" t="s">
        <v>411</v>
      </c>
      <c r="G13" s="38" t="s">
        <v>438</v>
      </c>
      <c r="H13" s="39" t="s">
        <v>413</v>
      </c>
      <c r="I13" s="39" t="s">
        <v>414</v>
      </c>
      <c r="J13" s="38" t="s">
        <v>415</v>
      </c>
      <c r="K13" s="187" t="s">
        <v>416</v>
      </c>
    </row>
    <row r="14" spans="1:11" ht="46.5" customHeight="1">
      <c r="A14" s="42"/>
      <c r="B14" s="43"/>
      <c r="C14" s="43"/>
      <c r="D14" s="43"/>
      <c r="E14" s="44"/>
      <c r="F14" s="105" t="s">
        <v>726</v>
      </c>
      <c r="G14" s="105" t="s">
        <v>432</v>
      </c>
      <c r="H14" s="105" t="s">
        <v>727</v>
      </c>
      <c r="I14" s="44" t="s">
        <v>433</v>
      </c>
      <c r="J14" s="105" t="s">
        <v>574</v>
      </c>
      <c r="K14" s="188" t="s">
        <v>733</v>
      </c>
    </row>
    <row r="15" spans="1:11" ht="15.5">
      <c r="A15" s="47"/>
      <c r="B15" s="2"/>
      <c r="C15" s="2"/>
      <c r="D15" s="2"/>
      <c r="E15" s="102"/>
      <c r="F15" s="102"/>
      <c r="G15" s="102"/>
      <c r="H15" s="102"/>
      <c r="I15" s="102"/>
      <c r="J15" s="102"/>
      <c r="K15" s="103"/>
    </row>
    <row r="16" spans="1:11" ht="15.5">
      <c r="A16" s="104">
        <v>1</v>
      </c>
      <c r="B16" s="2" t="s">
        <v>363</v>
      </c>
      <c r="C16" s="2" t="s">
        <v>439</v>
      </c>
      <c r="D16" s="2"/>
      <c r="E16" s="292">
        <v>273888.54561883584</v>
      </c>
      <c r="F16" s="72"/>
      <c r="G16" s="72"/>
      <c r="H16" s="72"/>
      <c r="I16" s="72"/>
      <c r="J16" s="72"/>
      <c r="K16" s="106"/>
    </row>
    <row r="17" spans="1:11" ht="15.5">
      <c r="A17" s="47"/>
      <c r="B17" s="2"/>
      <c r="C17" s="2"/>
      <c r="D17" s="2"/>
      <c r="E17" s="72"/>
      <c r="F17" s="72"/>
      <c r="G17" s="72"/>
      <c r="H17" s="72"/>
      <c r="I17" s="72"/>
      <c r="J17" s="72"/>
      <c r="K17" s="106"/>
    </row>
    <row r="18" spans="1:11" ht="15.5">
      <c r="A18" s="65" t="s">
        <v>328</v>
      </c>
      <c r="B18" s="32"/>
      <c r="C18" s="317" t="s">
        <v>904</v>
      </c>
      <c r="D18" s="213">
        <v>890</v>
      </c>
      <c r="E18" s="107"/>
      <c r="F18" s="162">
        <v>100710.54041966527</v>
      </c>
      <c r="G18" s="148">
        <f>IF(F$33&gt;0,(E$16*(F18/F$33)),0)</f>
        <v>115928.70130880726</v>
      </c>
      <c r="H18" s="162">
        <v>113889.44026110999</v>
      </c>
      <c r="I18" s="148">
        <f>H18-G18</f>
        <v>-2039.2610476972623</v>
      </c>
      <c r="J18" s="149">
        <f>I18*((I$35/I$36)-1)</f>
        <v>-355.85745041542765</v>
      </c>
      <c r="K18" s="293">
        <f>I18+J18</f>
        <v>-2395.1184981126898</v>
      </c>
    </row>
    <row r="19" spans="1:11" ht="15.5">
      <c r="A19" s="65" t="s">
        <v>351</v>
      </c>
      <c r="B19" s="32"/>
      <c r="C19" s="317" t="s">
        <v>905</v>
      </c>
      <c r="D19" s="213">
        <v>1326</v>
      </c>
      <c r="E19" s="107"/>
      <c r="F19" s="162">
        <v>137224.18266977166</v>
      </c>
      <c r="G19" s="148">
        <f>IF(F$33&gt;0,(E$16*(F19/F$33)),0)</f>
        <v>157959.84431002857</v>
      </c>
      <c r="H19" s="162">
        <v>157581.74193067188</v>
      </c>
      <c r="I19" s="148">
        <f>H19-G19</f>
        <v>-378.10237935668556</v>
      </c>
      <c r="J19" s="149">
        <f t="shared" si="0" ref="J19">I19*((I$35/I$36)-1)</f>
        <v>-65.980051384697262</v>
      </c>
      <c r="K19" s="293">
        <f t="shared" si="1" ref="K19">I19+J19</f>
        <v>-444.08243074138284</v>
      </c>
    </row>
    <row r="20" spans="1:11" ht="15.5">
      <c r="A20" s="50"/>
      <c r="C20" s="52"/>
      <c r="D20" s="52"/>
      <c r="E20" s="108"/>
      <c r="F20" s="108"/>
      <c r="G20" s="108"/>
      <c r="H20" s="108"/>
      <c r="I20" s="108"/>
      <c r="J20" s="108"/>
      <c r="K20" s="109"/>
    </row>
    <row r="21" spans="1:11" ht="15.5">
      <c r="A21" s="50"/>
      <c r="C21" s="52"/>
      <c r="D21" s="52"/>
      <c r="E21" s="108"/>
      <c r="F21" s="108"/>
      <c r="G21" s="108"/>
      <c r="H21" s="108"/>
      <c r="I21" s="108"/>
      <c r="J21" s="108"/>
      <c r="K21" s="109"/>
    </row>
    <row r="22" spans="1:11" ht="15.5">
      <c r="A22" s="50"/>
      <c r="C22" s="52"/>
      <c r="D22" s="52"/>
      <c r="E22" s="108"/>
      <c r="F22" s="108"/>
      <c r="G22" s="108"/>
      <c r="H22" s="108"/>
      <c r="I22" s="108"/>
      <c r="J22" s="108"/>
      <c r="K22" s="109"/>
    </row>
    <row r="23" spans="1:11" ht="15.5">
      <c r="A23" s="50"/>
      <c r="C23" s="52"/>
      <c r="D23" s="52"/>
      <c r="E23" s="108"/>
      <c r="F23" s="108"/>
      <c r="G23" s="108"/>
      <c r="H23" s="108"/>
      <c r="I23" s="108"/>
      <c r="J23" s="108"/>
      <c r="K23" s="109"/>
    </row>
    <row r="24" spans="1:11" ht="15.5">
      <c r="A24" s="50"/>
      <c r="C24" s="52"/>
      <c r="D24" s="52"/>
      <c r="E24" s="108"/>
      <c r="F24" s="108"/>
      <c r="G24" s="108"/>
      <c r="H24" s="108"/>
      <c r="I24" s="108"/>
      <c r="J24" s="108"/>
      <c r="K24" s="109"/>
    </row>
    <row r="25" spans="1:11" ht="15.5">
      <c r="A25" s="50"/>
      <c r="C25" s="52"/>
      <c r="D25" s="52"/>
      <c r="E25" s="108"/>
      <c r="F25" s="108"/>
      <c r="G25" s="108"/>
      <c r="H25" s="108"/>
      <c r="I25" s="108"/>
      <c r="J25" s="108"/>
      <c r="K25" s="109"/>
    </row>
    <row r="26" spans="1:11" ht="15.5">
      <c r="A26" s="50"/>
      <c r="C26" s="52"/>
      <c r="D26" s="52"/>
      <c r="E26" s="108"/>
      <c r="F26" s="108"/>
      <c r="G26" s="108"/>
      <c r="H26" s="108"/>
      <c r="I26" s="108"/>
      <c r="J26" s="108"/>
      <c r="K26" s="109"/>
    </row>
    <row r="27" spans="1:11" ht="15.5">
      <c r="A27" s="50"/>
      <c r="C27" s="52"/>
      <c r="D27" s="52"/>
      <c r="E27" s="108"/>
      <c r="F27" s="108"/>
      <c r="G27" s="108"/>
      <c r="H27" s="108"/>
      <c r="I27" s="108"/>
      <c r="J27" s="108"/>
      <c r="K27" s="109"/>
    </row>
    <row r="28" spans="1:11" ht="15.5">
      <c r="A28" s="50"/>
      <c r="C28" s="52"/>
      <c r="D28" s="52"/>
      <c r="E28" s="108"/>
      <c r="F28" s="108"/>
      <c r="G28" s="108"/>
      <c r="H28" s="108"/>
      <c r="I28" s="108"/>
      <c r="J28" s="108"/>
      <c r="K28" s="109"/>
    </row>
    <row r="29" spans="1:11" ht="15.5">
      <c r="A29" s="50"/>
      <c r="C29" s="52"/>
      <c r="D29" s="52"/>
      <c r="E29" s="108"/>
      <c r="F29" s="108"/>
      <c r="G29" s="108"/>
      <c r="H29" s="108"/>
      <c r="I29" s="108"/>
      <c r="J29" s="108"/>
      <c r="K29" s="109"/>
    </row>
    <row r="30" spans="1:11" ht="15.5">
      <c r="A30" s="50"/>
      <c r="C30" s="52"/>
      <c r="D30" s="52"/>
      <c r="E30" s="108"/>
      <c r="F30" s="108"/>
      <c r="G30" s="108"/>
      <c r="H30" s="108"/>
      <c r="I30" s="108"/>
      <c r="J30" s="108"/>
      <c r="K30" s="109"/>
    </row>
    <row r="31" spans="1:11" ht="15.5">
      <c r="A31" s="50"/>
      <c r="C31" s="52"/>
      <c r="D31" s="52"/>
      <c r="E31" s="108"/>
      <c r="F31" s="108"/>
      <c r="G31" s="108"/>
      <c r="H31" s="108"/>
      <c r="I31" s="108"/>
      <c r="J31" s="108"/>
      <c r="K31" s="109"/>
    </row>
    <row r="32" spans="1:11" ht="15.5">
      <c r="A32" s="54"/>
      <c r="B32" s="55"/>
      <c r="C32" s="56"/>
      <c r="D32" s="56"/>
      <c r="E32" s="110"/>
      <c r="F32" s="110"/>
      <c r="G32" s="110"/>
      <c r="H32" s="110"/>
      <c r="I32" s="110"/>
      <c r="J32" s="110"/>
      <c r="K32" s="111"/>
    </row>
    <row r="33" spans="1:12" ht="15.5">
      <c r="A33" s="7" t="s">
        <v>344</v>
      </c>
      <c r="B33" s="34"/>
      <c r="C33" s="1" t="s">
        <v>422</v>
      </c>
      <c r="D33" s="2"/>
      <c r="E33" s="32"/>
      <c r="F33" s="294">
        <f>SUM(F18:F32)</f>
        <v>237934.72308943694</v>
      </c>
      <c r="G33" s="294">
        <f>SUM(G18:G32)</f>
        <v>273888.54561883584</v>
      </c>
      <c r="H33" s="294">
        <f>SUM(H18:H32)</f>
        <v>271471.18219178187</v>
      </c>
      <c r="I33" s="107"/>
      <c r="J33" s="107"/>
      <c r="K33" s="107"/>
      <c r="L33" s="107"/>
    </row>
    <row r="34" spans="1:5" ht="15.5">
      <c r="A34" s="52"/>
      <c r="B34" s="52"/>
      <c r="E34" s="52"/>
    </row>
    <row r="35" spans="1:9" ht="15.5">
      <c r="A35" s="32" t="s">
        <v>222</v>
      </c>
      <c r="C35" s="1" t="s">
        <v>478</v>
      </c>
      <c r="D35" s="118"/>
      <c r="I35" s="148">
        <f>-'Appendix H-Rev Req True-up Adj'!H51</f>
        <v>-34720747.836274087</v>
      </c>
    </row>
    <row r="36" spans="1:9" ht="15.5">
      <c r="A36" s="32" t="s">
        <v>223</v>
      </c>
      <c r="C36" s="1" t="s">
        <v>479</v>
      </c>
      <c r="I36" s="148">
        <f>'Appendix H-Rev Req True-up Adj'!H52</f>
        <v>-29562073.302521586</v>
      </c>
    </row>
    <row r="37" spans="1:1" ht="15.5">
      <c r="A37" s="32"/>
    </row>
    <row r="38" spans="1:9" ht="15.5">
      <c r="A38" s="7"/>
      <c r="G38" s="33"/>
      <c r="H38" s="33"/>
      <c r="I38" s="33"/>
    </row>
    <row r="39" spans="3:9" ht="15.5">
      <c r="C39" s="147"/>
      <c r="G39" s="33"/>
      <c r="H39" s="33"/>
      <c r="I39" s="33"/>
    </row>
    <row r="40" spans="1:12" ht="15.5">
      <c r="A40" s="52"/>
      <c r="B40" s="52"/>
      <c r="C40" s="52"/>
      <c r="D40" s="52"/>
      <c r="E40" s="52"/>
      <c r="F40" s="52"/>
      <c r="G40" s="52"/>
      <c r="H40" s="52"/>
      <c r="I40" s="52"/>
      <c r="J40" s="52"/>
      <c r="K40" s="52"/>
      <c r="L40" s="52"/>
    </row>
    <row r="41" spans="1:12" ht="15.5">
      <c r="A41" s="52" t="s">
        <v>435</v>
      </c>
      <c r="B41" s="52"/>
      <c r="C41" s="52"/>
      <c r="D41" s="52"/>
      <c r="E41" s="52"/>
      <c r="F41" s="52"/>
      <c r="G41" s="52"/>
      <c r="H41" s="52"/>
      <c r="I41" s="52"/>
      <c r="J41" s="52"/>
      <c r="K41" s="52"/>
      <c r="L41" s="52"/>
    </row>
    <row r="42" spans="1:12" ht="15.5">
      <c r="A42" s="62"/>
      <c r="B42" s="52" t="s">
        <v>363</v>
      </c>
      <c r="C42" s="52" t="s">
        <v>420</v>
      </c>
      <c r="D42" s="52"/>
      <c r="E42" s="52"/>
      <c r="F42" s="52"/>
      <c r="G42" s="52"/>
      <c r="H42" s="52"/>
      <c r="I42" s="52"/>
      <c r="J42" s="52"/>
      <c r="K42" s="52"/>
      <c r="L42" s="52"/>
    </row>
    <row r="43" spans="1:10" ht="15.5">
      <c r="A43" s="6"/>
      <c r="C43" s="7"/>
      <c r="D43" s="7"/>
      <c r="E43" s="32"/>
      <c r="F43" s="32"/>
      <c r="G43" s="4"/>
      <c r="J43" s="30"/>
    </row>
    <row r="44" spans="1:10" ht="15.5">
      <c r="A44" s="6"/>
      <c r="C44" s="7"/>
      <c r="D44" s="7"/>
      <c r="E44" s="32"/>
      <c r="F44" s="32"/>
      <c r="G44" s="4"/>
      <c r="J44" s="30"/>
    </row>
    <row r="45" spans="3:12" ht="15.5">
      <c r="C45" s="52"/>
      <c r="D45" s="52"/>
      <c r="E45" s="52"/>
      <c r="F45" s="52"/>
      <c r="G45" s="52"/>
      <c r="H45" s="52"/>
      <c r="I45" s="52"/>
      <c r="J45" s="52"/>
      <c r="K45" s="52"/>
      <c r="L45" s="52"/>
    </row>
    <row r="46" spans="3:12" ht="15.5">
      <c r="C46" s="52"/>
      <c r="D46" s="52"/>
      <c r="E46" s="52"/>
      <c r="F46" s="52"/>
      <c r="G46" s="52"/>
      <c r="H46" s="52"/>
      <c r="I46" s="52"/>
      <c r="J46" s="52"/>
      <c r="K46" s="52"/>
      <c r="L46" s="52"/>
    </row>
    <row r="47" spans="3:12" ht="15.5">
      <c r="C47" s="52"/>
      <c r="D47" s="52"/>
      <c r="E47" s="52"/>
      <c r="F47" s="52"/>
      <c r="G47" s="52"/>
      <c r="H47" s="52"/>
      <c r="I47" s="52"/>
      <c r="J47" s="52"/>
      <c r="K47" s="52"/>
      <c r="L47" s="52"/>
    </row>
    <row r="48" spans="3:12" ht="15.5">
      <c r="C48" s="52"/>
      <c r="D48" s="52"/>
      <c r="E48" s="52"/>
      <c r="F48" s="52"/>
      <c r="G48" s="52"/>
      <c r="H48" s="52"/>
      <c r="I48" s="52"/>
      <c r="J48" s="52"/>
      <c r="K48" s="52"/>
      <c r="L48" s="52"/>
    </row>
    <row r="49" spans="3:12" ht="15.5">
      <c r="C49" s="52"/>
      <c r="D49" s="52"/>
      <c r="E49" s="52"/>
      <c r="F49" s="52"/>
      <c r="G49" s="52"/>
      <c r="H49" s="52"/>
      <c r="I49" s="52"/>
      <c r="J49" s="52"/>
      <c r="K49" s="52"/>
      <c r="L49" s="52"/>
    </row>
    <row r="50" spans="3:12" ht="15.5">
      <c r="C50" s="52"/>
      <c r="D50" s="52"/>
      <c r="E50" s="52"/>
      <c r="F50" s="52"/>
      <c r="G50" s="52"/>
      <c r="H50" s="52"/>
      <c r="I50" s="52"/>
      <c r="J50" s="52"/>
      <c r="K50" s="52"/>
      <c r="L50" s="52"/>
    </row>
    <row r="51" spans="3:12" ht="15.5">
      <c r="C51" s="52"/>
      <c r="D51" s="52"/>
      <c r="E51" s="52"/>
      <c r="F51" s="52"/>
      <c r="G51" s="52"/>
      <c r="H51" s="52"/>
      <c r="I51" s="52"/>
      <c r="J51" s="52"/>
      <c r="K51" s="52"/>
      <c r="L51" s="52"/>
    </row>
    <row r="52" spans="3:12" ht="15.5">
      <c r="C52" s="52"/>
      <c r="D52" s="52"/>
      <c r="E52" s="52"/>
      <c r="F52" s="52"/>
      <c r="G52" s="52"/>
      <c r="H52" s="52"/>
      <c r="I52" s="52"/>
      <c r="J52" s="52"/>
      <c r="K52" s="52"/>
      <c r="L52" s="52"/>
    </row>
    <row r="53" spans="3:12" ht="15.5">
      <c r="C53" s="52"/>
      <c r="D53" s="52"/>
      <c r="E53" s="52"/>
      <c r="F53" s="52"/>
      <c r="G53" s="52"/>
      <c r="H53" s="52"/>
      <c r="I53" s="52"/>
      <c r="J53" s="52"/>
      <c r="K53" s="52"/>
      <c r="L53" s="52"/>
    </row>
    <row r="54" spans="3:12" ht="15.5">
      <c r="C54" s="52"/>
      <c r="D54" s="52"/>
      <c r="E54" s="52"/>
      <c r="F54" s="52"/>
      <c r="G54" s="52"/>
      <c r="H54" s="52"/>
      <c r="I54" s="52"/>
      <c r="J54" s="52"/>
      <c r="K54" s="52"/>
      <c r="L54" s="52"/>
    </row>
    <row r="55" spans="3:12" ht="15.5">
      <c r="C55" s="52"/>
      <c r="D55" s="52"/>
      <c r="E55" s="52"/>
      <c r="F55" s="52"/>
      <c r="G55" s="52"/>
      <c r="H55" s="52"/>
      <c r="I55" s="52"/>
      <c r="J55" s="52"/>
      <c r="K55" s="52"/>
      <c r="L55" s="52"/>
    </row>
    <row r="56" spans="3:12" ht="15.5">
      <c r="C56" s="52"/>
      <c r="D56" s="52"/>
      <c r="E56" s="52"/>
      <c r="F56" s="52"/>
      <c r="G56" s="52"/>
      <c r="H56" s="52"/>
      <c r="I56" s="52"/>
      <c r="J56" s="52"/>
      <c r="K56" s="52"/>
      <c r="L56" s="52"/>
    </row>
    <row r="57" spans="3:12" ht="15.5">
      <c r="C57" s="52"/>
      <c r="D57" s="52"/>
      <c r="E57" s="52"/>
      <c r="F57" s="52"/>
      <c r="G57" s="52"/>
      <c r="H57" s="52"/>
      <c r="I57" s="52"/>
      <c r="J57" s="52"/>
      <c r="K57" s="52"/>
      <c r="L57" s="52"/>
    </row>
    <row r="58" spans="3:12" ht="15.5">
      <c r="C58" s="52"/>
      <c r="D58" s="52"/>
      <c r="E58" s="52"/>
      <c r="F58" s="52"/>
      <c r="G58" s="52"/>
      <c r="H58" s="52"/>
      <c r="I58" s="52"/>
      <c r="J58" s="52"/>
      <c r="K58" s="52"/>
      <c r="L58" s="52"/>
    </row>
    <row r="59" spans="3:12" ht="15.5">
      <c r="C59" s="52"/>
      <c r="D59" s="52"/>
      <c r="E59" s="52"/>
      <c r="F59" s="52"/>
      <c r="G59" s="52"/>
      <c r="H59" s="52"/>
      <c r="I59" s="52"/>
      <c r="J59" s="52"/>
      <c r="K59" s="52"/>
      <c r="L59" s="52"/>
    </row>
    <row r="60" spans="3:12" ht="15.5">
      <c r="C60" s="52"/>
      <c r="D60" s="52"/>
      <c r="E60" s="52"/>
      <c r="F60" s="52"/>
      <c r="G60" s="52"/>
      <c r="H60" s="52"/>
      <c r="I60" s="52"/>
      <c r="J60" s="52"/>
      <c r="K60" s="52"/>
      <c r="L60" s="52"/>
    </row>
    <row r="61" spans="3:12" ht="15.5">
      <c r="C61" s="52"/>
      <c r="D61" s="52"/>
      <c r="E61" s="52"/>
      <c r="F61" s="52"/>
      <c r="G61" s="52"/>
      <c r="H61" s="52"/>
      <c r="I61" s="52"/>
      <c r="J61" s="52"/>
      <c r="K61" s="52"/>
      <c r="L61" s="52"/>
    </row>
    <row r="62" spans="3:12" ht="15.5">
      <c r="C62" s="52"/>
      <c r="D62" s="52"/>
      <c r="E62" s="52"/>
      <c r="F62" s="52"/>
      <c r="G62" s="52"/>
      <c r="H62" s="52"/>
      <c r="I62" s="52"/>
      <c r="J62" s="52"/>
      <c r="K62" s="52"/>
      <c r="L62" s="52"/>
    </row>
    <row r="63" spans="3:12" ht="15.5">
      <c r="C63" s="52"/>
      <c r="D63" s="52"/>
      <c r="E63" s="52"/>
      <c r="F63" s="52"/>
      <c r="G63" s="52"/>
      <c r="H63" s="52"/>
      <c r="I63" s="52"/>
      <c r="J63" s="52"/>
      <c r="K63" s="52"/>
      <c r="L63" s="52"/>
    </row>
    <row r="64" spans="3:12" ht="15.5">
      <c r="C64" s="52"/>
      <c r="D64" s="52"/>
      <c r="E64" s="52"/>
      <c r="F64" s="52"/>
      <c r="G64" s="52"/>
      <c r="H64" s="52"/>
      <c r="I64" s="52"/>
      <c r="J64" s="52"/>
      <c r="K64" s="52"/>
      <c r="L64" s="52"/>
    </row>
    <row r="65" spans="3:12" ht="15.5">
      <c r="C65" s="52"/>
      <c r="D65" s="52"/>
      <c r="E65" s="52"/>
      <c r="F65" s="52"/>
      <c r="G65" s="52"/>
      <c r="H65" s="52"/>
      <c r="I65" s="52"/>
      <c r="J65" s="52"/>
      <c r="K65" s="52"/>
      <c r="L65" s="52"/>
    </row>
    <row r="66" spans="3:12" ht="15.5">
      <c r="C66" s="52"/>
      <c r="D66" s="52"/>
      <c r="E66" s="52"/>
      <c r="F66" s="52"/>
      <c r="G66" s="52"/>
      <c r="H66" s="52"/>
      <c r="I66" s="52"/>
      <c r="J66" s="52"/>
      <c r="K66" s="52"/>
      <c r="L66" s="52"/>
    </row>
    <row r="67" spans="3:12" ht="15.5">
      <c r="C67" s="52"/>
      <c r="D67" s="52"/>
      <c r="E67" s="52"/>
      <c r="F67" s="52"/>
      <c r="G67" s="52"/>
      <c r="H67" s="52"/>
      <c r="I67" s="52"/>
      <c r="J67" s="52"/>
      <c r="K67" s="52"/>
      <c r="L67" s="52"/>
    </row>
    <row r="68" spans="3:12" ht="15.5">
      <c r="C68" s="52"/>
      <c r="D68" s="52"/>
      <c r="E68" s="52"/>
      <c r="F68" s="52"/>
      <c r="G68" s="52"/>
      <c r="H68" s="52"/>
      <c r="I68" s="52"/>
      <c r="J68" s="52"/>
      <c r="K68" s="52"/>
      <c r="L68" s="52"/>
    </row>
    <row r="69" spans="3:12" ht="15.5">
      <c r="C69" s="52"/>
      <c r="D69" s="52"/>
      <c r="E69" s="52"/>
      <c r="F69" s="52"/>
      <c r="G69" s="52"/>
      <c r="H69" s="52"/>
      <c r="I69" s="52"/>
      <c r="J69" s="52"/>
      <c r="K69" s="52"/>
      <c r="L69" s="52"/>
    </row>
    <row r="70" spans="3:12" ht="15.5">
      <c r="C70" s="52"/>
      <c r="D70" s="52"/>
      <c r="E70" s="52"/>
      <c r="F70" s="52"/>
      <c r="G70" s="52"/>
      <c r="H70" s="52"/>
      <c r="I70" s="52"/>
      <c r="J70" s="52"/>
      <c r="K70" s="52"/>
      <c r="L70" s="52"/>
    </row>
    <row r="71" spans="3:12" ht="15.5">
      <c r="C71" s="52"/>
      <c r="D71" s="52"/>
      <c r="E71" s="52"/>
      <c r="F71" s="52"/>
      <c r="G71" s="52"/>
      <c r="H71" s="52"/>
      <c r="I71" s="52"/>
      <c r="J71" s="52"/>
      <c r="K71" s="52"/>
      <c r="L71" s="52"/>
    </row>
    <row r="72" spans="3:12" ht="15.5">
      <c r="C72" s="52"/>
      <c r="D72" s="52"/>
      <c r="E72" s="52"/>
      <c r="F72" s="52"/>
      <c r="G72" s="52"/>
      <c r="H72" s="52"/>
      <c r="I72" s="52"/>
      <c r="J72" s="52"/>
      <c r="K72" s="52"/>
      <c r="L72" s="52"/>
    </row>
    <row r="73" spans="3:12" ht="15.5">
      <c r="C73" s="52"/>
      <c r="D73" s="52"/>
      <c r="E73" s="52"/>
      <c r="F73" s="52"/>
      <c r="G73" s="52"/>
      <c r="H73" s="52"/>
      <c r="I73" s="52"/>
      <c r="J73" s="52"/>
      <c r="K73" s="52"/>
      <c r="L73" s="52"/>
    </row>
    <row r="74" spans="3:12" ht="15.5">
      <c r="C74" s="52"/>
      <c r="D74" s="52"/>
      <c r="E74" s="52"/>
      <c r="F74" s="52"/>
      <c r="G74" s="52"/>
      <c r="H74" s="52"/>
      <c r="I74" s="52"/>
      <c r="J74" s="52"/>
      <c r="K74" s="52"/>
      <c r="L74" s="52"/>
    </row>
    <row r="75" spans="3:12" ht="15.5">
      <c r="C75" s="52"/>
      <c r="D75" s="52"/>
      <c r="E75" s="52"/>
      <c r="F75" s="52"/>
      <c r="G75" s="52"/>
      <c r="H75" s="52"/>
      <c r="I75" s="52"/>
      <c r="J75" s="52"/>
      <c r="K75" s="52"/>
      <c r="L75" s="52"/>
    </row>
    <row r="76" spans="3:12" ht="15.5">
      <c r="C76" s="52"/>
      <c r="D76" s="52"/>
      <c r="E76" s="52"/>
      <c r="F76" s="52"/>
      <c r="G76" s="52"/>
      <c r="H76" s="52"/>
      <c r="I76" s="52"/>
      <c r="J76" s="52"/>
      <c r="K76" s="52"/>
      <c r="L76" s="52"/>
    </row>
    <row r="77" spans="3:12" ht="15.5">
      <c r="C77" s="52"/>
      <c r="D77" s="52"/>
      <c r="E77" s="52"/>
      <c r="F77" s="52"/>
      <c r="G77" s="52"/>
      <c r="H77" s="52"/>
      <c r="I77" s="52"/>
      <c r="J77" s="52"/>
      <c r="K77" s="52"/>
      <c r="L77" s="52"/>
    </row>
    <row r="78" spans="3:12" ht="15.5">
      <c r="C78" s="52"/>
      <c r="D78" s="52"/>
      <c r="E78" s="52"/>
      <c r="F78" s="52"/>
      <c r="G78" s="52"/>
      <c r="H78" s="52"/>
      <c r="I78" s="52"/>
      <c r="J78" s="52"/>
      <c r="K78" s="52"/>
      <c r="L78" s="52"/>
    </row>
    <row r="79" spans="3:12" ht="15.5">
      <c r="C79" s="52"/>
      <c r="D79" s="52"/>
      <c r="E79" s="52"/>
      <c r="F79" s="52"/>
      <c r="G79" s="52"/>
      <c r="H79" s="52"/>
      <c r="I79" s="52"/>
      <c r="J79" s="52"/>
      <c r="K79" s="52"/>
      <c r="L79" s="52"/>
    </row>
    <row r="80" spans="3:12" ht="15.5">
      <c r="C80" s="52"/>
      <c r="D80" s="52"/>
      <c r="E80" s="52"/>
      <c r="F80" s="52"/>
      <c r="G80" s="52"/>
      <c r="H80" s="52"/>
      <c r="I80" s="52"/>
      <c r="J80" s="52"/>
      <c r="K80" s="52"/>
      <c r="L80" s="52"/>
    </row>
    <row r="81" spans="3:12" ht="15.5">
      <c r="C81" s="52"/>
      <c r="D81" s="52"/>
      <c r="E81" s="52"/>
      <c r="F81" s="52"/>
      <c r="G81" s="52"/>
      <c r="H81" s="52"/>
      <c r="I81" s="52"/>
      <c r="J81" s="52"/>
      <c r="K81" s="52"/>
      <c r="L81" s="52"/>
    </row>
    <row r="82" spans="3:12" ht="15.5">
      <c r="C82" s="52"/>
      <c r="D82" s="52"/>
      <c r="E82" s="52"/>
      <c r="F82" s="52"/>
      <c r="G82" s="52"/>
      <c r="H82" s="52"/>
      <c r="I82" s="52"/>
      <c r="J82" s="52"/>
      <c r="K82" s="52"/>
      <c r="L82" s="52"/>
    </row>
    <row r="83" spans="3:12" ht="15.5">
      <c r="C83" s="52"/>
      <c r="D83" s="52"/>
      <c r="E83" s="52"/>
      <c r="F83" s="52"/>
      <c r="G83" s="52"/>
      <c r="H83" s="52"/>
      <c r="I83" s="52"/>
      <c r="J83" s="52"/>
      <c r="K83" s="52"/>
      <c r="L83" s="52"/>
    </row>
    <row r="84" spans="3:12" ht="15.5">
      <c r="C84" s="52"/>
      <c r="D84" s="52"/>
      <c r="E84" s="52"/>
      <c r="F84" s="52"/>
      <c r="G84" s="52"/>
      <c r="H84" s="52"/>
      <c r="I84" s="52"/>
      <c r="J84" s="52"/>
      <c r="K84" s="52"/>
      <c r="L84" s="52"/>
    </row>
    <row r="85" spans="3:12" ht="15.5">
      <c r="C85" s="52"/>
      <c r="D85" s="52"/>
      <c r="E85" s="52"/>
      <c r="F85" s="52"/>
      <c r="G85" s="52"/>
      <c r="H85" s="52"/>
      <c r="I85" s="52"/>
      <c r="J85" s="52"/>
      <c r="K85" s="52"/>
      <c r="L85" s="52"/>
    </row>
    <row r="86" spans="3:12" ht="15.5">
      <c r="C86" s="52"/>
      <c r="D86" s="52"/>
      <c r="E86" s="52"/>
      <c r="F86" s="52"/>
      <c r="G86" s="52"/>
      <c r="H86" s="52"/>
      <c r="I86" s="52"/>
      <c r="J86" s="52"/>
      <c r="K86" s="52"/>
      <c r="L86" s="52"/>
    </row>
    <row r="87" spans="3:12" ht="15.5">
      <c r="C87" s="52"/>
      <c r="D87" s="52"/>
      <c r="E87" s="52"/>
      <c r="F87" s="52"/>
      <c r="G87" s="52"/>
      <c r="H87" s="52"/>
      <c r="I87" s="52"/>
      <c r="J87" s="52"/>
      <c r="K87" s="52"/>
      <c r="L87" s="52"/>
    </row>
    <row r="88" spans="3:12" ht="15.5">
      <c r="C88" s="52"/>
      <c r="D88" s="52"/>
      <c r="E88" s="52"/>
      <c r="F88" s="52"/>
      <c r="G88" s="52"/>
      <c r="H88" s="52"/>
      <c r="I88" s="52"/>
      <c r="J88" s="52"/>
      <c r="K88" s="52"/>
      <c r="L88" s="52"/>
    </row>
    <row r="89" spans="3:12" ht="15.5">
      <c r="C89" s="52"/>
      <c r="D89" s="52"/>
      <c r="E89" s="52"/>
      <c r="F89" s="52"/>
      <c r="G89" s="52"/>
      <c r="H89" s="52"/>
      <c r="I89" s="52"/>
      <c r="J89" s="52"/>
      <c r="K89" s="52"/>
      <c r="L89" s="52"/>
    </row>
    <row r="90" spans="3:12" ht="15.5">
      <c r="C90" s="52"/>
      <c r="D90" s="52"/>
      <c r="E90" s="52"/>
      <c r="F90" s="52"/>
      <c r="G90" s="52"/>
      <c r="H90" s="52"/>
      <c r="I90" s="52"/>
      <c r="J90" s="52"/>
      <c r="K90" s="52"/>
      <c r="L90" s="52"/>
    </row>
    <row r="91" spans="3:12" ht="15.5">
      <c r="C91" s="52"/>
      <c r="D91" s="52"/>
      <c r="E91" s="52"/>
      <c r="F91" s="52"/>
      <c r="G91" s="52"/>
      <c r="H91" s="52"/>
      <c r="I91" s="52"/>
      <c r="J91" s="52"/>
      <c r="K91" s="52"/>
      <c r="L91" s="52"/>
    </row>
    <row r="92" spans="3:12" ht="15.5">
      <c r="C92" s="52"/>
      <c r="D92" s="52"/>
      <c r="E92" s="52"/>
      <c r="F92" s="52"/>
      <c r="G92" s="52"/>
      <c r="H92" s="52"/>
      <c r="I92" s="52"/>
      <c r="J92" s="52"/>
      <c r="K92" s="52"/>
      <c r="L92" s="52"/>
    </row>
    <row r="93" spans="3:12" ht="15.5">
      <c r="C93" s="52"/>
      <c r="D93" s="52"/>
      <c r="E93" s="52"/>
      <c r="F93" s="52"/>
      <c r="G93" s="52"/>
      <c r="H93" s="52"/>
      <c r="I93" s="52"/>
      <c r="J93" s="52"/>
      <c r="K93" s="52"/>
      <c r="L93" s="52"/>
    </row>
    <row r="94" spans="3:12" ht="15.5">
      <c r="C94" s="52"/>
      <c r="D94" s="52"/>
      <c r="E94" s="52"/>
      <c r="F94" s="52"/>
      <c r="G94" s="52"/>
      <c r="H94" s="52"/>
      <c r="I94" s="52"/>
      <c r="J94" s="52"/>
      <c r="K94" s="52"/>
      <c r="L94" s="52"/>
    </row>
    <row r="95" spans="3:12" ht="15.5">
      <c r="C95" s="52"/>
      <c r="D95" s="52"/>
      <c r="E95" s="52"/>
      <c r="F95" s="52"/>
      <c r="G95" s="52"/>
      <c r="H95" s="52"/>
      <c r="I95" s="52"/>
      <c r="J95" s="52"/>
      <c r="K95" s="52"/>
      <c r="L95" s="52"/>
    </row>
    <row r="96" spans="3:12" ht="15.5">
      <c r="C96" s="52"/>
      <c r="D96" s="52"/>
      <c r="E96" s="52"/>
      <c r="F96" s="52"/>
      <c r="G96" s="52"/>
      <c r="H96" s="52"/>
      <c r="I96" s="52"/>
      <c r="J96" s="52"/>
      <c r="K96" s="52"/>
      <c r="L96" s="52"/>
    </row>
    <row r="97" spans="3:12" ht="15.5">
      <c r="C97" s="52"/>
      <c r="D97" s="52"/>
      <c r="E97" s="52"/>
      <c r="F97" s="52"/>
      <c r="G97" s="52"/>
      <c r="H97" s="52"/>
      <c r="I97" s="52"/>
      <c r="J97" s="52"/>
      <c r="K97" s="52"/>
      <c r="L97" s="52"/>
    </row>
    <row r="98" spans="3:12" ht="15.5">
      <c r="C98" s="52"/>
      <c r="D98" s="52"/>
      <c r="E98" s="52"/>
      <c r="F98" s="52"/>
      <c r="G98" s="52"/>
      <c r="H98" s="52"/>
      <c r="I98" s="52"/>
      <c r="J98" s="52"/>
      <c r="K98" s="52"/>
      <c r="L98" s="52"/>
    </row>
    <row r="99" spans="3:12" ht="15.5">
      <c r="C99" s="52"/>
      <c r="D99" s="52"/>
      <c r="E99" s="52"/>
      <c r="F99" s="52"/>
      <c r="G99" s="52"/>
      <c r="H99" s="52"/>
      <c r="I99" s="52"/>
      <c r="J99" s="52"/>
      <c r="K99" s="52"/>
      <c r="L99" s="52"/>
    </row>
    <row r="100" spans="3:12" ht="15.5">
      <c r="C100" s="52"/>
      <c r="D100" s="52"/>
      <c r="E100" s="52"/>
      <c r="F100" s="52"/>
      <c r="G100" s="52"/>
      <c r="H100" s="52"/>
      <c r="I100" s="52"/>
      <c r="J100" s="52"/>
      <c r="K100" s="52"/>
      <c r="L100" s="52"/>
    </row>
    <row r="101" spans="3:12" ht="15.5">
      <c r="C101" s="52"/>
      <c r="D101" s="52"/>
      <c r="E101" s="52"/>
      <c r="F101" s="52"/>
      <c r="G101" s="52"/>
      <c r="H101" s="52"/>
      <c r="I101" s="52"/>
      <c r="J101" s="52"/>
      <c r="K101" s="52"/>
      <c r="L101" s="52"/>
    </row>
    <row r="102" spans="3:12" ht="15.5">
      <c r="C102" s="52"/>
      <c r="D102" s="52"/>
      <c r="E102" s="52"/>
      <c r="F102" s="52"/>
      <c r="G102" s="52"/>
      <c r="H102" s="52"/>
      <c r="I102" s="52"/>
      <c r="J102" s="52"/>
      <c r="K102" s="52"/>
      <c r="L102" s="52"/>
    </row>
    <row r="103" spans="3:12" ht="15.5">
      <c r="C103" s="52"/>
      <c r="D103" s="52"/>
      <c r="E103" s="52"/>
      <c r="F103" s="52"/>
      <c r="G103" s="52"/>
      <c r="H103" s="52"/>
      <c r="I103" s="52"/>
      <c r="J103" s="52"/>
      <c r="K103" s="52"/>
      <c r="L103" s="52"/>
    </row>
    <row r="104" spans="3:12" ht="15.5">
      <c r="C104" s="52"/>
      <c r="D104" s="52"/>
      <c r="E104" s="52"/>
      <c r="F104" s="52"/>
      <c r="G104" s="52"/>
      <c r="H104" s="52"/>
      <c r="I104" s="52"/>
      <c r="J104" s="52"/>
      <c r="K104" s="52"/>
      <c r="L104" s="52"/>
    </row>
    <row r="105" spans="3:12" ht="15.5">
      <c r="C105" s="52"/>
      <c r="D105" s="52"/>
      <c r="E105" s="52"/>
      <c r="F105" s="52"/>
      <c r="G105" s="52"/>
      <c r="H105" s="52"/>
      <c r="I105" s="52"/>
      <c r="J105" s="52"/>
      <c r="K105" s="52"/>
      <c r="L105" s="52"/>
    </row>
    <row r="106" spans="3:12" ht="15.5">
      <c r="C106" s="52"/>
      <c r="D106" s="52"/>
      <c r="E106" s="52"/>
      <c r="F106" s="52"/>
      <c r="G106" s="52"/>
      <c r="H106" s="52"/>
      <c r="I106" s="52"/>
      <c r="J106" s="52"/>
      <c r="K106" s="52"/>
      <c r="L106" s="52"/>
    </row>
    <row r="107" spans="3:12" ht="15.5">
      <c r="C107" s="52"/>
      <c r="D107" s="52"/>
      <c r="E107" s="52"/>
      <c r="F107" s="52"/>
      <c r="G107" s="52"/>
      <c r="H107" s="52"/>
      <c r="I107" s="52"/>
      <c r="J107" s="52"/>
      <c r="K107" s="52"/>
      <c r="L107" s="52"/>
    </row>
    <row r="108" spans="3:12" ht="15.5">
      <c r="C108" s="52"/>
      <c r="D108" s="52"/>
      <c r="E108" s="52"/>
      <c r="F108" s="52"/>
      <c r="G108" s="52"/>
      <c r="H108" s="52"/>
      <c r="I108" s="52"/>
      <c r="J108" s="52"/>
      <c r="K108" s="52"/>
      <c r="L108" s="52"/>
    </row>
    <row r="109" spans="3:12" ht="15.5">
      <c r="C109" s="52"/>
      <c r="D109" s="52"/>
      <c r="E109" s="52"/>
      <c r="F109" s="52"/>
      <c r="G109" s="52"/>
      <c r="H109" s="52"/>
      <c r="I109" s="52"/>
      <c r="J109" s="52"/>
      <c r="K109" s="52"/>
      <c r="L109" s="52"/>
    </row>
    <row r="110" spans="3:12" ht="15.5">
      <c r="C110" s="52"/>
      <c r="D110" s="52"/>
      <c r="E110" s="52"/>
      <c r="F110" s="52"/>
      <c r="G110" s="52"/>
      <c r="H110" s="52"/>
      <c r="I110" s="52"/>
      <c r="J110" s="52"/>
      <c r="K110" s="52"/>
      <c r="L110" s="52"/>
    </row>
    <row r="111" spans="3:12" ht="15.5">
      <c r="C111" s="52"/>
      <c r="D111" s="52"/>
      <c r="E111" s="52"/>
      <c r="F111" s="52"/>
      <c r="G111" s="52"/>
      <c r="H111" s="52"/>
      <c r="I111" s="52"/>
      <c r="J111" s="52"/>
      <c r="K111" s="52"/>
      <c r="L111" s="52"/>
    </row>
    <row r="112" spans="3:12" ht="15.5">
      <c r="C112" s="52"/>
      <c r="D112" s="52"/>
      <c r="E112" s="52"/>
      <c r="F112" s="52"/>
      <c r="G112" s="52"/>
      <c r="H112" s="52"/>
      <c r="I112" s="52"/>
      <c r="J112" s="52"/>
      <c r="K112" s="52"/>
      <c r="L112" s="52"/>
    </row>
    <row r="113" spans="3:12" ht="15.5">
      <c r="C113" s="52"/>
      <c r="D113" s="52"/>
      <c r="E113" s="52"/>
      <c r="F113" s="52"/>
      <c r="G113" s="52"/>
      <c r="H113" s="52"/>
      <c r="I113" s="52"/>
      <c r="J113" s="52"/>
      <c r="K113" s="52"/>
      <c r="L113" s="52"/>
    </row>
    <row r="114" spans="3:12" ht="15.5">
      <c r="C114" s="52"/>
      <c r="D114" s="52"/>
      <c r="E114" s="52"/>
      <c r="F114" s="52"/>
      <c r="G114" s="52"/>
      <c r="H114" s="52"/>
      <c r="I114" s="52"/>
      <c r="J114" s="52"/>
      <c r="K114" s="52"/>
      <c r="L114" s="52"/>
    </row>
    <row r="115" spans="3:12" ht="15.5">
      <c r="C115" s="52"/>
      <c r="D115" s="52"/>
      <c r="E115" s="52"/>
      <c r="F115" s="52"/>
      <c r="G115" s="52"/>
      <c r="H115" s="52"/>
      <c r="I115" s="52"/>
      <c r="J115" s="52"/>
      <c r="K115" s="52"/>
      <c r="L115" s="52"/>
    </row>
    <row r="116" spans="3:12" ht="15.5">
      <c r="C116" s="52"/>
      <c r="D116" s="52"/>
      <c r="E116" s="52"/>
      <c r="F116" s="52"/>
      <c r="G116" s="52"/>
      <c r="H116" s="52"/>
      <c r="I116" s="52"/>
      <c r="J116" s="52"/>
      <c r="K116" s="52"/>
      <c r="L116" s="52"/>
    </row>
    <row r="117" spans="3:12" ht="15.5">
      <c r="C117" s="52"/>
      <c r="D117" s="52"/>
      <c r="E117" s="52"/>
      <c r="F117" s="52"/>
      <c r="G117" s="52"/>
      <c r="H117" s="52"/>
      <c r="I117" s="52"/>
      <c r="J117" s="52"/>
      <c r="K117" s="52"/>
      <c r="L117" s="52"/>
    </row>
    <row r="118" spans="3:12" ht="15.5">
      <c r="C118" s="52"/>
      <c r="D118" s="52"/>
      <c r="E118" s="52"/>
      <c r="F118" s="52"/>
      <c r="G118" s="52"/>
      <c r="H118" s="52"/>
      <c r="I118" s="52"/>
      <c r="J118" s="52"/>
      <c r="K118" s="52"/>
      <c r="L118" s="52"/>
    </row>
    <row r="119" spans="3:12" ht="15.5">
      <c r="C119" s="52"/>
      <c r="D119" s="52"/>
      <c r="E119" s="52"/>
      <c r="F119" s="52"/>
      <c r="G119" s="52"/>
      <c r="H119" s="52"/>
      <c r="I119" s="52"/>
      <c r="J119" s="52"/>
      <c r="K119" s="52"/>
      <c r="L119" s="52"/>
    </row>
    <row r="120" spans="3:12" ht="15.5">
      <c r="C120" s="52"/>
      <c r="D120" s="52"/>
      <c r="E120" s="52"/>
      <c r="F120" s="52"/>
      <c r="G120" s="52"/>
      <c r="H120" s="52"/>
      <c r="I120" s="52"/>
      <c r="J120" s="52"/>
      <c r="K120" s="52"/>
      <c r="L120" s="52"/>
    </row>
    <row r="121" spans="3:12" ht="15.5">
      <c r="C121" s="52"/>
      <c r="D121" s="52"/>
      <c r="E121" s="52"/>
      <c r="F121" s="52"/>
      <c r="G121" s="52"/>
      <c r="H121" s="52"/>
      <c r="I121" s="52"/>
      <c r="J121" s="52"/>
      <c r="K121" s="52"/>
      <c r="L121" s="52"/>
    </row>
    <row r="122" spans="3:12" ht="15.5">
      <c r="C122" s="52"/>
      <c r="D122" s="52"/>
      <c r="E122" s="52"/>
      <c r="F122" s="52"/>
      <c r="G122" s="52"/>
      <c r="H122" s="52"/>
      <c r="I122" s="52"/>
      <c r="J122" s="52"/>
      <c r="K122" s="52"/>
      <c r="L122" s="52"/>
    </row>
    <row r="123" spans="3:12" ht="15.5">
      <c r="C123" s="52"/>
      <c r="D123" s="52"/>
      <c r="E123" s="52"/>
      <c r="F123" s="52"/>
      <c r="G123" s="52"/>
      <c r="H123" s="52"/>
      <c r="I123" s="52"/>
      <c r="J123" s="52"/>
      <c r="K123" s="52"/>
      <c r="L123" s="52"/>
    </row>
    <row r="124" spans="3:12" ht="15.5">
      <c r="C124" s="52"/>
      <c r="D124" s="52"/>
      <c r="E124" s="52"/>
      <c r="F124" s="52"/>
      <c r="G124" s="52"/>
      <c r="H124" s="52"/>
      <c r="I124" s="52"/>
      <c r="J124" s="52"/>
      <c r="K124" s="52"/>
      <c r="L124" s="52"/>
    </row>
    <row r="125" spans="3:12" ht="15.5">
      <c r="C125" s="52"/>
      <c r="D125" s="52"/>
      <c r="E125" s="52"/>
      <c r="F125" s="52"/>
      <c r="G125" s="52"/>
      <c r="H125" s="52"/>
      <c r="I125" s="52"/>
      <c r="J125" s="52"/>
      <c r="K125" s="52"/>
      <c r="L125" s="52"/>
    </row>
    <row r="126" spans="3:12" ht="15.5">
      <c r="C126" s="52"/>
      <c r="D126" s="52"/>
      <c r="E126" s="52"/>
      <c r="F126" s="52"/>
      <c r="G126" s="52"/>
      <c r="H126" s="52"/>
      <c r="I126" s="52"/>
      <c r="J126" s="52"/>
      <c r="K126" s="52"/>
      <c r="L126" s="52"/>
    </row>
    <row r="127" spans="3:12" ht="15.5">
      <c r="C127" s="52"/>
      <c r="D127" s="52"/>
      <c r="E127" s="52"/>
      <c r="F127" s="52"/>
      <c r="G127" s="52"/>
      <c r="H127" s="52"/>
      <c r="I127" s="52"/>
      <c r="J127" s="52"/>
      <c r="K127" s="52"/>
      <c r="L127" s="52"/>
    </row>
    <row r="128" spans="3:12" ht="15.5">
      <c r="C128" s="52"/>
      <c r="D128" s="52"/>
      <c r="E128" s="52"/>
      <c r="F128" s="52"/>
      <c r="G128" s="52"/>
      <c r="H128" s="52"/>
      <c r="I128" s="52"/>
      <c r="J128" s="52"/>
      <c r="K128" s="52"/>
      <c r="L128" s="52"/>
    </row>
    <row r="129" spans="3:12" ht="15.5">
      <c r="C129" s="52"/>
      <c r="D129" s="52"/>
      <c r="E129" s="52"/>
      <c r="F129" s="52"/>
      <c r="G129" s="52"/>
      <c r="H129" s="52"/>
      <c r="I129" s="52"/>
      <c r="J129" s="52"/>
      <c r="K129" s="52"/>
      <c r="L129" s="52"/>
    </row>
    <row r="130" spans="3:12" ht="15.5">
      <c r="C130" s="52"/>
      <c r="D130" s="52"/>
      <c r="E130" s="52"/>
      <c r="F130" s="52"/>
      <c r="G130" s="52"/>
      <c r="H130" s="52"/>
      <c r="I130" s="52"/>
      <c r="J130" s="52"/>
      <c r="K130" s="52"/>
      <c r="L130" s="52"/>
    </row>
    <row r="131" spans="3:12" ht="15.5">
      <c r="C131" s="52"/>
      <c r="D131" s="52"/>
      <c r="E131" s="52"/>
      <c r="F131" s="52"/>
      <c r="G131" s="52"/>
      <c r="H131" s="52"/>
      <c r="I131" s="52"/>
      <c r="J131" s="52"/>
      <c r="K131" s="52"/>
      <c r="L131" s="52"/>
    </row>
    <row r="132" spans="3:12" ht="15.5">
      <c r="C132" s="52"/>
      <c r="D132" s="52"/>
      <c r="E132" s="52"/>
      <c r="F132" s="52"/>
      <c r="G132" s="52"/>
      <c r="H132" s="52"/>
      <c r="I132" s="52"/>
      <c r="J132" s="52"/>
      <c r="K132" s="52"/>
      <c r="L132" s="52"/>
    </row>
    <row r="133" spans="3:12" ht="15.5">
      <c r="C133" s="52"/>
      <c r="D133" s="52"/>
      <c r="E133" s="52"/>
      <c r="F133" s="52"/>
      <c r="G133" s="52"/>
      <c r="H133" s="52"/>
      <c r="I133" s="52"/>
      <c r="J133" s="52"/>
      <c r="K133" s="52"/>
      <c r="L133" s="52"/>
    </row>
    <row r="134" spans="3:12" ht="15.5">
      <c r="C134" s="52"/>
      <c r="D134" s="52"/>
      <c r="E134" s="52"/>
      <c r="F134" s="52"/>
      <c r="G134" s="52"/>
      <c r="H134" s="52"/>
      <c r="I134" s="52"/>
      <c r="J134" s="52"/>
      <c r="K134" s="52"/>
      <c r="L134" s="52"/>
    </row>
    <row r="135" spans="3:12" ht="15.5">
      <c r="C135" s="52"/>
      <c r="D135" s="52"/>
      <c r="E135" s="52"/>
      <c r="F135" s="52"/>
      <c r="G135" s="52"/>
      <c r="H135" s="52"/>
      <c r="I135" s="52"/>
      <c r="J135" s="52"/>
      <c r="K135" s="52"/>
      <c r="L135" s="52"/>
    </row>
    <row r="136" spans="3:12" ht="15.5">
      <c r="C136" s="52"/>
      <c r="D136" s="52"/>
      <c r="E136" s="52"/>
      <c r="F136" s="52"/>
      <c r="G136" s="52"/>
      <c r="H136" s="52"/>
      <c r="I136" s="52"/>
      <c r="J136" s="52"/>
      <c r="K136" s="52"/>
      <c r="L136" s="52"/>
    </row>
    <row r="137" spans="3:12" ht="15.5">
      <c r="C137" s="52"/>
      <c r="D137" s="52"/>
      <c r="E137" s="52"/>
      <c r="F137" s="52"/>
      <c r="G137" s="52"/>
      <c r="H137" s="52"/>
      <c r="I137" s="52"/>
      <c r="J137" s="52"/>
      <c r="K137" s="52"/>
      <c r="L137" s="52"/>
    </row>
    <row r="138" spans="3:12" ht="15.5">
      <c r="C138" s="52"/>
      <c r="D138" s="52"/>
      <c r="E138" s="52"/>
      <c r="F138" s="52"/>
      <c r="G138" s="52"/>
      <c r="H138" s="52"/>
      <c r="I138" s="52"/>
      <c r="J138" s="52"/>
      <c r="K138" s="52"/>
      <c r="L138" s="52"/>
    </row>
    <row r="139" spans="3:12" ht="15.5">
      <c r="C139" s="52"/>
      <c r="D139" s="52"/>
      <c r="E139" s="52"/>
      <c r="F139" s="52"/>
      <c r="G139" s="52"/>
      <c r="H139" s="52"/>
      <c r="I139" s="52"/>
      <c r="J139" s="52"/>
      <c r="K139" s="52"/>
      <c r="L139" s="52"/>
    </row>
    <row r="140" spans="3:12" ht="15.5">
      <c r="C140" s="52"/>
      <c r="D140" s="52"/>
      <c r="E140" s="52"/>
      <c r="F140" s="52"/>
      <c r="G140" s="52"/>
      <c r="H140" s="52"/>
      <c r="I140" s="52"/>
      <c r="J140" s="52"/>
      <c r="K140" s="52"/>
      <c r="L140" s="52"/>
    </row>
    <row r="141" spans="3:12" ht="15.5">
      <c r="C141" s="52"/>
      <c r="D141" s="52"/>
      <c r="E141" s="52"/>
      <c r="F141" s="52"/>
      <c r="G141" s="52"/>
      <c r="H141" s="52"/>
      <c r="I141" s="52"/>
      <c r="J141" s="52"/>
      <c r="K141" s="52"/>
      <c r="L141" s="52"/>
    </row>
    <row r="142" spans="3:12" ht="15.5">
      <c r="C142" s="52"/>
      <c r="D142" s="52"/>
      <c r="E142" s="52"/>
      <c r="F142" s="52"/>
      <c r="G142" s="52"/>
      <c r="H142" s="52"/>
      <c r="I142" s="52"/>
      <c r="J142" s="52"/>
      <c r="K142" s="52"/>
      <c r="L142" s="52"/>
    </row>
    <row r="143" spans="3:12" ht="15.5">
      <c r="C143" s="52"/>
      <c r="D143" s="52"/>
      <c r="E143" s="52"/>
      <c r="F143" s="52"/>
      <c r="G143" s="52"/>
      <c r="H143" s="52"/>
      <c r="I143" s="52"/>
      <c r="J143" s="52"/>
      <c r="K143" s="52"/>
      <c r="L143" s="52"/>
    </row>
    <row r="144" spans="3:12" ht="15.5">
      <c r="C144" s="52"/>
      <c r="D144" s="52"/>
      <c r="E144" s="52"/>
      <c r="F144" s="52"/>
      <c r="G144" s="52"/>
      <c r="H144" s="52"/>
      <c r="I144" s="52"/>
      <c r="J144" s="52"/>
      <c r="K144" s="52"/>
      <c r="L144" s="52"/>
    </row>
    <row r="145" spans="3:12" ht="15.5">
      <c r="C145" s="52"/>
      <c r="D145" s="52"/>
      <c r="E145" s="52"/>
      <c r="F145" s="52"/>
      <c r="G145" s="52"/>
      <c r="H145" s="52"/>
      <c r="I145" s="52"/>
      <c r="J145" s="52"/>
      <c r="K145" s="52"/>
      <c r="L145" s="52"/>
    </row>
    <row r="146" spans="3:12" ht="15.5">
      <c r="C146" s="52"/>
      <c r="D146" s="52"/>
      <c r="E146" s="52"/>
      <c r="F146" s="52"/>
      <c r="G146" s="52"/>
      <c r="H146" s="52"/>
      <c r="I146" s="52"/>
      <c r="J146" s="52"/>
      <c r="K146" s="52"/>
      <c r="L146" s="52"/>
    </row>
    <row r="147" spans="3:12" ht="15.5">
      <c r="C147" s="52"/>
      <c r="D147" s="52"/>
      <c r="E147" s="52"/>
      <c r="F147" s="52"/>
      <c r="G147" s="52"/>
      <c r="H147" s="52"/>
      <c r="I147" s="52"/>
      <c r="J147" s="52"/>
      <c r="K147" s="52"/>
      <c r="L147" s="52"/>
    </row>
    <row r="148" spans="3:12" ht="15.5">
      <c r="C148" s="52"/>
      <c r="D148" s="52"/>
      <c r="E148" s="52"/>
      <c r="F148" s="52"/>
      <c r="G148" s="52"/>
      <c r="H148" s="52"/>
      <c r="I148" s="52"/>
      <c r="J148" s="52"/>
      <c r="K148" s="52"/>
      <c r="L148" s="52"/>
    </row>
    <row r="149" spans="3:12" ht="15.5">
      <c r="C149" s="52"/>
      <c r="D149" s="52"/>
      <c r="E149" s="52"/>
      <c r="F149" s="52"/>
      <c r="G149" s="52"/>
      <c r="H149" s="52"/>
      <c r="I149" s="52"/>
      <c r="J149" s="52"/>
      <c r="K149" s="52"/>
      <c r="L149" s="52"/>
    </row>
    <row r="150" spans="3:12" ht="15.5">
      <c r="C150" s="52"/>
      <c r="D150" s="52"/>
      <c r="E150" s="52"/>
      <c r="F150" s="52"/>
      <c r="G150" s="52"/>
      <c r="H150" s="52"/>
      <c r="I150" s="52"/>
      <c r="J150" s="52"/>
      <c r="K150" s="52"/>
      <c r="L150" s="52"/>
    </row>
    <row r="151" spans="3:12" ht="15.5">
      <c r="C151" s="52"/>
      <c r="D151" s="52"/>
      <c r="E151" s="52"/>
      <c r="F151" s="52"/>
      <c r="G151" s="52"/>
      <c r="H151" s="52"/>
      <c r="I151" s="52"/>
      <c r="J151" s="52"/>
      <c r="K151" s="52"/>
      <c r="L151" s="52"/>
    </row>
    <row r="152" spans="3:12" ht="15.5">
      <c r="C152" s="52"/>
      <c r="D152" s="52"/>
      <c r="E152" s="52"/>
      <c r="F152" s="52"/>
      <c r="G152" s="52"/>
      <c r="H152" s="52"/>
      <c r="I152" s="52"/>
      <c r="J152" s="52"/>
      <c r="K152" s="52"/>
      <c r="L152" s="52"/>
    </row>
    <row r="153" spans="3:12" ht="15.5">
      <c r="C153" s="52"/>
      <c r="D153" s="52"/>
      <c r="E153" s="52"/>
      <c r="F153" s="52"/>
      <c r="G153" s="52"/>
      <c r="H153" s="52"/>
      <c r="I153" s="52"/>
      <c r="J153" s="52"/>
      <c r="K153" s="52"/>
      <c r="L153" s="52"/>
    </row>
    <row r="154" spans="3:12" ht="15.5">
      <c r="C154" s="52"/>
      <c r="D154" s="52"/>
      <c r="E154" s="52"/>
      <c r="F154" s="52"/>
      <c r="G154" s="52"/>
      <c r="H154" s="52"/>
      <c r="I154" s="52"/>
      <c r="J154" s="52"/>
      <c r="K154" s="52"/>
      <c r="L154" s="52"/>
    </row>
    <row r="155" spans="3:12" ht="15.5">
      <c r="C155" s="52"/>
      <c r="D155" s="52"/>
      <c r="E155" s="52"/>
      <c r="F155" s="52"/>
      <c r="G155" s="52"/>
      <c r="H155" s="52"/>
      <c r="I155" s="52"/>
      <c r="J155" s="52"/>
      <c r="K155" s="52"/>
      <c r="L155" s="52"/>
    </row>
    <row r="156" spans="3:12" ht="15.5">
      <c r="C156" s="52"/>
      <c r="D156" s="52"/>
      <c r="E156" s="52"/>
      <c r="F156" s="52"/>
      <c r="G156" s="52"/>
      <c r="H156" s="52"/>
      <c r="I156" s="52"/>
      <c r="J156" s="52"/>
      <c r="K156" s="52"/>
      <c r="L156" s="52"/>
    </row>
    <row r="157" spans="3:12" ht="15.5">
      <c r="C157" s="52"/>
      <c r="D157" s="52"/>
      <c r="E157" s="52"/>
      <c r="F157" s="52"/>
      <c r="G157" s="52"/>
      <c r="H157" s="52"/>
      <c r="I157" s="52"/>
      <c r="J157" s="52"/>
      <c r="K157" s="52"/>
      <c r="L157" s="52"/>
    </row>
    <row r="158" spans="3:12" ht="15.5">
      <c r="C158" s="52"/>
      <c r="D158" s="52"/>
      <c r="E158" s="52"/>
      <c r="F158" s="52"/>
      <c r="G158" s="52"/>
      <c r="H158" s="52"/>
      <c r="I158" s="52"/>
      <c r="J158" s="52"/>
      <c r="K158" s="52"/>
      <c r="L158" s="52"/>
    </row>
    <row r="159" spans="3:12" ht="15.5">
      <c r="C159" s="52"/>
      <c r="D159" s="52"/>
      <c r="E159" s="52"/>
      <c r="F159" s="52"/>
      <c r="G159" s="52"/>
      <c r="H159" s="52"/>
      <c r="I159" s="52"/>
      <c r="J159" s="52"/>
      <c r="K159" s="52"/>
      <c r="L159" s="52"/>
    </row>
    <row r="160" spans="3:12" ht="15.5">
      <c r="C160" s="52"/>
      <c r="D160" s="52"/>
      <c r="E160" s="52"/>
      <c r="F160" s="52"/>
      <c r="G160" s="52"/>
      <c r="H160" s="52"/>
      <c r="I160" s="52"/>
      <c r="J160" s="52"/>
      <c r="K160" s="52"/>
      <c r="L160" s="52"/>
    </row>
    <row r="161" spans="3:12" ht="15.5">
      <c r="C161" s="52"/>
      <c r="D161" s="52"/>
      <c r="E161" s="52"/>
      <c r="F161" s="52"/>
      <c r="G161" s="52"/>
      <c r="H161" s="52"/>
      <c r="I161" s="52"/>
      <c r="J161" s="52"/>
      <c r="K161" s="52"/>
      <c r="L161" s="52"/>
    </row>
    <row r="162" spans="3:12" ht="15.5">
      <c r="C162" s="52"/>
      <c r="D162" s="52"/>
      <c r="E162" s="52"/>
      <c r="F162" s="52"/>
      <c r="G162" s="52"/>
      <c r="H162" s="52"/>
      <c r="I162" s="52"/>
      <c r="J162" s="52"/>
      <c r="K162" s="52"/>
      <c r="L162" s="52"/>
    </row>
    <row r="163" spans="3:12" ht="15.5">
      <c r="C163" s="52"/>
      <c r="D163" s="52"/>
      <c r="E163" s="52"/>
      <c r="F163" s="52"/>
      <c r="G163" s="52"/>
      <c r="H163" s="52"/>
      <c r="I163" s="52"/>
      <c r="J163" s="52"/>
      <c r="K163" s="52"/>
      <c r="L163" s="52"/>
    </row>
    <row r="164" spans="3:12" ht="15.5">
      <c r="C164" s="52"/>
      <c r="D164" s="52"/>
      <c r="E164" s="52"/>
      <c r="F164" s="52"/>
      <c r="G164" s="52"/>
      <c r="H164" s="52"/>
      <c r="I164" s="52"/>
      <c r="J164" s="52"/>
      <c r="K164" s="52"/>
      <c r="L164" s="52"/>
    </row>
    <row r="165" spans="3:12" ht="15.5">
      <c r="C165" s="52"/>
      <c r="D165" s="52"/>
      <c r="E165" s="52"/>
      <c r="F165" s="52"/>
      <c r="G165" s="52"/>
      <c r="H165" s="52"/>
      <c r="I165" s="52"/>
      <c r="J165" s="52"/>
      <c r="K165" s="52"/>
      <c r="L165" s="52"/>
    </row>
    <row r="166" spans="3:12" ht="15.5">
      <c r="C166" s="52"/>
      <c r="D166" s="52"/>
      <c r="E166" s="52"/>
      <c r="F166" s="52"/>
      <c r="G166" s="52"/>
      <c r="H166" s="52"/>
      <c r="I166" s="52"/>
      <c r="J166" s="52"/>
      <c r="K166" s="52"/>
      <c r="L166" s="52"/>
    </row>
    <row r="167" spans="3:12" ht="15.5">
      <c r="C167" s="52"/>
      <c r="D167" s="52"/>
      <c r="E167" s="52"/>
      <c r="F167" s="52"/>
      <c r="G167" s="52"/>
      <c r="H167" s="52"/>
      <c r="I167" s="52"/>
      <c r="J167" s="52"/>
      <c r="K167" s="52"/>
      <c r="L167" s="52"/>
    </row>
    <row r="168" spans="3:12" ht="15.5">
      <c r="C168" s="52"/>
      <c r="D168" s="52"/>
      <c r="E168" s="52"/>
      <c r="F168" s="52"/>
      <c r="G168" s="52"/>
      <c r="H168" s="52"/>
      <c r="I168" s="52"/>
      <c r="J168" s="52"/>
      <c r="K168" s="52"/>
      <c r="L168" s="52"/>
    </row>
    <row r="169" spans="3:12" ht="15.5">
      <c r="C169" s="52"/>
      <c r="D169" s="52"/>
      <c r="E169" s="52"/>
      <c r="F169" s="52"/>
      <c r="G169" s="52"/>
      <c r="H169" s="52"/>
      <c r="I169" s="52"/>
      <c r="J169" s="52"/>
      <c r="K169" s="52"/>
      <c r="L169" s="52"/>
    </row>
    <row r="170" spans="3:12" ht="15.5">
      <c r="C170" s="52"/>
      <c r="D170" s="52"/>
      <c r="E170" s="52"/>
      <c r="F170" s="52"/>
      <c r="G170" s="52"/>
      <c r="H170" s="52"/>
      <c r="I170" s="52"/>
      <c r="J170" s="52"/>
      <c r="K170" s="52"/>
      <c r="L170" s="52"/>
    </row>
    <row r="171" spans="3:12" ht="15.5">
      <c r="C171" s="52"/>
      <c r="D171" s="52"/>
      <c r="E171" s="52"/>
      <c r="F171" s="52"/>
      <c r="G171" s="52"/>
      <c r="H171" s="52"/>
      <c r="I171" s="52"/>
      <c r="J171" s="52"/>
      <c r="K171" s="52"/>
      <c r="L171" s="52"/>
    </row>
    <row r="172" spans="3:12" ht="15.5">
      <c r="C172" s="52"/>
      <c r="D172" s="52"/>
      <c r="E172" s="52"/>
      <c r="F172" s="52"/>
      <c r="G172" s="52"/>
      <c r="H172" s="52"/>
      <c r="I172" s="52"/>
      <c r="J172" s="52"/>
      <c r="K172" s="52"/>
      <c r="L172" s="52"/>
    </row>
    <row r="173" spans="3:12" ht="15.5">
      <c r="C173" s="52"/>
      <c r="D173" s="52"/>
      <c r="E173" s="52"/>
      <c r="F173" s="52"/>
      <c r="G173" s="52"/>
      <c r="H173" s="52"/>
      <c r="I173" s="52"/>
      <c r="J173" s="52"/>
      <c r="K173" s="52"/>
      <c r="L173" s="52"/>
    </row>
    <row r="174" spans="3:12" ht="15.5">
      <c r="C174" s="52"/>
      <c r="D174" s="52"/>
      <c r="E174" s="52"/>
      <c r="F174" s="52"/>
      <c r="G174" s="52"/>
      <c r="H174" s="52"/>
      <c r="I174" s="52"/>
      <c r="J174" s="52"/>
      <c r="K174" s="52"/>
      <c r="L174" s="52"/>
    </row>
    <row r="175" spans="3:12" ht="15.5">
      <c r="C175" s="52"/>
      <c r="D175" s="52"/>
      <c r="E175" s="52"/>
      <c r="F175" s="52"/>
      <c r="G175" s="52"/>
      <c r="H175" s="52"/>
      <c r="I175" s="52"/>
      <c r="J175" s="52"/>
      <c r="K175" s="52"/>
      <c r="L175" s="52"/>
    </row>
    <row r="176" spans="3:12" ht="15.5">
      <c r="C176" s="52"/>
      <c r="D176" s="52"/>
      <c r="E176" s="52"/>
      <c r="F176" s="52"/>
      <c r="G176" s="52"/>
      <c r="H176" s="52"/>
      <c r="I176" s="52"/>
      <c r="J176" s="52"/>
      <c r="K176" s="52"/>
      <c r="L176" s="52"/>
    </row>
    <row r="177" spans="3:12" ht="15.5">
      <c r="C177" s="52"/>
      <c r="D177" s="52"/>
      <c r="E177" s="52"/>
      <c r="F177" s="52"/>
      <c r="G177" s="52"/>
      <c r="H177" s="52"/>
      <c r="I177" s="52"/>
      <c r="J177" s="52"/>
      <c r="K177" s="52"/>
      <c r="L177" s="52"/>
    </row>
    <row r="178" spans="3:12" ht="15.5">
      <c r="C178" s="52"/>
      <c r="D178" s="52"/>
      <c r="E178" s="52"/>
      <c r="F178" s="52"/>
      <c r="G178" s="52"/>
      <c r="H178" s="52"/>
      <c r="I178" s="52"/>
      <c r="J178" s="52"/>
      <c r="K178" s="52"/>
      <c r="L178" s="52"/>
    </row>
    <row r="179" spans="3:12" ht="15.5">
      <c r="C179" s="52"/>
      <c r="D179" s="52"/>
      <c r="E179" s="52"/>
      <c r="F179" s="52"/>
      <c r="G179" s="52"/>
      <c r="H179" s="52"/>
      <c r="I179" s="52"/>
      <c r="J179" s="52"/>
      <c r="K179" s="52"/>
      <c r="L179" s="52"/>
    </row>
    <row r="180" spans="3:12" ht="15.5">
      <c r="C180" s="52"/>
      <c r="D180" s="52"/>
      <c r="E180" s="52"/>
      <c r="F180" s="52"/>
      <c r="G180" s="52"/>
      <c r="H180" s="52"/>
      <c r="I180" s="52"/>
      <c r="J180" s="52"/>
      <c r="K180" s="52"/>
      <c r="L180" s="52"/>
    </row>
    <row r="181" spans="3:12" ht="15.5">
      <c r="C181" s="52"/>
      <c r="D181" s="52"/>
      <c r="E181" s="52"/>
      <c r="F181" s="52"/>
      <c r="G181" s="52"/>
      <c r="H181" s="52"/>
      <c r="I181" s="52"/>
      <c r="J181" s="52"/>
      <c r="K181" s="52"/>
      <c r="L181" s="52"/>
    </row>
    <row r="182" spans="3:12" ht="15.5">
      <c r="C182" s="52"/>
      <c r="D182" s="52"/>
      <c r="E182" s="52"/>
      <c r="F182" s="52"/>
      <c r="G182" s="52"/>
      <c r="H182" s="52"/>
      <c r="I182" s="52"/>
      <c r="J182" s="52"/>
      <c r="K182" s="52"/>
      <c r="L182" s="52"/>
    </row>
    <row r="183" spans="3:12" ht="15.5">
      <c r="C183" s="52"/>
      <c r="D183" s="52"/>
      <c r="E183" s="52"/>
      <c r="F183" s="52"/>
      <c r="G183" s="52"/>
      <c r="H183" s="52"/>
      <c r="I183" s="52"/>
      <c r="J183" s="52"/>
      <c r="K183" s="52"/>
      <c r="L183" s="52"/>
    </row>
    <row r="184" spans="3:12" ht="15.5">
      <c r="C184" s="52"/>
      <c r="D184" s="52"/>
      <c r="E184" s="52"/>
      <c r="F184" s="52"/>
      <c r="G184" s="52"/>
      <c r="H184" s="52"/>
      <c r="I184" s="52"/>
      <c r="J184" s="52"/>
      <c r="K184" s="52"/>
      <c r="L184" s="52"/>
    </row>
    <row r="185" spans="3:12" ht="15.5">
      <c r="C185" s="52"/>
      <c r="D185" s="52"/>
      <c r="E185" s="52"/>
      <c r="F185" s="52"/>
      <c r="G185" s="52"/>
      <c r="H185" s="52"/>
      <c r="I185" s="52"/>
      <c r="J185" s="52"/>
      <c r="K185" s="52"/>
      <c r="L185" s="52"/>
    </row>
    <row r="186" spans="3:12" ht="15.5">
      <c r="C186" s="52"/>
      <c r="D186" s="52"/>
      <c r="E186" s="52"/>
      <c r="F186" s="52"/>
      <c r="G186" s="52"/>
      <c r="H186" s="52"/>
      <c r="I186" s="52"/>
      <c r="J186" s="52"/>
      <c r="K186" s="52"/>
      <c r="L186" s="52"/>
    </row>
    <row r="187" spans="3:12" ht="15.5">
      <c r="C187" s="52"/>
      <c r="D187" s="52"/>
      <c r="E187" s="52"/>
      <c r="F187" s="52"/>
      <c r="G187" s="52"/>
      <c r="H187" s="52"/>
      <c r="I187" s="52"/>
      <c r="J187" s="52"/>
      <c r="K187" s="52"/>
      <c r="L187" s="52"/>
    </row>
    <row r="188" spans="3:12" ht="15.5">
      <c r="C188" s="52"/>
      <c r="D188" s="52"/>
      <c r="E188" s="52"/>
      <c r="F188" s="52"/>
      <c r="G188" s="52"/>
      <c r="H188" s="52"/>
      <c r="I188" s="52"/>
      <c r="J188" s="52"/>
      <c r="K188" s="52"/>
      <c r="L188" s="52"/>
    </row>
    <row r="189" spans="3:12" ht="15.5">
      <c r="C189" s="52"/>
      <c r="D189" s="52"/>
      <c r="E189" s="52"/>
      <c r="F189" s="52"/>
      <c r="G189" s="52"/>
      <c r="H189" s="52"/>
      <c r="I189" s="52"/>
      <c r="J189" s="52"/>
      <c r="K189" s="52"/>
      <c r="L189" s="52"/>
    </row>
    <row r="190" spans="3:12" ht="15.5">
      <c r="C190" s="52"/>
      <c r="D190" s="52"/>
      <c r="E190" s="52"/>
      <c r="F190" s="52"/>
      <c r="G190" s="52"/>
      <c r="H190" s="52"/>
      <c r="I190" s="52"/>
      <c r="J190" s="52"/>
      <c r="K190" s="52"/>
      <c r="L190" s="52"/>
    </row>
    <row r="191" spans="3:12" ht="15.5">
      <c r="C191" s="52"/>
      <c r="D191" s="52"/>
      <c r="E191" s="52"/>
      <c r="F191" s="52"/>
      <c r="G191" s="52"/>
      <c r="H191" s="52"/>
      <c r="I191" s="52"/>
      <c r="J191" s="52"/>
      <c r="K191" s="52"/>
      <c r="L191" s="52"/>
    </row>
    <row r="192" spans="3:12" ht="15.5">
      <c r="C192" s="52"/>
      <c r="D192" s="52"/>
      <c r="E192" s="52"/>
      <c r="F192" s="52"/>
      <c r="G192" s="52"/>
      <c r="H192" s="52"/>
      <c r="I192" s="52"/>
      <c r="J192" s="52"/>
      <c r="K192" s="52"/>
      <c r="L192" s="52"/>
    </row>
    <row r="193" spans="3:12" ht="15.5">
      <c r="C193" s="52"/>
      <c r="D193" s="52"/>
      <c r="E193" s="52"/>
      <c r="F193" s="52"/>
      <c r="G193" s="52"/>
      <c r="H193" s="52"/>
      <c r="I193" s="52"/>
      <c r="J193" s="52"/>
      <c r="K193" s="52"/>
      <c r="L193" s="52"/>
    </row>
    <row r="194" spans="3:12" ht="15.5">
      <c r="C194" s="52"/>
      <c r="D194" s="52"/>
      <c r="E194" s="52"/>
      <c r="F194" s="52"/>
      <c r="G194" s="52"/>
      <c r="H194" s="52"/>
      <c r="I194" s="52"/>
      <c r="J194" s="52"/>
      <c r="K194" s="52"/>
      <c r="L194" s="52"/>
    </row>
    <row r="195" spans="3:12" ht="15.5">
      <c r="C195" s="52"/>
      <c r="D195" s="52"/>
      <c r="E195" s="52"/>
      <c r="F195" s="52"/>
      <c r="G195" s="52"/>
      <c r="H195" s="52"/>
      <c r="I195" s="52"/>
      <c r="J195" s="52"/>
      <c r="K195" s="52"/>
      <c r="L195" s="52"/>
    </row>
    <row r="196" spans="3:12" ht="15.5">
      <c r="C196" s="52"/>
      <c r="D196" s="52"/>
      <c r="E196" s="52"/>
      <c r="F196" s="52"/>
      <c r="G196" s="52"/>
      <c r="H196" s="52"/>
      <c r="I196" s="52"/>
      <c r="J196" s="52"/>
      <c r="K196" s="52"/>
      <c r="L196" s="52"/>
    </row>
    <row r="197" spans="3:12" ht="15.5">
      <c r="C197" s="52"/>
      <c r="D197" s="52"/>
      <c r="E197" s="52"/>
      <c r="F197" s="52"/>
      <c r="G197" s="52"/>
      <c r="H197" s="52"/>
      <c r="I197" s="52"/>
      <c r="J197" s="52"/>
      <c r="K197" s="52"/>
      <c r="L197" s="52"/>
    </row>
    <row r="198" spans="3:12" ht="15.5">
      <c r="C198" s="52"/>
      <c r="D198" s="52"/>
      <c r="E198" s="52"/>
      <c r="F198" s="52"/>
      <c r="G198" s="52"/>
      <c r="H198" s="52"/>
      <c r="I198" s="52"/>
      <c r="J198" s="52"/>
      <c r="K198" s="52"/>
      <c r="L198" s="52"/>
    </row>
    <row r="199" spans="3:12" ht="15.5">
      <c r="C199" s="52"/>
      <c r="D199" s="52"/>
      <c r="E199" s="52"/>
      <c r="F199" s="52"/>
      <c r="G199" s="52"/>
      <c r="H199" s="52"/>
      <c r="I199" s="52"/>
      <c r="J199" s="52"/>
      <c r="K199" s="52"/>
      <c r="L199" s="52"/>
    </row>
    <row r="200" spans="3:12" ht="15.5">
      <c r="C200" s="52"/>
      <c r="D200" s="52"/>
      <c r="E200" s="52"/>
      <c r="F200" s="52"/>
      <c r="G200" s="52"/>
      <c r="H200" s="52"/>
      <c r="I200" s="52"/>
      <c r="J200" s="52"/>
      <c r="K200" s="52"/>
      <c r="L200" s="52"/>
    </row>
    <row r="201" spans="3:12" ht="15.5">
      <c r="C201" s="52"/>
      <c r="D201" s="52"/>
      <c r="E201" s="52"/>
      <c r="F201" s="52"/>
      <c r="G201" s="52"/>
      <c r="H201" s="52"/>
      <c r="I201" s="52"/>
      <c r="J201" s="52"/>
      <c r="K201" s="52"/>
      <c r="L201" s="52"/>
    </row>
    <row r="202" spans="3:12" ht="15.5">
      <c r="C202" s="52"/>
      <c r="D202" s="52"/>
      <c r="E202" s="52"/>
      <c r="F202" s="52"/>
      <c r="G202" s="52"/>
      <c r="H202" s="52"/>
      <c r="I202" s="52"/>
      <c r="J202" s="52"/>
      <c r="K202" s="52"/>
      <c r="L202" s="52"/>
    </row>
    <row r="203" spans="3:12" ht="15.5">
      <c r="C203" s="52"/>
      <c r="D203" s="52"/>
      <c r="E203" s="52"/>
      <c r="F203" s="52"/>
      <c r="G203" s="52"/>
      <c r="H203" s="52"/>
      <c r="I203" s="52"/>
      <c r="J203" s="52"/>
      <c r="K203" s="52"/>
      <c r="L203" s="52"/>
    </row>
    <row r="204" spans="3:12" ht="15.5">
      <c r="C204" s="52"/>
      <c r="D204" s="52"/>
      <c r="E204" s="52"/>
      <c r="F204" s="52"/>
      <c r="G204" s="52"/>
      <c r="H204" s="52"/>
      <c r="I204" s="52"/>
      <c r="J204" s="52"/>
      <c r="K204" s="52"/>
      <c r="L204" s="52"/>
    </row>
    <row r="205" spans="3:12" ht="15.5">
      <c r="C205" s="52"/>
      <c r="D205" s="52"/>
      <c r="E205" s="52"/>
      <c r="F205" s="52"/>
      <c r="G205" s="52"/>
      <c r="H205" s="52"/>
      <c r="I205" s="52"/>
      <c r="J205" s="52"/>
      <c r="K205" s="52"/>
      <c r="L205" s="52"/>
    </row>
    <row r="206" spans="3:12" ht="15.5">
      <c r="C206" s="52"/>
      <c r="D206" s="52"/>
      <c r="E206" s="52"/>
      <c r="F206" s="52"/>
      <c r="G206" s="52"/>
      <c r="H206" s="52"/>
      <c r="I206" s="52"/>
      <c r="J206" s="52"/>
      <c r="K206" s="52"/>
      <c r="L206" s="52"/>
    </row>
    <row r="207" spans="3:12" ht="15.5">
      <c r="C207" s="52"/>
      <c r="D207" s="52"/>
      <c r="E207" s="52"/>
      <c r="F207" s="52"/>
      <c r="G207" s="52"/>
      <c r="H207" s="52"/>
      <c r="I207" s="52"/>
      <c r="J207" s="52"/>
      <c r="K207" s="52"/>
      <c r="L207" s="52"/>
    </row>
    <row r="208" spans="3:12" ht="15.5">
      <c r="C208" s="52"/>
      <c r="D208" s="52"/>
      <c r="E208" s="52"/>
      <c r="F208" s="52"/>
      <c r="G208" s="52"/>
      <c r="H208" s="52"/>
      <c r="I208" s="52"/>
      <c r="J208" s="52"/>
      <c r="K208" s="52"/>
      <c r="L208" s="52"/>
    </row>
    <row r="209" spans="3:12" ht="15.5">
      <c r="C209" s="52"/>
      <c r="D209" s="52"/>
      <c r="E209" s="52"/>
      <c r="F209" s="52"/>
      <c r="G209" s="52"/>
      <c r="H209" s="52"/>
      <c r="I209" s="52"/>
      <c r="J209" s="52"/>
      <c r="K209" s="52"/>
      <c r="L209" s="52"/>
    </row>
    <row r="210" spans="3:12" ht="15.5">
      <c r="C210" s="52"/>
      <c r="D210" s="52"/>
      <c r="E210" s="52"/>
      <c r="F210" s="52"/>
      <c r="G210" s="52"/>
      <c r="H210" s="52"/>
      <c r="I210" s="52"/>
      <c r="J210" s="52"/>
      <c r="K210" s="52"/>
      <c r="L210" s="52"/>
    </row>
    <row r="211" spans="3:12" ht="15.5">
      <c r="C211" s="52"/>
      <c r="D211" s="52"/>
      <c r="E211" s="52"/>
      <c r="F211" s="52"/>
      <c r="G211" s="52"/>
      <c r="H211" s="52"/>
      <c r="I211" s="52"/>
      <c r="J211" s="52"/>
      <c r="K211" s="52"/>
      <c r="L211" s="52"/>
    </row>
    <row r="212" spans="3:12" ht="15.5">
      <c r="C212" s="52"/>
      <c r="D212" s="52"/>
      <c r="E212" s="52"/>
      <c r="F212" s="52"/>
      <c r="G212" s="52"/>
      <c r="H212" s="52"/>
      <c r="I212" s="52"/>
      <c r="J212" s="52"/>
      <c r="K212" s="52"/>
      <c r="L212" s="52"/>
    </row>
    <row r="213" spans="3:12" ht="15.5">
      <c r="C213" s="52"/>
      <c r="D213" s="52"/>
      <c r="E213" s="52"/>
      <c r="F213" s="52"/>
      <c r="G213" s="52"/>
      <c r="H213" s="52"/>
      <c r="I213" s="52"/>
      <c r="J213" s="52"/>
      <c r="K213" s="52"/>
      <c r="L213" s="52"/>
    </row>
    <row r="214" spans="3:12" ht="15.5">
      <c r="C214" s="52"/>
      <c r="D214" s="52"/>
      <c r="E214" s="52"/>
      <c r="F214" s="52"/>
      <c r="G214" s="52"/>
      <c r="H214" s="52"/>
      <c r="I214" s="52"/>
      <c r="J214" s="52"/>
      <c r="K214" s="52"/>
      <c r="L214" s="52"/>
    </row>
    <row r="215" spans="3:12" ht="15.5">
      <c r="C215" s="52"/>
      <c r="D215" s="52"/>
      <c r="E215" s="52"/>
      <c r="F215" s="52"/>
      <c r="G215" s="52"/>
      <c r="H215" s="52"/>
      <c r="I215" s="52"/>
      <c r="J215" s="52"/>
      <c r="K215" s="52"/>
      <c r="L215" s="52"/>
    </row>
    <row r="216" spans="3:12" ht="15.5">
      <c r="C216" s="52"/>
      <c r="D216" s="52"/>
      <c r="E216" s="52"/>
      <c r="F216" s="52"/>
      <c r="G216" s="52"/>
      <c r="H216" s="52"/>
      <c r="I216" s="52"/>
      <c r="J216" s="52"/>
      <c r="K216" s="52"/>
      <c r="L216" s="52"/>
    </row>
    <row r="217" spans="3:12" ht="15.5">
      <c r="C217" s="52"/>
      <c r="D217" s="52"/>
      <c r="E217" s="52"/>
      <c r="F217" s="52"/>
      <c r="G217" s="52"/>
      <c r="H217" s="52"/>
      <c r="I217" s="52"/>
      <c r="J217" s="52"/>
      <c r="K217" s="52"/>
      <c r="L217" s="52"/>
    </row>
    <row r="218" spans="3:12" ht="15.5">
      <c r="C218" s="52"/>
      <c r="D218" s="52"/>
      <c r="E218" s="52"/>
      <c r="F218" s="52"/>
      <c r="G218" s="52"/>
      <c r="H218" s="52"/>
      <c r="I218" s="52"/>
      <c r="J218" s="52"/>
      <c r="K218" s="52"/>
      <c r="L218" s="52"/>
    </row>
    <row r="219" spans="3:12" ht="15.5">
      <c r="C219" s="52"/>
      <c r="D219" s="52"/>
      <c r="E219" s="52"/>
      <c r="F219" s="52"/>
      <c r="G219" s="52"/>
      <c r="H219" s="52"/>
      <c r="I219" s="52"/>
      <c r="J219" s="52"/>
      <c r="K219" s="52"/>
      <c r="L219" s="52"/>
    </row>
    <row r="220" spans="3:12" ht="15.5">
      <c r="C220" s="52"/>
      <c r="D220" s="52"/>
      <c r="E220" s="52"/>
      <c r="F220" s="52"/>
      <c r="G220" s="52"/>
      <c r="H220" s="52"/>
      <c r="I220" s="52"/>
      <c r="J220" s="52"/>
      <c r="K220" s="52"/>
      <c r="L220" s="52"/>
    </row>
    <row r="221" spans="3:12" ht="15.5">
      <c r="C221" s="52"/>
      <c r="D221" s="52"/>
      <c r="E221" s="52"/>
      <c r="F221" s="52"/>
      <c r="G221" s="52"/>
      <c r="H221" s="52"/>
      <c r="I221" s="52"/>
      <c r="J221" s="52"/>
      <c r="K221" s="52"/>
      <c r="L221" s="52"/>
    </row>
    <row r="222" spans="3:12" ht="15.5">
      <c r="C222" s="52"/>
      <c r="D222" s="52"/>
      <c r="E222" s="52"/>
      <c r="F222" s="52"/>
      <c r="G222" s="52"/>
      <c r="H222" s="52"/>
      <c r="I222" s="52"/>
      <c r="J222" s="52"/>
      <c r="K222" s="52"/>
      <c r="L222" s="52"/>
    </row>
    <row r="223" spans="3:12" ht="15.5">
      <c r="C223" s="52"/>
      <c r="D223" s="52"/>
      <c r="E223" s="52"/>
      <c r="F223" s="52"/>
      <c r="G223" s="52"/>
      <c r="H223" s="52"/>
      <c r="I223" s="52"/>
      <c r="J223" s="52"/>
      <c r="K223" s="52"/>
      <c r="L223" s="52"/>
    </row>
    <row r="224" spans="3:12" ht="15.5">
      <c r="C224" s="52"/>
      <c r="D224" s="52"/>
      <c r="E224" s="52"/>
      <c r="F224" s="52"/>
      <c r="G224" s="52"/>
      <c r="H224" s="52"/>
      <c r="I224" s="52"/>
      <c r="J224" s="52"/>
      <c r="K224" s="52"/>
      <c r="L224" s="52"/>
    </row>
    <row r="225" spans="3:12" ht="15.5">
      <c r="C225" s="52"/>
      <c r="D225" s="52"/>
      <c r="E225" s="52"/>
      <c r="F225" s="52"/>
      <c r="G225" s="52"/>
      <c r="H225" s="52"/>
      <c r="I225" s="52"/>
      <c r="J225" s="52"/>
      <c r="K225" s="52"/>
      <c r="L225" s="52"/>
    </row>
    <row r="226" spans="3:12" ht="15.5">
      <c r="C226" s="52"/>
      <c r="D226" s="52"/>
      <c r="E226" s="52"/>
      <c r="F226" s="52"/>
      <c r="G226" s="52"/>
      <c r="H226" s="52"/>
      <c r="I226" s="52"/>
      <c r="J226" s="52"/>
      <c r="K226" s="52"/>
      <c r="L226" s="52"/>
    </row>
    <row r="227" spans="3:12" ht="15.5">
      <c r="C227" s="52"/>
      <c r="D227" s="52"/>
      <c r="E227" s="52"/>
      <c r="F227" s="52"/>
      <c r="G227" s="52"/>
      <c r="H227" s="52"/>
      <c r="I227" s="52"/>
      <c r="J227" s="52"/>
      <c r="K227" s="52"/>
      <c r="L227" s="52"/>
    </row>
    <row r="228" spans="3:12" ht="15.5">
      <c r="C228" s="52"/>
      <c r="D228" s="52"/>
      <c r="E228" s="52"/>
      <c r="F228" s="52"/>
      <c r="G228" s="52"/>
      <c r="H228" s="52"/>
      <c r="I228" s="52"/>
      <c r="J228" s="52"/>
      <c r="K228" s="52"/>
      <c r="L228" s="52"/>
    </row>
    <row r="229" spans="3:12" ht="15.5">
      <c r="C229" s="52"/>
      <c r="D229" s="52"/>
      <c r="E229" s="52"/>
      <c r="F229" s="52"/>
      <c r="G229" s="52"/>
      <c r="H229" s="52"/>
      <c r="I229" s="52"/>
      <c r="J229" s="52"/>
      <c r="K229" s="52"/>
      <c r="L229" s="52"/>
    </row>
    <row r="230" spans="3:12" ht="15.5">
      <c r="C230" s="52"/>
      <c r="D230" s="52"/>
      <c r="E230" s="52"/>
      <c r="F230" s="52"/>
      <c r="G230" s="52"/>
      <c r="H230" s="52"/>
      <c r="I230" s="52"/>
      <c r="J230" s="52"/>
      <c r="K230" s="52"/>
      <c r="L230" s="52"/>
    </row>
    <row r="231" spans="3:12" ht="15.5">
      <c r="C231" s="52"/>
      <c r="D231" s="52"/>
      <c r="E231" s="52"/>
      <c r="F231" s="52"/>
      <c r="G231" s="52"/>
      <c r="H231" s="52"/>
      <c r="I231" s="52"/>
      <c r="J231" s="52"/>
      <c r="K231" s="52"/>
      <c r="L231" s="52"/>
    </row>
    <row r="232" spans="3:12" ht="15.5">
      <c r="C232" s="52"/>
      <c r="D232" s="52"/>
      <c r="E232" s="52"/>
      <c r="F232" s="52"/>
      <c r="G232" s="52"/>
      <c r="H232" s="52"/>
      <c r="I232" s="52"/>
      <c r="J232" s="52"/>
      <c r="K232" s="52"/>
      <c r="L232" s="52"/>
    </row>
    <row r="233" spans="3:12" ht="15.5">
      <c r="C233" s="52"/>
      <c r="D233" s="52"/>
      <c r="E233" s="52"/>
      <c r="F233" s="52"/>
      <c r="G233" s="52"/>
      <c r="H233" s="52"/>
      <c r="I233" s="52"/>
      <c r="J233" s="52"/>
      <c r="K233" s="52"/>
      <c r="L233" s="52"/>
    </row>
    <row r="234" spans="3:12" ht="15.5">
      <c r="C234" s="52"/>
      <c r="D234" s="52"/>
      <c r="E234" s="52"/>
      <c r="F234" s="52"/>
      <c r="G234" s="52"/>
      <c r="H234" s="52"/>
      <c r="I234" s="52"/>
      <c r="J234" s="52"/>
      <c r="K234" s="52"/>
      <c r="L234" s="52"/>
    </row>
    <row r="235" spans="3:12" ht="15.5">
      <c r="C235" s="52"/>
      <c r="D235" s="52"/>
      <c r="E235" s="52"/>
      <c r="F235" s="52"/>
      <c r="G235" s="52"/>
      <c r="H235" s="52"/>
      <c r="I235" s="52"/>
      <c r="J235" s="52"/>
      <c r="K235" s="52"/>
      <c r="L235" s="52"/>
    </row>
    <row r="236" spans="3:12" ht="15.5">
      <c r="C236" s="52"/>
      <c r="D236" s="52"/>
      <c r="E236" s="52"/>
      <c r="F236" s="52"/>
      <c r="G236" s="52"/>
      <c r="H236" s="52"/>
      <c r="I236" s="52"/>
      <c r="J236" s="52"/>
      <c r="K236" s="52"/>
      <c r="L236" s="52"/>
    </row>
    <row r="237" spans="3:12" ht="15.5">
      <c r="C237" s="52"/>
      <c r="D237" s="52"/>
      <c r="E237" s="52"/>
      <c r="F237" s="52"/>
      <c r="G237" s="52"/>
      <c r="H237" s="52"/>
      <c r="I237" s="52"/>
      <c r="J237" s="52"/>
      <c r="K237" s="52"/>
      <c r="L237" s="52"/>
    </row>
    <row r="238" spans="3:12" ht="15.5">
      <c r="C238" s="52"/>
      <c r="D238" s="52"/>
      <c r="E238" s="52"/>
      <c r="F238" s="52"/>
      <c r="G238" s="52"/>
      <c r="H238" s="52"/>
      <c r="I238" s="52"/>
      <c r="J238" s="52"/>
      <c r="K238" s="52"/>
      <c r="L238" s="52"/>
    </row>
    <row r="239" spans="3:12" ht="15.5">
      <c r="C239" s="52"/>
      <c r="D239" s="52"/>
      <c r="E239" s="52"/>
      <c r="F239" s="52"/>
      <c r="G239" s="52"/>
      <c r="H239" s="52"/>
      <c r="I239" s="52"/>
      <c r="J239" s="52"/>
      <c r="K239" s="52"/>
      <c r="L239" s="52"/>
    </row>
    <row r="240" spans="3:12" ht="15.5">
      <c r="C240" s="52"/>
      <c r="D240" s="52"/>
      <c r="E240" s="52"/>
      <c r="F240" s="52"/>
      <c r="G240" s="52"/>
      <c r="H240" s="52"/>
      <c r="I240" s="52"/>
      <c r="J240" s="52"/>
      <c r="K240" s="52"/>
      <c r="L240" s="52"/>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scale="3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9"/>
  <sheetViews>
    <sheetView view="pageBreakPreview" zoomScale="70" zoomScaleNormal="65" zoomScaleSheetLayoutView="70" workbookViewId="0" topLeftCell="A1">
      <selection pane="topLeft" activeCell="D2" sqref="D2"/>
    </sheetView>
  </sheetViews>
  <sheetFormatPr defaultColWidth="8.91714285714286" defaultRowHeight="15.5"/>
  <cols>
    <col min="1" max="1" width="5.35714285714286" style="51" bestFit="1" customWidth="1"/>
    <col min="2" max="2" width="15.8571428571429" style="11" customWidth="1"/>
    <col min="3" max="3" width="5.85714285714286" style="208" customWidth="1"/>
    <col min="4" max="4" width="31.9285714285714" style="1" bestFit="1" customWidth="1"/>
    <col min="5" max="5" width="4.85714285714286" style="26" customWidth="1"/>
    <col min="6" max="6" width="18.8571428571429" style="208" customWidth="1"/>
    <col min="7" max="10" width="18.8571428571429" style="1" customWidth="1"/>
    <col min="11" max="11" width="4.85714285714286" style="1" customWidth="1"/>
    <col min="12" max="16384" width="8.92857142857143" style="1"/>
  </cols>
  <sheetData>
    <row r="1" spans="1:11" ht="15.5">
      <c r="A1" s="311"/>
      <c r="B1" s="311"/>
      <c r="C1" s="311"/>
      <c r="D1" s="311"/>
      <c r="K1" s="3" t="s">
        <v>310</v>
      </c>
    </row>
    <row r="2" spans="1:11" ht="15.5">
      <c r="A2" s="311"/>
      <c r="B2" s="311"/>
      <c r="C2" s="311"/>
      <c r="D2" s="311"/>
      <c r="K2" s="3" t="s">
        <v>275</v>
      </c>
    </row>
    <row r="3" spans="1:11" ht="15.5">
      <c r="A3" s="311"/>
      <c r="B3" s="311"/>
      <c r="C3" s="311"/>
      <c r="D3" s="311"/>
      <c r="K3" s="3" t="str">
        <f>'Attachment H-21-A ATSI '!K4</f>
        <v>For the 12 months ended 12/31/2023</v>
      </c>
    </row>
    <row r="5" spans="2:10" ht="15.5">
      <c r="B5" s="690" t="s">
        <v>614</v>
      </c>
      <c r="C5" s="690"/>
      <c r="D5" s="690"/>
      <c r="E5" s="690"/>
      <c r="F5" s="690"/>
      <c r="G5" s="690"/>
      <c r="H5" s="690"/>
      <c r="I5" s="690"/>
      <c r="J5" s="690"/>
    </row>
    <row r="6" spans="2:10" ht="15.5">
      <c r="B6" s="691" t="s">
        <v>312</v>
      </c>
      <c r="C6" s="691"/>
      <c r="D6" s="691"/>
      <c r="E6" s="691"/>
      <c r="F6" s="691"/>
      <c r="G6" s="691"/>
      <c r="H6" s="691"/>
      <c r="I6" s="691"/>
      <c r="J6" s="691"/>
    </row>
    <row r="8" spans="1:10" s="32" customFormat="1" ht="15.5">
      <c r="A8" s="51"/>
      <c r="B8" s="7" t="s">
        <v>363</v>
      </c>
      <c r="C8" s="51" t="s">
        <v>377</v>
      </c>
      <c r="D8" s="32" t="s">
        <v>506</v>
      </c>
      <c r="E8" s="26"/>
      <c r="F8" s="32" t="s">
        <v>547</v>
      </c>
      <c r="G8" s="51" t="s">
        <v>550</v>
      </c>
      <c r="H8" s="32" t="s">
        <v>611</v>
      </c>
      <c r="I8" s="32" t="s">
        <v>612</v>
      </c>
      <c r="J8" s="32" t="s">
        <v>613</v>
      </c>
    </row>
    <row r="9" spans="2:10" s="210" customFormat="1" ht="65.15" customHeight="1">
      <c r="B9" s="210" t="s">
        <v>601</v>
      </c>
      <c r="D9" s="210" t="s">
        <v>602</v>
      </c>
      <c r="E9" s="212"/>
      <c r="F9" s="211" t="s">
        <v>605</v>
      </c>
      <c r="G9" s="210" t="s">
        <v>606</v>
      </c>
      <c r="H9" s="210" t="s">
        <v>607</v>
      </c>
      <c r="I9" s="210" t="s">
        <v>608</v>
      </c>
      <c r="J9" s="210" t="s">
        <v>609</v>
      </c>
    </row>
    <row r="10" spans="5:10" s="210" customFormat="1" ht="15.5">
      <c r="E10" s="212"/>
      <c r="F10" s="211"/>
      <c r="G10" s="252" t="s">
        <v>646</v>
      </c>
      <c r="H10" s="252" t="s">
        <v>647</v>
      </c>
      <c r="I10" s="252"/>
      <c r="J10" s="252" t="s">
        <v>651</v>
      </c>
    </row>
    <row r="11" spans="1:11" ht="15.5">
      <c r="A11" s="51">
        <v>1</v>
      </c>
      <c r="B11" s="11" t="s">
        <v>332</v>
      </c>
      <c r="C11" s="209">
        <f>'Appendix B-Veg'!C11</f>
        <v>2022</v>
      </c>
      <c r="D11" s="1" t="s">
        <v>603</v>
      </c>
      <c r="F11" s="213">
        <v>97</v>
      </c>
      <c r="G11" s="148"/>
      <c r="H11" s="148"/>
      <c r="I11" s="148"/>
      <c r="J11" s="162">
        <v>25165059.99999997</v>
      </c>
      <c r="K11" s="151"/>
    </row>
    <row r="12" spans="1:10" ht="15.5">
      <c r="A12" s="51">
        <v>2</v>
      </c>
      <c r="B12" s="11" t="s">
        <v>333</v>
      </c>
      <c r="C12" s="209">
        <f>C11+1</f>
        <v>2023</v>
      </c>
      <c r="D12" s="1" t="s">
        <v>635</v>
      </c>
      <c r="F12" s="213">
        <f>F11-1</f>
        <v>96</v>
      </c>
      <c r="G12" s="148">
        <f>J11</f>
        <v>25165059.99999997</v>
      </c>
      <c r="H12" s="148">
        <f>G12/F12</f>
        <v>262136.04166666637</v>
      </c>
      <c r="I12" s="162">
        <v>0</v>
      </c>
      <c r="J12" s="148">
        <f>G12-H12+I12</f>
        <v>24902923.958333302</v>
      </c>
    </row>
    <row r="13" spans="1:10" ht="15.5">
      <c r="A13" s="51">
        <v>3</v>
      </c>
      <c r="B13" s="11" t="s">
        <v>334</v>
      </c>
      <c r="C13" s="209">
        <f>C12</f>
        <v>2023</v>
      </c>
      <c r="D13" s="1" t="s">
        <v>635</v>
      </c>
      <c r="F13" s="213">
        <f t="shared" si="0" ref="F13:F22">F12-1</f>
        <v>95</v>
      </c>
      <c r="G13" s="148">
        <f t="shared" si="1" ref="G13:G22">J12</f>
        <v>24902923.958333302</v>
      </c>
      <c r="H13" s="148">
        <f t="shared" si="2" ref="H13:H23">G13/F13</f>
        <v>262136.04166666634</v>
      </c>
      <c r="I13" s="162">
        <v>0</v>
      </c>
      <c r="J13" s="148">
        <f t="shared" si="3" ref="J13:J23">G13-H13+I13</f>
        <v>24640787.916666634</v>
      </c>
    </row>
    <row r="14" spans="1:10" ht="15.5">
      <c r="A14" s="51">
        <v>4</v>
      </c>
      <c r="B14" s="11" t="s">
        <v>335</v>
      </c>
      <c r="C14" s="209">
        <f t="shared" si="4" ref="C14:C23">C13</f>
        <v>2023</v>
      </c>
      <c r="D14" s="1" t="s">
        <v>635</v>
      </c>
      <c r="F14" s="213">
        <f t="shared" si="0"/>
        <v>94</v>
      </c>
      <c r="G14" s="148">
        <f t="shared" si="1"/>
        <v>24640787.916666634</v>
      </c>
      <c r="H14" s="148">
        <f t="shared" si="2"/>
        <v>262136.04166666634</v>
      </c>
      <c r="I14" s="162">
        <v>0</v>
      </c>
      <c r="J14" s="148">
        <f t="shared" si="3"/>
        <v>24378651.874999966</v>
      </c>
    </row>
    <row r="15" spans="1:10" ht="15.5">
      <c r="A15" s="51">
        <v>5</v>
      </c>
      <c r="B15" s="11" t="s">
        <v>336</v>
      </c>
      <c r="C15" s="209">
        <f t="shared" si="4"/>
        <v>2023</v>
      </c>
      <c r="D15" s="1" t="s">
        <v>635</v>
      </c>
      <c r="F15" s="213">
        <f t="shared" si="0"/>
        <v>93</v>
      </c>
      <c r="G15" s="148">
        <f t="shared" si="1"/>
        <v>24378651.874999966</v>
      </c>
      <c r="H15" s="148">
        <f t="shared" si="2"/>
        <v>262136.04166666631</v>
      </c>
      <c r="I15" s="162">
        <v>0</v>
      </c>
      <c r="J15" s="148">
        <f t="shared" si="3"/>
        <v>24116515.833333299</v>
      </c>
    </row>
    <row r="16" spans="1:10" ht="15.5">
      <c r="A16" s="51">
        <v>6</v>
      </c>
      <c r="B16" s="11" t="s">
        <v>337</v>
      </c>
      <c r="C16" s="209">
        <f t="shared" si="4"/>
        <v>2023</v>
      </c>
      <c r="D16" s="1" t="s">
        <v>635</v>
      </c>
      <c r="F16" s="213">
        <f t="shared" si="0"/>
        <v>92</v>
      </c>
      <c r="G16" s="148">
        <f t="shared" si="1"/>
        <v>24116515.833333299</v>
      </c>
      <c r="H16" s="148">
        <f t="shared" si="2"/>
        <v>262136.04166666628</v>
      </c>
      <c r="I16" s="162">
        <v>0</v>
      </c>
      <c r="J16" s="148">
        <f t="shared" si="3"/>
        <v>23854379.791666631</v>
      </c>
    </row>
    <row r="17" spans="1:10" ht="15.5">
      <c r="A17" s="51">
        <v>7</v>
      </c>
      <c r="B17" s="11" t="s">
        <v>353</v>
      </c>
      <c r="C17" s="209">
        <f t="shared" si="4"/>
        <v>2023</v>
      </c>
      <c r="D17" s="1" t="s">
        <v>635</v>
      </c>
      <c r="F17" s="213">
        <f t="shared" si="0"/>
        <v>91</v>
      </c>
      <c r="G17" s="148">
        <f t="shared" si="1"/>
        <v>23854379.791666631</v>
      </c>
      <c r="H17" s="148">
        <f t="shared" si="2"/>
        <v>262136.04166666628</v>
      </c>
      <c r="I17" s="162">
        <v>0</v>
      </c>
      <c r="J17" s="148">
        <f t="shared" si="3"/>
        <v>23592243.749999963</v>
      </c>
    </row>
    <row r="18" spans="1:10" ht="15.5">
      <c r="A18" s="51">
        <v>8</v>
      </c>
      <c r="B18" s="11" t="s">
        <v>338</v>
      </c>
      <c r="C18" s="209">
        <f t="shared" si="4"/>
        <v>2023</v>
      </c>
      <c r="D18" s="1" t="s">
        <v>635</v>
      </c>
      <c r="F18" s="213">
        <f t="shared" si="0"/>
        <v>90</v>
      </c>
      <c r="G18" s="148">
        <f t="shared" si="1"/>
        <v>23592243.749999963</v>
      </c>
      <c r="H18" s="148">
        <f t="shared" si="2"/>
        <v>262136.04166666625</v>
      </c>
      <c r="I18" s="162">
        <v>0</v>
      </c>
      <c r="J18" s="148">
        <f t="shared" si="3"/>
        <v>23330107.708333295</v>
      </c>
    </row>
    <row r="19" spans="1:10" ht="15.5">
      <c r="A19" s="51">
        <v>9</v>
      </c>
      <c r="B19" s="11" t="s">
        <v>339</v>
      </c>
      <c r="C19" s="209">
        <f t="shared" si="4"/>
        <v>2023</v>
      </c>
      <c r="D19" s="1" t="s">
        <v>635</v>
      </c>
      <c r="F19" s="213">
        <f t="shared" si="0"/>
        <v>89</v>
      </c>
      <c r="G19" s="148">
        <f t="shared" si="1"/>
        <v>23330107.708333295</v>
      </c>
      <c r="H19" s="148">
        <f t="shared" si="2"/>
        <v>262136.04166666622</v>
      </c>
      <c r="I19" s="162">
        <v>0</v>
      </c>
      <c r="J19" s="148">
        <f t="shared" si="3"/>
        <v>23067971.666666627</v>
      </c>
    </row>
    <row r="20" spans="1:10" ht="15.5">
      <c r="A20" s="51">
        <v>10</v>
      </c>
      <c r="B20" s="11" t="s">
        <v>340</v>
      </c>
      <c r="C20" s="209">
        <f t="shared" si="4"/>
        <v>2023</v>
      </c>
      <c r="D20" s="1" t="s">
        <v>635</v>
      </c>
      <c r="F20" s="213">
        <f t="shared" si="0"/>
        <v>88</v>
      </c>
      <c r="G20" s="148">
        <f t="shared" si="1"/>
        <v>23067971.666666627</v>
      </c>
      <c r="H20" s="148">
        <f t="shared" si="2"/>
        <v>262136.04166666622</v>
      </c>
      <c r="I20" s="162">
        <v>0</v>
      </c>
      <c r="J20" s="148">
        <f t="shared" si="3"/>
        <v>22805835.624999959</v>
      </c>
    </row>
    <row r="21" spans="1:10" ht="15.5">
      <c r="A21" s="51">
        <v>11</v>
      </c>
      <c r="B21" s="11" t="s">
        <v>342</v>
      </c>
      <c r="C21" s="209">
        <f t="shared" si="4"/>
        <v>2023</v>
      </c>
      <c r="D21" s="1" t="s">
        <v>635</v>
      </c>
      <c r="F21" s="213">
        <f>F20-1</f>
        <v>87</v>
      </c>
      <c r="G21" s="148">
        <f t="shared" si="1"/>
        <v>22805835.624999959</v>
      </c>
      <c r="H21" s="148">
        <f t="shared" si="2"/>
        <v>262136.04166666619</v>
      </c>
      <c r="I21" s="162">
        <v>0</v>
      </c>
      <c r="J21" s="148">
        <f t="shared" si="3"/>
        <v>22543699.583333291</v>
      </c>
    </row>
    <row r="22" spans="1:10" ht="15.5">
      <c r="A22" s="51">
        <v>12</v>
      </c>
      <c r="B22" s="11" t="s">
        <v>341</v>
      </c>
      <c r="C22" s="209">
        <f t="shared" si="4"/>
        <v>2023</v>
      </c>
      <c r="D22" s="1" t="s">
        <v>635</v>
      </c>
      <c r="F22" s="213">
        <f t="shared" si="0"/>
        <v>86</v>
      </c>
      <c r="G22" s="148">
        <f t="shared" si="1"/>
        <v>22543699.583333291</v>
      </c>
      <c r="H22" s="148">
        <f t="shared" si="2"/>
        <v>262136.04166666616</v>
      </c>
      <c r="I22" s="162">
        <v>0</v>
      </c>
      <c r="J22" s="148">
        <f t="shared" si="3"/>
        <v>22281563.541666623</v>
      </c>
    </row>
    <row r="23" spans="1:10" s="220" customFormat="1" ht="16" thickBot="1">
      <c r="A23" s="214">
        <v>13</v>
      </c>
      <c r="B23" s="215" t="s">
        <v>332</v>
      </c>
      <c r="C23" s="216">
        <f t="shared" si="4"/>
        <v>2023</v>
      </c>
      <c r="D23" s="220" t="s">
        <v>617</v>
      </c>
      <c r="E23" s="189"/>
      <c r="F23" s="217">
        <f>F22-1</f>
        <v>85</v>
      </c>
      <c r="G23" s="218">
        <f>J22</f>
        <v>22281563.541666623</v>
      </c>
      <c r="H23" s="222">
        <f t="shared" si="2"/>
        <v>262136.04166666616</v>
      </c>
      <c r="I23" s="219">
        <v>0</v>
      </c>
      <c r="J23" s="218">
        <f t="shared" si="3"/>
        <v>22019427.499999955</v>
      </c>
    </row>
    <row r="24" spans="1:10" s="220" customFormat="1" ht="15.5">
      <c r="A24" s="214">
        <v>14</v>
      </c>
      <c r="B24" s="215"/>
      <c r="C24" s="221"/>
      <c r="E24" s="189"/>
      <c r="F24" s="214"/>
      <c r="G24" s="223" t="s">
        <v>615</v>
      </c>
      <c r="H24" s="218">
        <f>SUM(H12:H23)</f>
        <v>3145632.4999999949</v>
      </c>
      <c r="I24" s="424"/>
      <c r="J24" s="425"/>
    </row>
    <row r="25" spans="1:10" ht="15.5">
      <c r="A25" s="51">
        <v>15</v>
      </c>
      <c r="G25" s="26" t="s">
        <v>616</v>
      </c>
      <c r="I25" s="426"/>
      <c r="J25" s="427"/>
    </row>
    <row r="26" spans="1:9" ht="15.5">
      <c r="A26" s="51">
        <v>16</v>
      </c>
      <c r="F26" s="26" t="s">
        <v>619</v>
      </c>
      <c r="G26" s="26" t="s">
        <v>728</v>
      </c>
      <c r="I26" s="426"/>
    </row>
    <row r="28" spans="1:1" ht="15.5">
      <c r="A28" s="62" t="s">
        <v>297</v>
      </c>
    </row>
    <row r="29" spans="1:11" ht="35.4" customHeight="1">
      <c r="A29" s="60" t="s">
        <v>141</v>
      </c>
      <c r="B29" s="692" t="s">
        <v>807</v>
      </c>
      <c r="C29" s="692"/>
      <c r="D29" s="692"/>
      <c r="E29" s="692"/>
      <c r="F29" s="692"/>
      <c r="G29" s="692"/>
      <c r="H29" s="692"/>
      <c r="I29" s="692"/>
      <c r="J29" s="692"/>
      <c r="K29" s="692"/>
    </row>
  </sheetData>
  <mergeCells count="3">
    <mergeCell ref="B5:J5"/>
    <mergeCell ref="B6:J6"/>
    <mergeCell ref="B29:K29"/>
  </mergeCells>
  <printOptions horizontalCentered="1"/>
  <pageMargins left="0.7" right="0.7" top="0.75" bottom="0.75" header="0.3" footer="0.3"/>
  <pageSetup fitToHeight="0" fitToWidth="0" orientation="portrait" scale="4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Q29"/>
  <sheetViews>
    <sheetView view="pageBreakPreview" zoomScale="80" zoomScaleNormal="65" zoomScaleSheetLayoutView="80" workbookViewId="0" topLeftCell="A1">
      <selection pane="topLeft" activeCell="B2" sqref="B2"/>
    </sheetView>
  </sheetViews>
  <sheetFormatPr defaultColWidth="8.91714285714286" defaultRowHeight="15.5"/>
  <cols>
    <col min="1" max="1" width="6.21428571428571" style="1" customWidth="1"/>
    <col min="2" max="2" width="46.0714285714286" style="1" customWidth="1"/>
    <col min="3" max="3" width="3.35714285714286" style="1" bestFit="1" customWidth="1"/>
    <col min="4" max="4" width="25.2142857142857" style="1" bestFit="1" customWidth="1"/>
    <col min="5" max="6" width="18.8571428571429" style="1" customWidth="1"/>
    <col min="7" max="7" width="22.8571428571429" style="1" customWidth="1"/>
    <col min="8" max="16384" width="8.92857142857143" style="1"/>
  </cols>
  <sheetData>
    <row r="1" spans="1:7" ht="15.5">
      <c r="A1" s="609"/>
      <c r="B1" s="609"/>
      <c r="C1" s="609"/>
      <c r="D1" s="609"/>
      <c r="G1" s="3" t="s">
        <v>629</v>
      </c>
    </row>
    <row r="2" spans="1:7" ht="15.5">
      <c r="A2" s="609"/>
      <c r="B2" s="609"/>
      <c r="C2" s="609"/>
      <c r="D2" s="609"/>
      <c r="G2" s="116" t="s">
        <v>275</v>
      </c>
    </row>
    <row r="3" spans="1:7" ht="15.5">
      <c r="A3" s="609"/>
      <c r="B3" s="609"/>
      <c r="C3" s="609"/>
      <c r="D3" s="609"/>
      <c r="G3" s="3" t="str">
        <f>'Attachment H-21-A ATSI '!K4</f>
        <v>For the 12 months ended 12/31/2023</v>
      </c>
    </row>
    <row r="5" spans="2:6" ht="15.5">
      <c r="B5" s="696" t="s">
        <v>622</v>
      </c>
      <c r="C5" s="696"/>
      <c r="D5" s="696"/>
      <c r="E5" s="696"/>
      <c r="F5" s="696"/>
    </row>
    <row r="6" spans="2:6" ht="15.5">
      <c r="B6" s="686" t="s">
        <v>312</v>
      </c>
      <c r="C6" s="686" t="s">
        <v>622</v>
      </c>
      <c r="D6" s="686"/>
      <c r="E6" s="686"/>
      <c r="F6" s="686"/>
    </row>
    <row r="7" spans="2:6" ht="15.5">
      <c r="B7" s="32"/>
      <c r="C7" s="32"/>
      <c r="D7" s="32"/>
      <c r="E7" s="32"/>
      <c r="F7" s="32"/>
    </row>
    <row r="8" spans="2:7" ht="15.5">
      <c r="B8" s="32" t="s">
        <v>623</v>
      </c>
      <c r="D8" s="32" t="s">
        <v>624</v>
      </c>
      <c r="E8" s="32" t="s">
        <v>625</v>
      </c>
      <c r="F8" s="32" t="s">
        <v>626</v>
      </c>
      <c r="G8" s="32" t="s">
        <v>643</v>
      </c>
    </row>
    <row r="9" spans="1:7" ht="15.5">
      <c r="A9" s="496"/>
      <c r="D9" s="253" t="s">
        <v>602</v>
      </c>
      <c r="E9" s="253" t="s">
        <v>649</v>
      </c>
      <c r="F9" s="253" t="s">
        <v>696</v>
      </c>
      <c r="G9" s="253" t="s">
        <v>695</v>
      </c>
    </row>
    <row r="10" spans="4:7" s="248" customFormat="1" ht="15.5">
      <c r="D10" s="254"/>
      <c r="E10" s="251" t="s">
        <v>650</v>
      </c>
      <c r="F10" s="254" t="s">
        <v>642</v>
      </c>
      <c r="G10" s="254" t="s">
        <v>698</v>
      </c>
    </row>
    <row r="11" spans="4:7" s="248" customFormat="1" ht="15.5">
      <c r="D11" s="254"/>
      <c r="E11" s="249">
        <f>'Appendix C-RRCA'!C23</f>
        <v>2023</v>
      </c>
      <c r="F11" s="254" t="s">
        <v>697</v>
      </c>
      <c r="G11" s="254" t="s">
        <v>644</v>
      </c>
    </row>
    <row r="12" spans="4:7" s="248" customFormat="1" ht="15.5">
      <c r="D12" s="254"/>
      <c r="E12" s="268"/>
      <c r="F12" s="254"/>
      <c r="G12" s="248" t="s">
        <v>648</v>
      </c>
    </row>
    <row r="13" spans="5:7" s="248" customFormat="1" ht="15.5">
      <c r="E13" s="251" t="s">
        <v>547</v>
      </c>
      <c r="F13" s="248" t="s">
        <v>550</v>
      </c>
      <c r="G13" s="248" t="s">
        <v>611</v>
      </c>
    </row>
    <row r="14" spans="1:17" ht="15.65" customHeight="1">
      <c r="A14" s="428">
        <v>1</v>
      </c>
      <c r="B14" s="1" t="s">
        <v>645</v>
      </c>
      <c r="C14" s="117" t="s">
        <v>363</v>
      </c>
      <c r="D14" s="1" t="s">
        <v>804</v>
      </c>
      <c r="E14" s="298">
        <f>SUM(E15:E17)</f>
        <v>911462.79587441939</v>
      </c>
      <c r="F14" s="596">
        <f>'Attachment H-21-A ATSI '!$D$170</f>
        <v>1.2869309403412774</v>
      </c>
      <c r="G14" s="280">
        <f>E14*F14</f>
        <v>1172989.6729807563</v>
      </c>
      <c r="H14" s="694"/>
      <c r="I14" s="694"/>
      <c r="J14" s="694"/>
      <c r="K14" s="694"/>
      <c r="L14" s="694"/>
      <c r="M14" s="694"/>
      <c r="N14" s="694"/>
      <c r="O14" s="694"/>
      <c r="P14" s="694"/>
      <c r="Q14" s="694"/>
    </row>
    <row r="15" spans="1:17" ht="15.65" customHeight="1">
      <c r="A15" s="428" t="s">
        <v>9</v>
      </c>
      <c r="B15" s="1" t="s">
        <v>736</v>
      </c>
      <c r="C15" s="117" t="s">
        <v>377</v>
      </c>
      <c r="D15" s="1" t="s">
        <v>604</v>
      </c>
      <c r="E15" s="318">
        <v>893807.52587441937</v>
      </c>
      <c r="F15" s="610" t="s">
        <v>687</v>
      </c>
      <c r="G15" s="429" t="s">
        <v>687</v>
      </c>
      <c r="H15" s="694"/>
      <c r="I15" s="694"/>
      <c r="J15" s="694"/>
      <c r="K15" s="694"/>
      <c r="L15" s="694"/>
      <c r="M15" s="694"/>
      <c r="N15" s="694"/>
      <c r="O15" s="694"/>
      <c r="P15" s="694"/>
      <c r="Q15" s="694"/>
    </row>
    <row r="16" spans="1:17" ht="15.65" customHeight="1">
      <c r="A16" s="428" t="s">
        <v>267</v>
      </c>
      <c r="B16" s="1" t="s">
        <v>738</v>
      </c>
      <c r="C16" s="117" t="s">
        <v>377</v>
      </c>
      <c r="D16" s="1" t="s">
        <v>604</v>
      </c>
      <c r="E16" s="318">
        <v>7869.5600000000004</v>
      </c>
      <c r="F16" s="610" t="s">
        <v>687</v>
      </c>
      <c r="G16" s="429" t="s">
        <v>687</v>
      </c>
      <c r="H16" s="694"/>
      <c r="I16" s="694"/>
      <c r="J16" s="694"/>
      <c r="K16" s="694"/>
      <c r="L16" s="694"/>
      <c r="M16" s="694"/>
      <c r="N16" s="694"/>
      <c r="O16" s="694"/>
      <c r="P16" s="694"/>
      <c r="Q16" s="694"/>
    </row>
    <row r="17" spans="1:17" ht="15.65" customHeight="1">
      <c r="A17" s="428" t="s">
        <v>268</v>
      </c>
      <c r="B17" s="1" t="s">
        <v>739</v>
      </c>
      <c r="C17" s="117" t="s">
        <v>377</v>
      </c>
      <c r="D17" s="1" t="s">
        <v>604</v>
      </c>
      <c r="E17" s="318">
        <v>9785.7099999999991</v>
      </c>
      <c r="F17" s="610" t="s">
        <v>687</v>
      </c>
      <c r="G17" s="429" t="s">
        <v>687</v>
      </c>
      <c r="H17" s="694"/>
      <c r="I17" s="694"/>
      <c r="J17" s="694"/>
      <c r="K17" s="694"/>
      <c r="L17" s="694"/>
      <c r="M17" s="694"/>
      <c r="N17" s="694"/>
      <c r="O17" s="694"/>
      <c r="P17" s="694"/>
      <c r="Q17" s="694"/>
    </row>
    <row r="18" spans="1:17" ht="15.5">
      <c r="A18" s="428">
        <v>2</v>
      </c>
      <c r="B18" s="1" t="s">
        <v>627</v>
      </c>
      <c r="C18" s="117" t="s">
        <v>506</v>
      </c>
      <c r="D18" s="282" t="s">
        <v>986</v>
      </c>
      <c r="E18" s="318">
        <v>-2809544.7066365518</v>
      </c>
      <c r="F18" s="610" t="s">
        <v>687</v>
      </c>
      <c r="G18" s="319" t="s">
        <v>687</v>
      </c>
      <c r="H18" s="694"/>
      <c r="I18" s="694"/>
      <c r="J18" s="694"/>
      <c r="K18" s="694"/>
      <c r="L18" s="694"/>
      <c r="M18" s="694"/>
      <c r="N18" s="694"/>
      <c r="O18" s="694"/>
      <c r="P18" s="694"/>
      <c r="Q18" s="694"/>
    </row>
    <row r="19" spans="1:17" ht="15.5">
      <c r="A19" s="428">
        <v>3</v>
      </c>
      <c r="B19" s="1" t="s">
        <v>628</v>
      </c>
      <c r="C19" s="117" t="s">
        <v>506</v>
      </c>
      <c r="D19" s="282" t="s">
        <v>986</v>
      </c>
      <c r="E19" s="318">
        <v>0</v>
      </c>
      <c r="F19" s="279" t="s">
        <v>687</v>
      </c>
      <c r="G19" s="319" t="s">
        <v>687</v>
      </c>
      <c r="H19" s="694"/>
      <c r="I19" s="694"/>
      <c r="J19" s="694"/>
      <c r="K19" s="694"/>
      <c r="L19" s="694"/>
      <c r="M19" s="694"/>
      <c r="N19" s="694"/>
      <c r="O19" s="694"/>
      <c r="P19" s="694"/>
      <c r="Q19" s="694"/>
    </row>
    <row r="23" spans="1:1" ht="15.5">
      <c r="A23" s="1" t="s">
        <v>364</v>
      </c>
    </row>
    <row r="24" spans="1:7" ht="34.25" customHeight="1">
      <c r="A24" s="60" t="s">
        <v>363</v>
      </c>
      <c r="B24" s="699" t="s">
        <v>737</v>
      </c>
      <c r="C24" s="699"/>
      <c r="D24" s="699"/>
      <c r="E24" s="699"/>
      <c r="F24" s="699"/>
      <c r="G24" s="699"/>
    </row>
    <row r="25" spans="1:7" ht="66" customHeight="1">
      <c r="A25" s="60" t="s">
        <v>377</v>
      </c>
      <c r="B25" s="699" t="s">
        <v>808</v>
      </c>
      <c r="C25" s="699"/>
      <c r="D25" s="699"/>
      <c r="E25" s="699"/>
      <c r="F25" s="699"/>
      <c r="G25" s="699"/>
    </row>
    <row r="26" spans="1:7" ht="65.4" customHeight="1">
      <c r="A26" s="60" t="s">
        <v>506</v>
      </c>
      <c r="B26" s="699" t="s">
        <v>877</v>
      </c>
      <c r="C26" s="699"/>
      <c r="D26" s="699"/>
      <c r="E26" s="699"/>
      <c r="F26" s="699"/>
      <c r="G26" s="699"/>
    </row>
    <row r="27" spans="1:7" ht="15.5">
      <c r="A27" s="60" t="s">
        <v>547</v>
      </c>
      <c r="B27" s="699" t="s">
        <v>689</v>
      </c>
      <c r="C27" s="699"/>
      <c r="D27" s="699"/>
      <c r="E27" s="699"/>
      <c r="F27" s="699"/>
      <c r="G27" s="699"/>
    </row>
    <row r="28" spans="1:7" ht="15.5">
      <c r="A28" s="60" t="s">
        <v>550</v>
      </c>
      <c r="B28" s="361" t="s">
        <v>832</v>
      </c>
      <c r="C28" s="471"/>
      <c r="D28" s="471"/>
      <c r="E28" s="471"/>
      <c r="F28" s="471"/>
      <c r="G28" s="471"/>
    </row>
    <row r="29" spans="1:7" ht="21.65" customHeight="1">
      <c r="A29" s="248" t="s">
        <v>611</v>
      </c>
      <c r="B29" s="699" t="s">
        <v>690</v>
      </c>
      <c r="C29" s="699"/>
      <c r="D29" s="699"/>
      <c r="E29" s="699"/>
      <c r="F29" s="699"/>
      <c r="G29" s="699"/>
    </row>
  </sheetData>
  <mergeCells count="8">
    <mergeCell ref="B24:G24"/>
    <mergeCell ref="B29:G29"/>
    <mergeCell ref="H14:Q19"/>
    <mergeCell ref="B27:G27"/>
    <mergeCell ref="B5:F5"/>
    <mergeCell ref="B6:F6"/>
    <mergeCell ref="B25:G25"/>
    <mergeCell ref="B26:G26"/>
  </mergeCells>
  <pageMargins left="0.7" right="0.7" top="0.75" bottom="0.75" header="0.3" footer="0.3"/>
  <pageSetup orientation="portrait" scale="45"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A23349-E32D-40A8-BCC2-2536F5A49C74}">
  <sheetPr codeName="Sheet13"/>
  <dimension ref="A1:O171"/>
  <sheetViews>
    <sheetView view="pageBreakPreview" zoomScale="70" zoomScaleNormal="70" zoomScaleSheetLayoutView="70" workbookViewId="0" topLeftCell="A1">
      <selection pane="topLeft" activeCell="C2" sqref="C2"/>
    </sheetView>
  </sheetViews>
  <sheetFormatPr defaultColWidth="7.22714285714286" defaultRowHeight="14.5"/>
  <cols>
    <col min="1" max="1" width="4.42857142857143" style="482" customWidth="1"/>
    <col min="2" max="2" width="14.0714285714286" style="482" customWidth="1"/>
    <col min="3" max="3" width="42.8571428571429" style="477" customWidth="1"/>
    <col min="4" max="4" width="2.14285714285714" style="477" customWidth="1"/>
    <col min="5" max="5" width="21" style="477" bestFit="1" customWidth="1"/>
    <col min="6" max="6" width="15.9285714285714" style="477" customWidth="1"/>
    <col min="7" max="7" width="18.0714285714286" style="477" customWidth="1"/>
    <col min="8" max="8" width="13.1428571428571" style="477" customWidth="1"/>
    <col min="9" max="9" width="12.8571428571429" style="477" customWidth="1"/>
    <col min="10" max="11" width="15.9285714285714" style="477" customWidth="1"/>
    <col min="12" max="12" width="18.1428571428571" style="477" customWidth="1"/>
    <col min="13" max="13" width="15.2142857142857" style="477" customWidth="1"/>
    <col min="14" max="14" width="12.8571428571429" style="477" customWidth="1"/>
    <col min="15" max="16384" width="7.21428571428571" style="477"/>
  </cols>
  <sheetData>
    <row r="1" spans="1:14" ht="14.5">
      <c r="A1" s="466"/>
      <c r="B1" s="435"/>
      <c r="C1" s="436"/>
      <c r="D1" s="436"/>
      <c r="E1" s="436"/>
      <c r="F1" s="436"/>
      <c r="N1" s="437" t="s">
        <v>692</v>
      </c>
    </row>
    <row r="2" spans="1:14" ht="14.5">
      <c r="A2" s="466"/>
      <c r="B2" s="435"/>
      <c r="C2" s="436"/>
      <c r="D2" s="436"/>
      <c r="E2" s="436"/>
      <c r="F2" s="436"/>
      <c r="N2" s="459" t="s">
        <v>962</v>
      </c>
    </row>
    <row r="3" spans="1:14" ht="14.5">
      <c r="A3" s="466"/>
      <c r="B3" s="435"/>
      <c r="C3" s="436"/>
      <c r="D3" s="436"/>
      <c r="E3" s="436"/>
      <c r="F3" s="436"/>
      <c r="G3" s="438"/>
      <c r="I3" s="450"/>
      <c r="J3" s="439"/>
      <c r="K3" s="440"/>
      <c r="N3" s="437" t="str">
        <f>'Attachment H-21-A ATSI '!K4</f>
        <v>For the 12 months ended 12/31/2023</v>
      </c>
    </row>
    <row r="4" spans="2:12" ht="14.5">
      <c r="B4" s="486"/>
      <c r="C4" s="438"/>
      <c r="D4" s="438"/>
      <c r="E4" s="438"/>
      <c r="F4" s="438"/>
      <c r="G4" s="438"/>
      <c r="I4" s="450"/>
      <c r="J4" s="439"/>
      <c r="K4" s="440"/>
      <c r="L4" s="437"/>
    </row>
    <row r="5" spans="3:12" ht="14.5">
      <c r="C5" s="702" t="s">
        <v>682</v>
      </c>
      <c r="D5" s="702"/>
      <c r="E5" s="702"/>
      <c r="F5" s="702"/>
      <c r="G5" s="702"/>
      <c r="H5" s="702"/>
      <c r="I5" s="702"/>
      <c r="J5" s="702"/>
      <c r="K5" s="702"/>
      <c r="L5" s="403"/>
    </row>
    <row r="6" spans="3:12" ht="14.5">
      <c r="C6" s="703" t="s">
        <v>312</v>
      </c>
      <c r="D6" s="703"/>
      <c r="E6" s="703"/>
      <c r="F6" s="703"/>
      <c r="G6" s="703"/>
      <c r="H6" s="703"/>
      <c r="I6" s="703"/>
      <c r="J6" s="703"/>
      <c r="K6" s="703"/>
      <c r="L6" s="402"/>
    </row>
    <row r="7" spans="3:5" ht="14.5">
      <c r="C7" s="487"/>
      <c r="D7" s="487"/>
      <c r="E7" s="487"/>
    </row>
    <row r="8" spans="2:14" ht="14.5">
      <c r="B8" s="478" t="s">
        <v>652</v>
      </c>
      <c r="C8" s="478" t="s">
        <v>653</v>
      </c>
      <c r="D8" s="487"/>
      <c r="E8" s="478" t="s">
        <v>654</v>
      </c>
      <c r="F8" s="478" t="s">
        <v>655</v>
      </c>
      <c r="G8" s="478" t="s">
        <v>656</v>
      </c>
      <c r="H8" s="478" t="s">
        <v>657</v>
      </c>
      <c r="I8" s="478" t="s">
        <v>658</v>
      </c>
      <c r="J8" s="478" t="s">
        <v>659</v>
      </c>
      <c r="K8" s="478" t="s">
        <v>830</v>
      </c>
      <c r="L8" s="478" t="s">
        <v>831</v>
      </c>
      <c r="M8" s="478" t="s">
        <v>835</v>
      </c>
      <c r="N8" s="478" t="s">
        <v>840</v>
      </c>
    </row>
    <row r="9" spans="1:14" s="0" customFormat="1" ht="103.75" customHeight="1">
      <c r="A9" s="467" t="s">
        <v>255</v>
      </c>
      <c r="B9" s="484" t="s">
        <v>853</v>
      </c>
      <c r="C9" s="441" t="s">
        <v>660</v>
      </c>
      <c r="D9" s="477"/>
      <c r="E9" s="442" t="s">
        <v>979</v>
      </c>
      <c r="F9" s="441" t="s">
        <v>868</v>
      </c>
      <c r="G9" s="441" t="s">
        <v>869</v>
      </c>
      <c r="H9" s="441" t="s">
        <v>870</v>
      </c>
      <c r="I9" s="441" t="s">
        <v>661</v>
      </c>
      <c r="J9" s="441" t="s">
        <v>871</v>
      </c>
      <c r="K9" s="441" t="s">
        <v>872</v>
      </c>
      <c r="L9" s="441" t="s">
        <v>813</v>
      </c>
      <c r="M9" s="441" t="s">
        <v>833</v>
      </c>
      <c r="N9" s="441" t="s">
        <v>836</v>
      </c>
    </row>
    <row r="10" spans="1:12" ht="14.5">
      <c r="A10" s="468"/>
      <c r="B10" s="443"/>
      <c r="C10" s="444" t="s">
        <v>873</v>
      </c>
      <c r="E10" s="445"/>
      <c r="F10" s="445"/>
      <c r="G10" s="445"/>
      <c r="H10" s="445"/>
      <c r="I10" s="445"/>
      <c r="J10" s="445"/>
      <c r="K10" s="445"/>
      <c r="L10" s="445"/>
    </row>
    <row r="11" spans="1:13" ht="14.5">
      <c r="A11" s="465">
        <v>1</v>
      </c>
      <c r="B11" s="446"/>
      <c r="C11" s="444" t="s">
        <v>662</v>
      </c>
      <c r="E11" s="445"/>
      <c r="F11" s="445"/>
      <c r="G11" s="445"/>
      <c r="H11" s="458"/>
      <c r="I11" s="445"/>
      <c r="J11" s="445"/>
      <c r="L11" s="445"/>
      <c r="M11" s="479"/>
    </row>
    <row r="12" spans="1:14" ht="14.4" customHeight="1">
      <c r="A12" s="480" t="s">
        <v>9</v>
      </c>
      <c r="B12" s="480" t="s">
        <v>982</v>
      </c>
      <c r="C12" s="488" t="s">
        <v>906</v>
      </c>
      <c r="E12" s="261"/>
      <c r="F12" s="261">
        <v>27759265.590000004</v>
      </c>
      <c r="G12" s="261"/>
      <c r="H12" s="261">
        <v>20</v>
      </c>
      <c r="I12" s="261">
        <v>14</v>
      </c>
      <c r="J12" s="261">
        <v>1850617.7</v>
      </c>
      <c r="K12" s="489">
        <f>(F12+G12)-J12</f>
        <v>25908647.890000004</v>
      </c>
      <c r="L12" s="490" t="s">
        <v>817</v>
      </c>
      <c r="M12" s="490" t="s">
        <v>914</v>
      </c>
      <c r="N12" s="490">
        <v>410.10000000000002</v>
      </c>
    </row>
    <row r="13" spans="1:14" ht="14.4" customHeight="1">
      <c r="A13" s="480" t="s">
        <v>267</v>
      </c>
      <c r="B13" s="480" t="s">
        <v>982</v>
      </c>
      <c r="C13" s="488" t="s">
        <v>907</v>
      </c>
      <c r="E13" s="261"/>
      <c r="F13" s="261">
        <v>34860.5</v>
      </c>
      <c r="G13" s="261"/>
      <c r="H13" s="261">
        <v>20</v>
      </c>
      <c r="I13" s="261">
        <v>14</v>
      </c>
      <c r="J13" s="261">
        <v>2324.04</v>
      </c>
      <c r="K13" s="489">
        <f t="shared" si="0" ref="K13:K19">(F13+G13)-J13</f>
        <v>32536.459999999999</v>
      </c>
      <c r="L13" s="490" t="s">
        <v>816</v>
      </c>
      <c r="M13" s="490" t="s">
        <v>914</v>
      </c>
      <c r="N13" s="490">
        <v>410.10000000000002</v>
      </c>
    </row>
    <row r="14" spans="1:14" ht="14.4" customHeight="1">
      <c r="A14" s="480" t="s">
        <v>268</v>
      </c>
      <c r="B14" s="480" t="s">
        <v>982</v>
      </c>
      <c r="C14" s="488" t="s">
        <v>908</v>
      </c>
      <c r="E14" s="261"/>
      <c r="F14" s="261">
        <v>342144.50823529408</v>
      </c>
      <c r="G14" s="261"/>
      <c r="H14" s="261">
        <v>17</v>
      </c>
      <c r="I14" s="261">
        <v>11</v>
      </c>
      <c r="J14" s="261">
        <v>28512.042352941175</v>
      </c>
      <c r="K14" s="489">
        <f t="shared" si="0"/>
        <v>313632.4658823529</v>
      </c>
      <c r="L14" s="490" t="s">
        <v>816</v>
      </c>
      <c r="M14" s="490" t="s">
        <v>914</v>
      </c>
      <c r="N14" s="490">
        <v>410.10000000000002</v>
      </c>
    </row>
    <row r="15" spans="1:14" ht="14.4" customHeight="1">
      <c r="A15" s="480" t="s">
        <v>704</v>
      </c>
      <c r="B15" s="480" t="s">
        <v>982</v>
      </c>
      <c r="C15" s="488" t="s">
        <v>909</v>
      </c>
      <c r="E15" s="261"/>
      <c r="F15" s="261">
        <v>0</v>
      </c>
      <c r="G15" s="261"/>
      <c r="H15" s="261">
        <v>5</v>
      </c>
      <c r="I15" s="261">
        <v>0</v>
      </c>
      <c r="J15" s="261">
        <v>0</v>
      </c>
      <c r="K15" s="489">
        <f t="shared" si="0"/>
        <v>0</v>
      </c>
      <c r="L15" s="490" t="s">
        <v>816</v>
      </c>
      <c r="M15" s="490" t="s">
        <v>915</v>
      </c>
      <c r="N15" s="490">
        <v>410.10000000000002</v>
      </c>
    </row>
    <row r="16" spans="1:14" ht="14.4" customHeight="1">
      <c r="A16" s="480" t="s">
        <v>705</v>
      </c>
      <c r="B16" s="480" t="s">
        <v>982</v>
      </c>
      <c r="C16" s="488" t="s">
        <v>910</v>
      </c>
      <c r="E16" s="261"/>
      <c r="F16" s="261">
        <v>-138381.36750000002</v>
      </c>
      <c r="G16" s="261"/>
      <c r="H16" s="261">
        <v>20</v>
      </c>
      <c r="I16" s="261">
        <v>14</v>
      </c>
      <c r="J16" s="261">
        <v>-9225.4244999999992</v>
      </c>
      <c r="K16" s="489">
        <f>(F16+G16)-J16</f>
        <v>-129155.94300000003</v>
      </c>
      <c r="L16" s="490" t="s">
        <v>816</v>
      </c>
      <c r="M16" s="490" t="s">
        <v>915</v>
      </c>
      <c r="N16" s="490">
        <v>410.10000000000002</v>
      </c>
    </row>
    <row r="17" spans="1:14" ht="14.4" customHeight="1">
      <c r="A17" s="480" t="s">
        <v>706</v>
      </c>
      <c r="B17" s="480" t="s">
        <v>982</v>
      </c>
      <c r="C17" s="488" t="s">
        <v>911</v>
      </c>
      <c r="E17" s="261"/>
      <c r="F17" s="261">
        <v>-752.82000000000005</v>
      </c>
      <c r="G17" s="261"/>
      <c r="H17" s="261">
        <v>20</v>
      </c>
      <c r="I17" s="261">
        <v>14</v>
      </c>
      <c r="J17" s="261">
        <v>-50.188000000000002</v>
      </c>
      <c r="K17" s="489">
        <f t="shared" si="0"/>
        <v>-702.63200000000006</v>
      </c>
      <c r="L17" s="490" t="s">
        <v>816</v>
      </c>
      <c r="M17" s="490" t="s">
        <v>915</v>
      </c>
      <c r="N17" s="490">
        <v>410.10000000000002</v>
      </c>
    </row>
    <row r="18" spans="1:14" ht="14.4" customHeight="1">
      <c r="A18" s="480" t="s">
        <v>707</v>
      </c>
      <c r="B18" s="480" t="s">
        <v>982</v>
      </c>
      <c r="C18" s="488" t="s">
        <v>912</v>
      </c>
      <c r="E18" s="261"/>
      <c r="F18" s="261">
        <v>3422528.3442424238</v>
      </c>
      <c r="G18" s="261"/>
      <c r="H18" s="261">
        <v>33</v>
      </c>
      <c r="I18" s="261">
        <v>27</v>
      </c>
      <c r="J18" s="261">
        <v>122233.15515151515</v>
      </c>
      <c r="K18" s="489">
        <f t="shared" si="0"/>
        <v>3300295.1890909085</v>
      </c>
      <c r="L18" s="490" t="s">
        <v>816</v>
      </c>
      <c r="M18" s="490" t="s">
        <v>914</v>
      </c>
      <c r="N18" s="490">
        <v>410.10000000000002</v>
      </c>
    </row>
    <row r="19" spans="1:14" ht="14.4" customHeight="1">
      <c r="A19" s="480" t="s">
        <v>708</v>
      </c>
      <c r="B19" s="480" t="s">
        <v>982</v>
      </c>
      <c r="C19" s="488" t="s">
        <v>913</v>
      </c>
      <c r="E19" s="261"/>
      <c r="F19" s="261">
        <v>-14679.641666666665</v>
      </c>
      <c r="G19" s="261"/>
      <c r="H19" s="261">
        <v>30</v>
      </c>
      <c r="I19" s="261">
        <v>24</v>
      </c>
      <c r="J19" s="261">
        <v>-587.18566666666663</v>
      </c>
      <c r="K19" s="489">
        <f t="shared" si="0"/>
        <v>-14092.455999999998</v>
      </c>
      <c r="L19" s="490" t="s">
        <v>816</v>
      </c>
      <c r="M19" s="490" t="s">
        <v>915</v>
      </c>
      <c r="N19" s="490">
        <v>410.10000000000002</v>
      </c>
    </row>
    <row r="20" spans="5:14" ht="14.4" customHeight="1">
      <c r="E20" s="320"/>
      <c r="F20" s="320"/>
      <c r="G20" s="320"/>
      <c r="H20" s="320"/>
      <c r="I20" s="320"/>
      <c r="J20" s="320"/>
      <c r="K20" s="489"/>
      <c r="L20" s="491"/>
      <c r="M20" s="491"/>
      <c r="N20" s="491"/>
    </row>
    <row r="21" spans="1:14" ht="14.5">
      <c r="A21" s="465">
        <v>2</v>
      </c>
      <c r="B21" s="446"/>
      <c r="C21" s="444" t="s">
        <v>663</v>
      </c>
      <c r="E21" s="445"/>
      <c r="F21" s="445"/>
      <c r="G21" s="445"/>
      <c r="H21" s="445"/>
      <c r="I21" s="445"/>
      <c r="J21" s="445"/>
      <c r="L21" s="445"/>
      <c r="M21" s="445"/>
      <c r="N21" s="445"/>
    </row>
    <row r="22" spans="1:14" ht="14.4" customHeight="1">
      <c r="A22" s="480" t="s">
        <v>328</v>
      </c>
      <c r="B22" s="480"/>
      <c r="C22" s="488"/>
      <c r="E22" s="261"/>
      <c r="F22" s="261"/>
      <c r="G22" s="261"/>
      <c r="H22" s="261"/>
      <c r="I22" s="261"/>
      <c r="J22" s="261"/>
      <c r="K22" s="489">
        <f>(F22+G22)-J22</f>
        <v>0</v>
      </c>
      <c r="L22" s="490"/>
      <c r="M22" s="490"/>
      <c r="N22" s="490"/>
    </row>
    <row r="23" spans="1:2" s="402" customFormat="1" ht="14.4" customHeight="1">
      <c r="A23" s="432"/>
      <c r="B23" s="432"/>
    </row>
    <row r="24" spans="1:14" ht="14.5">
      <c r="A24" s="465">
        <v>3</v>
      </c>
      <c r="B24" s="446"/>
      <c r="C24" s="444" t="s">
        <v>664</v>
      </c>
      <c r="E24" s="445"/>
      <c r="F24" s="445"/>
      <c r="G24" s="445"/>
      <c r="H24" s="445"/>
      <c r="I24" s="445"/>
      <c r="J24" s="445"/>
      <c r="L24" s="445"/>
      <c r="M24" s="445"/>
      <c r="N24" s="445"/>
    </row>
    <row r="25" spans="1:14" ht="14.4" customHeight="1">
      <c r="A25" s="480" t="s">
        <v>665</v>
      </c>
      <c r="B25" s="480" t="s">
        <v>982</v>
      </c>
      <c r="C25" s="488" t="s">
        <v>916</v>
      </c>
      <c r="E25" s="261"/>
      <c r="F25" s="261">
        <v>-2335457.4900000012</v>
      </c>
      <c r="G25" s="261"/>
      <c r="H25" s="261">
        <v>10</v>
      </c>
      <c r="I25" s="261">
        <v>4</v>
      </c>
      <c r="J25" s="261">
        <v>-467091.49800000002</v>
      </c>
      <c r="K25" s="489">
        <f>(F25+G25)-J25</f>
        <v>-1868365.992000001</v>
      </c>
      <c r="L25" s="490" t="s">
        <v>816</v>
      </c>
      <c r="M25" s="490" t="s">
        <v>915</v>
      </c>
      <c r="N25" s="490">
        <v>410.10000000000002</v>
      </c>
    </row>
    <row r="26" spans="1:14" ht="14.4" customHeight="1">
      <c r="A26" s="480" t="s">
        <v>917</v>
      </c>
      <c r="B26" s="480" t="s">
        <v>982</v>
      </c>
      <c r="C26" s="488" t="s">
        <v>918</v>
      </c>
      <c r="E26" s="261"/>
      <c r="F26" s="261">
        <v>10059.041666666664</v>
      </c>
      <c r="G26" s="261"/>
      <c r="H26" s="261">
        <v>30</v>
      </c>
      <c r="I26" s="261">
        <v>24</v>
      </c>
      <c r="J26" s="261">
        <v>402.36166666666668</v>
      </c>
      <c r="K26" s="489">
        <f t="shared" si="1" ref="K26:K31">(F26+G26)-J26</f>
        <v>9656.6799999999967</v>
      </c>
      <c r="L26" s="490" t="s">
        <v>816</v>
      </c>
      <c r="M26" s="490" t="s">
        <v>914</v>
      </c>
      <c r="N26" s="490">
        <v>410.10000000000002</v>
      </c>
    </row>
    <row r="27" spans="1:14" ht="14.4" customHeight="1">
      <c r="A27" s="480" t="s">
        <v>919</v>
      </c>
      <c r="B27" s="480" t="s">
        <v>982</v>
      </c>
      <c r="C27" s="488" t="s">
        <v>920</v>
      </c>
      <c r="E27" s="261"/>
      <c r="F27" s="261">
        <v>-25301.499999999978</v>
      </c>
      <c r="G27" s="261"/>
      <c r="H27" s="261">
        <v>10</v>
      </c>
      <c r="I27" s="261">
        <v>4</v>
      </c>
      <c r="J27" s="261">
        <v>-5060.3000000000002</v>
      </c>
      <c r="K27" s="489">
        <f t="shared" si="1"/>
        <v>-20241.199999999979</v>
      </c>
      <c r="L27" s="490" t="s">
        <v>816</v>
      </c>
      <c r="M27" s="490" t="s">
        <v>915</v>
      </c>
      <c r="N27" s="490">
        <v>410.10000000000002</v>
      </c>
    </row>
    <row r="28" spans="1:14" ht="14.4" customHeight="1">
      <c r="A28" s="480" t="s">
        <v>921</v>
      </c>
      <c r="B28" s="480" t="s">
        <v>982</v>
      </c>
      <c r="C28" s="488" t="s">
        <v>922</v>
      </c>
      <c r="E28" s="261"/>
      <c r="F28" s="261">
        <v>752.82000000000005</v>
      </c>
      <c r="G28" s="261"/>
      <c r="H28" s="261">
        <v>20</v>
      </c>
      <c r="I28" s="261">
        <v>14</v>
      </c>
      <c r="J28" s="261">
        <v>50.188000000000002</v>
      </c>
      <c r="K28" s="489">
        <f t="shared" si="1"/>
        <v>702.63200000000006</v>
      </c>
      <c r="L28" s="490" t="s">
        <v>816</v>
      </c>
      <c r="M28" s="490" t="s">
        <v>914</v>
      </c>
      <c r="N28" s="490">
        <v>410.10000000000002</v>
      </c>
    </row>
    <row r="29" spans="1:14" ht="14.4" customHeight="1">
      <c r="A29" s="480" t="s">
        <v>923</v>
      </c>
      <c r="B29" s="480" t="s">
        <v>982</v>
      </c>
      <c r="C29" s="488" t="s">
        <v>924</v>
      </c>
      <c r="E29" s="261"/>
      <c r="F29" s="261">
        <v>458363.9800000001</v>
      </c>
      <c r="G29" s="261"/>
      <c r="H29" s="261">
        <v>10</v>
      </c>
      <c r="I29" s="261">
        <v>4</v>
      </c>
      <c r="J29" s="261">
        <v>91672.796000000002</v>
      </c>
      <c r="K29" s="489">
        <f>(F29+G29)-J29</f>
        <v>366691.18400000012</v>
      </c>
      <c r="L29" s="490" t="s">
        <v>816</v>
      </c>
      <c r="M29" s="490" t="s">
        <v>914</v>
      </c>
      <c r="N29" s="490">
        <v>410.10000000000002</v>
      </c>
    </row>
    <row r="30" spans="1:14" ht="14.4" customHeight="1">
      <c r="A30" s="480" t="s">
        <v>925</v>
      </c>
      <c r="B30" s="480" t="s">
        <v>982</v>
      </c>
      <c r="C30" s="488" t="s">
        <v>926</v>
      </c>
      <c r="E30" s="261"/>
      <c r="F30" s="261">
        <v>-640960</v>
      </c>
      <c r="G30" s="261"/>
      <c r="H30" s="261">
        <v>10</v>
      </c>
      <c r="I30" s="261">
        <v>4</v>
      </c>
      <c r="J30" s="261">
        <v>-128192</v>
      </c>
      <c r="K30" s="489">
        <f>(F30+G30)-J30</f>
        <v>-512768</v>
      </c>
      <c r="L30" s="490" t="s">
        <v>816</v>
      </c>
      <c r="M30" s="490" t="s">
        <v>915</v>
      </c>
      <c r="N30" s="490">
        <v>410.10000000000002</v>
      </c>
    </row>
    <row r="31" spans="5:14" ht="14.4" customHeight="1">
      <c r="E31" s="320"/>
      <c r="F31" s="320"/>
      <c r="G31" s="320"/>
      <c r="H31" s="320"/>
      <c r="I31" s="320"/>
      <c r="J31" s="320"/>
      <c r="K31" s="489">
        <f t="shared" si="1"/>
        <v>0</v>
      </c>
      <c r="L31" s="491"/>
      <c r="M31" s="491"/>
      <c r="N31" s="491"/>
    </row>
    <row r="32" spans="1:14" ht="14.4" customHeight="1">
      <c r="A32" s="480">
        <v>4</v>
      </c>
      <c r="B32" s="480"/>
      <c r="C32" s="447" t="s">
        <v>666</v>
      </c>
      <c r="E32" s="261"/>
      <c r="F32" s="261">
        <v>8258017.3631427204</v>
      </c>
      <c r="G32" s="261">
        <v>12289.634965028148</v>
      </c>
      <c r="H32" s="261"/>
      <c r="I32" s="261"/>
      <c r="J32" s="261">
        <v>425541.25226279953</v>
      </c>
      <c r="K32" s="489">
        <f>(F32+G32)-J32</f>
        <v>7844765.745844949</v>
      </c>
      <c r="L32" s="490"/>
      <c r="M32" s="490"/>
      <c r="N32" s="490"/>
    </row>
    <row r="33" spans="3:14" ht="14.4" customHeight="1">
      <c r="C33" s="450"/>
      <c r="E33" s="321"/>
      <c r="F33" s="321"/>
      <c r="G33" s="321"/>
      <c r="H33" s="320"/>
      <c r="I33" s="320"/>
      <c r="J33" s="321"/>
      <c r="K33" s="492"/>
      <c r="L33" s="491"/>
      <c r="M33" s="491"/>
      <c r="N33" s="491"/>
    </row>
    <row r="34" spans="1:11" ht="14.5">
      <c r="A34" s="480">
        <v>5</v>
      </c>
      <c r="B34" s="480"/>
      <c r="C34" s="447" t="s">
        <v>667</v>
      </c>
      <c r="E34" s="448">
        <f>SUM(E12:E33)</f>
        <v>0</v>
      </c>
      <c r="F34" s="448">
        <f>SUM(F12:F33)</f>
        <v>37130459.32812044</v>
      </c>
      <c r="G34" s="448">
        <f>SUM(G12:G33)</f>
        <v>12289.634965028148</v>
      </c>
      <c r="H34" s="449"/>
      <c r="I34" s="449"/>
      <c r="J34" s="448">
        <f>SUM(J12:J33)</f>
        <v>1911146.9392672558</v>
      </c>
      <c r="K34" s="448">
        <f>SUM(K12:K33)</f>
        <v>35231602.02381821</v>
      </c>
    </row>
    <row r="35" s="0" customFormat="1" ht="15.5"/>
    <row r="36" spans="1:14" ht="14.5">
      <c r="A36" s="468"/>
      <c r="B36" s="443"/>
      <c r="C36" s="444" t="s">
        <v>874</v>
      </c>
      <c r="E36" s="445"/>
      <c r="F36" s="444"/>
      <c r="G36" s="444"/>
      <c r="H36" s="444"/>
      <c r="I36" s="444"/>
      <c r="J36" s="444"/>
      <c r="K36" s="445"/>
      <c r="L36" s="445"/>
      <c r="M36" s="445"/>
      <c r="N36" s="445"/>
    </row>
    <row r="37" spans="1:14" ht="14.5">
      <c r="A37" s="480">
        <f>A34+1</f>
        <v>6</v>
      </c>
      <c r="B37" s="480" t="s">
        <v>982</v>
      </c>
      <c r="C37" s="477" t="s">
        <v>668</v>
      </c>
      <c r="E37" s="261"/>
      <c r="F37" s="261">
        <v>0</v>
      </c>
      <c r="G37" s="263"/>
      <c r="H37" s="485" t="s">
        <v>669</v>
      </c>
      <c r="I37" s="485" t="s">
        <v>669</v>
      </c>
      <c r="J37" s="261"/>
      <c r="K37" s="489">
        <f>(F37+G37)-J37</f>
        <v>0</v>
      </c>
      <c r="L37" s="590" t="s">
        <v>817</v>
      </c>
      <c r="M37" s="590" t="s">
        <v>541</v>
      </c>
      <c r="N37" s="590">
        <v>411.10000000000002</v>
      </c>
    </row>
    <row r="38" spans="1:14" ht="14.5">
      <c r="A38" s="480">
        <f>A37+1</f>
        <v>7</v>
      </c>
      <c r="B38" s="480" t="s">
        <v>982</v>
      </c>
      <c r="C38" s="477" t="str">
        <f>C37</f>
        <v>Property Book-Tax Timing Difference - Account 190</v>
      </c>
      <c r="E38" s="261"/>
      <c r="F38" s="261">
        <v>-9000676.4600000009</v>
      </c>
      <c r="G38" s="263">
        <v>28518.715342841359</v>
      </c>
      <c r="H38" s="485" t="s">
        <v>669</v>
      </c>
      <c r="I38" s="485" t="s">
        <v>669</v>
      </c>
      <c r="J38" s="261">
        <v>-725350.51819979725</v>
      </c>
      <c r="K38" s="489">
        <f>(F38+G38)-J38</f>
        <v>-8246807.2264573611</v>
      </c>
      <c r="L38" s="590" t="s">
        <v>816</v>
      </c>
      <c r="M38" s="590" t="s">
        <v>834</v>
      </c>
      <c r="N38" s="590">
        <v>410.10000000000002</v>
      </c>
    </row>
    <row r="39" spans="1:14" ht="14.5">
      <c r="A39" s="480">
        <f t="shared" si="2" ref="A39:A49">A38+1</f>
        <v>8</v>
      </c>
      <c r="B39" s="480" t="s">
        <v>982</v>
      </c>
      <c r="C39" s="477" t="s">
        <v>668</v>
      </c>
      <c r="E39" s="261"/>
      <c r="F39" s="261">
        <v>0</v>
      </c>
      <c r="G39" s="263"/>
      <c r="H39" s="485" t="s">
        <v>669</v>
      </c>
      <c r="I39" s="485" t="s">
        <v>669</v>
      </c>
      <c r="J39" s="261"/>
      <c r="K39" s="489">
        <f t="shared" si="3" ref="K39:K48">(F39+G39)-J39</f>
        <v>0</v>
      </c>
      <c r="L39" s="590" t="s">
        <v>817</v>
      </c>
      <c r="M39" s="590" t="s">
        <v>834</v>
      </c>
      <c r="N39" s="590">
        <v>410.10000000000002</v>
      </c>
    </row>
    <row r="40" spans="1:14" ht="14.5">
      <c r="A40" s="480">
        <f t="shared" si="2"/>
        <v>9</v>
      </c>
      <c r="B40" s="480" t="s">
        <v>982</v>
      </c>
      <c r="C40" s="477" t="str">
        <f>C39</f>
        <v>Property Book-Tax Timing Difference - Account 190</v>
      </c>
      <c r="E40" s="261"/>
      <c r="F40" s="261">
        <v>14561611.169999998</v>
      </c>
      <c r="G40" s="263">
        <v>-46138.581442840688</v>
      </c>
      <c r="H40" s="485" t="s">
        <v>669</v>
      </c>
      <c r="I40" s="485" t="s">
        <v>669</v>
      </c>
      <c r="J40" s="261">
        <v>1173497.5981997973</v>
      </c>
      <c r="K40" s="489">
        <f t="shared" si="3"/>
        <v>13341974.99035736</v>
      </c>
      <c r="L40" s="590" t="s">
        <v>816</v>
      </c>
      <c r="M40" s="590" t="s">
        <v>541</v>
      </c>
      <c r="N40" s="590">
        <v>411.10000000000002</v>
      </c>
    </row>
    <row r="41" spans="1:14" ht="14.5">
      <c r="A41" s="480">
        <f t="shared" si="2"/>
        <v>10</v>
      </c>
      <c r="B41" s="480" t="s">
        <v>982</v>
      </c>
      <c r="C41" s="477" t="s">
        <v>670</v>
      </c>
      <c r="E41" s="261"/>
      <c r="F41" s="261">
        <v>426508.57000000001</v>
      </c>
      <c r="G41" s="263">
        <v>3471.0232042365774</v>
      </c>
      <c r="H41" s="485" t="s">
        <v>669</v>
      </c>
      <c r="I41" s="485" t="s">
        <v>669</v>
      </c>
      <c r="J41" s="261">
        <v>3809.2144592989666</v>
      </c>
      <c r="K41" s="489">
        <f t="shared" si="3"/>
        <v>426170.3787449376</v>
      </c>
      <c r="L41" s="590" t="s">
        <v>817</v>
      </c>
      <c r="M41" s="590" t="s">
        <v>541</v>
      </c>
      <c r="N41" s="590">
        <v>411.10000000000002</v>
      </c>
    </row>
    <row r="42" spans="1:14" ht="14.5">
      <c r="A42" s="480">
        <f t="shared" si="2"/>
        <v>11</v>
      </c>
      <c r="B42" s="480" t="s">
        <v>982</v>
      </c>
      <c r="C42" s="477" t="str">
        <f>C41</f>
        <v>Property Book-Tax Timing Difference - Account 282</v>
      </c>
      <c r="E42" s="261"/>
      <c r="F42" s="261">
        <v>-91311176.540000036</v>
      </c>
      <c r="G42" s="263">
        <v>1172866.2573965515</v>
      </c>
      <c r="H42" s="485" t="s">
        <v>669</v>
      </c>
      <c r="I42" s="485" t="s">
        <v>669</v>
      </c>
      <c r="J42" s="261">
        <v>-3683944.5000456246</v>
      </c>
      <c r="K42" s="489">
        <f t="shared" si="3"/>
        <v>-86454365.78255786</v>
      </c>
      <c r="L42" s="590" t="s">
        <v>816</v>
      </c>
      <c r="M42" s="590" t="s">
        <v>834</v>
      </c>
      <c r="N42" s="590">
        <v>410.10000000000002</v>
      </c>
    </row>
    <row r="43" spans="1:14" ht="14.5">
      <c r="A43" s="480">
        <f t="shared" si="2"/>
        <v>12</v>
      </c>
      <c r="B43" s="480" t="s">
        <v>982</v>
      </c>
      <c r="C43" s="477" t="s">
        <v>670</v>
      </c>
      <c r="E43" s="261"/>
      <c r="F43" s="261">
        <v>-248417920.50999999</v>
      </c>
      <c r="G43" s="263">
        <v>-2021681.2207042109</v>
      </c>
      <c r="H43" s="485" t="s">
        <v>669</v>
      </c>
      <c r="I43" s="485" t="s">
        <v>669</v>
      </c>
      <c r="J43" s="261">
        <v>-2218659.1344592986</v>
      </c>
      <c r="K43" s="489">
        <f>(F43+G43)-J43</f>
        <v>-248220942.5962449</v>
      </c>
      <c r="L43" s="590" t="s">
        <v>817</v>
      </c>
      <c r="M43" s="590" t="s">
        <v>834</v>
      </c>
      <c r="N43" s="590">
        <v>410.10000000000002</v>
      </c>
    </row>
    <row r="44" spans="1:14" ht="14.5">
      <c r="A44" s="480">
        <f t="shared" si="2"/>
        <v>13</v>
      </c>
      <c r="B44" s="480" t="s">
        <v>982</v>
      </c>
      <c r="C44" s="477" t="str">
        <f>C43</f>
        <v>Property Book-Tax Timing Difference - Account 282</v>
      </c>
      <c r="E44" s="261"/>
      <c r="F44" s="261">
        <v>43799771.689999998</v>
      </c>
      <c r="G44" s="263">
        <v>-562595.6891966</v>
      </c>
      <c r="H44" s="485" t="s">
        <v>669</v>
      </c>
      <c r="I44" s="485" t="s">
        <v>669</v>
      </c>
      <c r="J44" s="261">
        <v>1767099.4300456257</v>
      </c>
      <c r="K44" s="489">
        <f t="shared" si="3"/>
        <v>41470076.570757769</v>
      </c>
      <c r="L44" s="590" t="s">
        <v>816</v>
      </c>
      <c r="M44" s="590" t="s">
        <v>541</v>
      </c>
      <c r="N44" s="590">
        <v>411.10000000000002</v>
      </c>
    </row>
    <row r="45" spans="1:14" ht="14.5">
      <c r="A45" s="480">
        <f t="shared" si="2"/>
        <v>14</v>
      </c>
      <c r="B45" s="480" t="s">
        <v>982</v>
      </c>
      <c r="C45" s="477" t="s">
        <v>671</v>
      </c>
      <c r="E45" s="263"/>
      <c r="F45" s="263">
        <v>0</v>
      </c>
      <c r="G45" s="263"/>
      <c r="H45" s="485" t="s">
        <v>669</v>
      </c>
      <c r="I45" s="485" t="s">
        <v>669</v>
      </c>
      <c r="J45" s="261"/>
      <c r="K45" s="489">
        <f t="shared" si="3"/>
        <v>0</v>
      </c>
      <c r="L45" s="590" t="s">
        <v>817</v>
      </c>
      <c r="M45" s="590" t="s">
        <v>541</v>
      </c>
      <c r="N45" s="590">
        <v>411.10000000000002</v>
      </c>
    </row>
    <row r="46" spans="1:14" ht="14.5">
      <c r="A46" s="480">
        <f t="shared" si="2"/>
        <v>15</v>
      </c>
      <c r="B46" s="480" t="s">
        <v>982</v>
      </c>
      <c r="C46" s="477" t="str">
        <f>C45</f>
        <v>Property Book-Tax Timing Difference - Account 283</v>
      </c>
      <c r="E46" s="263"/>
      <c r="F46" s="263">
        <v>0</v>
      </c>
      <c r="G46" s="263"/>
      <c r="H46" s="485" t="s">
        <v>669</v>
      </c>
      <c r="I46" s="485" t="s">
        <v>669</v>
      </c>
      <c r="J46" s="261"/>
      <c r="K46" s="489">
        <f t="shared" si="3"/>
        <v>0</v>
      </c>
      <c r="L46" s="590" t="s">
        <v>816</v>
      </c>
      <c r="M46" s="590" t="s">
        <v>834</v>
      </c>
      <c r="N46" s="590">
        <v>410.10000000000002</v>
      </c>
    </row>
    <row r="47" spans="1:14" ht="14.5">
      <c r="A47" s="480">
        <f t="shared" si="2"/>
        <v>16</v>
      </c>
      <c r="B47" s="480" t="s">
        <v>982</v>
      </c>
      <c r="C47" s="477" t="s">
        <v>671</v>
      </c>
      <c r="E47" s="263"/>
      <c r="F47" s="263">
        <v>0</v>
      </c>
      <c r="G47" s="263"/>
      <c r="H47" s="485" t="s">
        <v>669</v>
      </c>
      <c r="I47" s="485" t="s">
        <v>669</v>
      </c>
      <c r="J47" s="261"/>
      <c r="K47" s="489">
        <f t="shared" si="3"/>
        <v>0</v>
      </c>
      <c r="L47" s="590" t="s">
        <v>817</v>
      </c>
      <c r="M47" s="590" t="s">
        <v>834</v>
      </c>
      <c r="N47" s="590">
        <v>410.10000000000002</v>
      </c>
    </row>
    <row r="48" spans="1:14" ht="14.5">
      <c r="A48" s="480">
        <f t="shared" si="2"/>
        <v>17</v>
      </c>
      <c r="B48" s="480" t="s">
        <v>982</v>
      </c>
      <c r="C48" s="477" t="str">
        <f>C47</f>
        <v>Property Book-Tax Timing Difference - Account 283</v>
      </c>
      <c r="E48" s="263"/>
      <c r="F48" s="263">
        <v>0</v>
      </c>
      <c r="G48" s="263"/>
      <c r="H48" s="485" t="s">
        <v>669</v>
      </c>
      <c r="I48" s="485" t="s">
        <v>669</v>
      </c>
      <c r="J48" s="261"/>
      <c r="K48" s="489">
        <f t="shared" si="3"/>
        <v>0</v>
      </c>
      <c r="L48" s="590" t="s">
        <v>816</v>
      </c>
      <c r="M48" s="590" t="s">
        <v>541</v>
      </c>
      <c r="N48" s="590">
        <v>411.10000000000002</v>
      </c>
    </row>
    <row r="49" spans="1:14" ht="14.5">
      <c r="A49" s="480">
        <f t="shared" si="2"/>
        <v>18</v>
      </c>
      <c r="B49" s="480"/>
      <c r="C49" s="477" t="s">
        <v>691</v>
      </c>
      <c r="E49" s="262"/>
      <c r="F49" s="262">
        <v>-83180444</v>
      </c>
      <c r="G49" s="262">
        <v>-279700.93698684731</v>
      </c>
      <c r="H49" s="485"/>
      <c r="I49" s="485"/>
      <c r="J49" s="262">
        <v>-1055126.2721348987</v>
      </c>
      <c r="K49" s="492">
        <f>(F49+G49)-J49</f>
        <v>-82405018.664851949</v>
      </c>
      <c r="L49" s="589" t="s">
        <v>839</v>
      </c>
      <c r="M49" s="589" t="s">
        <v>834</v>
      </c>
      <c r="N49" s="589">
        <v>410.10000000000002</v>
      </c>
    </row>
    <row r="50" spans="1:13" ht="14.5">
      <c r="A50" s="480">
        <f>A49+1</f>
        <v>19</v>
      </c>
      <c r="B50" s="480"/>
      <c r="C50" s="447" t="str">
        <f>"Total Property (Total of lines "&amp;A37&amp;" thru "&amp;A49&amp;")"</f>
        <v>Total Property (Total of lines 6 thru 18)</v>
      </c>
      <c r="E50" s="452">
        <f>SUM(E37:E49)</f>
        <v>0</v>
      </c>
      <c r="F50" s="452">
        <f>SUM(F37:F49)</f>
        <v>-373122326.08000004</v>
      </c>
      <c r="G50" s="452">
        <f>SUM(G37:G49)</f>
        <v>-1705260.4323868696</v>
      </c>
      <c r="H50" s="449"/>
      <c r="I50" s="449"/>
      <c r="J50" s="452">
        <f>SUM(J37:J49)</f>
        <v>-4738674.1821348965</v>
      </c>
      <c r="K50" s="452">
        <f>SUM(K37:K49)</f>
        <v>-370088912.33025205</v>
      </c>
      <c r="L50" s="491"/>
      <c r="M50" s="491"/>
    </row>
    <row r="51" s="0" customFormat="1" ht="15.5"/>
    <row r="52" spans="14:14" s="0" customFormat="1" ht="15.5">
      <c r="N52" s="437" t="s">
        <v>692</v>
      </c>
    </row>
    <row r="53" spans="14:14" s="0" customFormat="1" ht="15.5">
      <c r="N53" s="459" t="s">
        <v>963</v>
      </c>
    </row>
    <row r="54" spans="14:14" s="0" customFormat="1" ht="15.5">
      <c r="N54" s="437" t="str">
        <f>$N$3</f>
        <v>For the 12 months ended 12/31/2023</v>
      </c>
    </row>
    <row r="55" spans="14:14" s="0" customFormat="1" ht="15.5">
      <c r="N55" s="437"/>
    </row>
    <row r="56" spans="2:14" ht="14.5">
      <c r="B56" s="478" t="s">
        <v>652</v>
      </c>
      <c r="C56" s="478" t="s">
        <v>653</v>
      </c>
      <c r="D56" s="487"/>
      <c r="E56" s="478" t="s">
        <v>654</v>
      </c>
      <c r="F56" s="478" t="s">
        <v>655</v>
      </c>
      <c r="G56" s="478" t="s">
        <v>656</v>
      </c>
      <c r="H56" s="478" t="s">
        <v>657</v>
      </c>
      <c r="I56" s="478" t="s">
        <v>658</v>
      </c>
      <c r="J56" s="478" t="s">
        <v>659</v>
      </c>
      <c r="K56" s="478" t="s">
        <v>830</v>
      </c>
      <c r="L56" s="478" t="s">
        <v>831</v>
      </c>
      <c r="M56" s="478" t="s">
        <v>835</v>
      </c>
      <c r="N56" s="478" t="s">
        <v>840</v>
      </c>
    </row>
    <row r="57" spans="1:14" s="0" customFormat="1" ht="103.25" customHeight="1">
      <c r="A57" s="467" t="s">
        <v>255</v>
      </c>
      <c r="B57" s="484" t="s">
        <v>853</v>
      </c>
      <c r="C57" s="441" t="s">
        <v>660</v>
      </c>
      <c r="D57" s="477"/>
      <c r="E57" s="442" t="s">
        <v>980</v>
      </c>
      <c r="F57" s="441" t="s">
        <v>868</v>
      </c>
      <c r="G57" s="441" t="s">
        <v>869</v>
      </c>
      <c r="H57" s="441" t="s">
        <v>870</v>
      </c>
      <c r="I57" s="441" t="s">
        <v>661</v>
      </c>
      <c r="J57" s="441" t="s">
        <v>871</v>
      </c>
      <c r="K57" s="441" t="s">
        <v>872</v>
      </c>
      <c r="L57" s="441" t="s">
        <v>813</v>
      </c>
      <c r="M57" s="441" t="s">
        <v>833</v>
      </c>
      <c r="N57" s="441" t="s">
        <v>836</v>
      </c>
    </row>
    <row r="58" spans="1:14" s="0" customFormat="1" ht="15.5">
      <c r="A58" s="468"/>
      <c r="B58" s="443"/>
      <c r="C58" s="444" t="s">
        <v>873</v>
      </c>
      <c r="D58" s="477"/>
      <c r="E58" s="445"/>
      <c r="F58" s="445"/>
      <c r="G58" s="445"/>
      <c r="H58" s="445"/>
      <c r="I58" s="445"/>
      <c r="J58" s="445"/>
      <c r="K58" s="445"/>
      <c r="L58" s="445"/>
      <c r="M58" s="477"/>
      <c r="N58" s="477"/>
    </row>
    <row r="59" spans="1:14" s="0" customFormat="1" ht="15.5">
      <c r="A59" s="465">
        <v>20</v>
      </c>
      <c r="B59" s="446"/>
      <c r="C59" s="444" t="s">
        <v>662</v>
      </c>
      <c r="D59" s="477"/>
      <c r="E59" s="445"/>
      <c r="F59" s="445"/>
      <c r="G59" s="445"/>
      <c r="H59" s="458"/>
      <c r="I59" s="445"/>
      <c r="J59" s="445"/>
      <c r="K59" s="477"/>
      <c r="L59" s="445"/>
      <c r="M59" s="479"/>
      <c r="N59" s="477"/>
    </row>
    <row r="60" spans="1:14" s="0" customFormat="1" ht="15.5">
      <c r="A60" s="480" t="s">
        <v>849</v>
      </c>
      <c r="B60" s="480" t="s">
        <v>983</v>
      </c>
      <c r="C60" s="488" t="s">
        <v>908</v>
      </c>
      <c r="D60" s="477"/>
      <c r="E60" s="261"/>
      <c r="F60" s="261">
        <v>492.79000000000815</v>
      </c>
      <c r="G60" s="261"/>
      <c r="H60" s="261">
        <v>12</v>
      </c>
      <c r="I60" s="261">
        <v>11</v>
      </c>
      <c r="J60" s="261">
        <v>41</v>
      </c>
      <c r="K60" s="489">
        <f>(F60+G60)-J60</f>
        <v>451.79000000000815</v>
      </c>
      <c r="L60" s="490" t="s">
        <v>816</v>
      </c>
      <c r="M60" s="490" t="s">
        <v>914</v>
      </c>
      <c r="N60" s="490">
        <v>410.10000000000002</v>
      </c>
    </row>
    <row r="61" spans="1:14" s="0" customFormat="1" ht="15.5">
      <c r="A61" s="480" t="s">
        <v>927</v>
      </c>
      <c r="B61" s="480" t="s">
        <v>983</v>
      </c>
      <c r="C61" s="488" t="s">
        <v>910</v>
      </c>
      <c r="D61" s="477"/>
      <c r="E61" s="261"/>
      <c r="F61" s="261">
        <v>71006.920000000042</v>
      </c>
      <c r="G61" s="261"/>
      <c r="H61" s="261">
        <v>3</v>
      </c>
      <c r="I61" s="261">
        <v>2</v>
      </c>
      <c r="J61" s="261">
        <v>23669</v>
      </c>
      <c r="K61" s="489">
        <f t="shared" si="4" ref="K61:K62">(F61+G61)-J61</f>
        <v>47337.920000000042</v>
      </c>
      <c r="L61" s="490" t="s">
        <v>816</v>
      </c>
      <c r="M61" s="490" t="s">
        <v>914</v>
      </c>
      <c r="N61" s="490">
        <v>410.10000000000002</v>
      </c>
    </row>
    <row r="62" spans="1:14" s="0" customFormat="1" ht="15.5">
      <c r="A62" s="480" t="s">
        <v>928</v>
      </c>
      <c r="B62" s="480" t="s">
        <v>983</v>
      </c>
      <c r="C62" s="488" t="s">
        <v>929</v>
      </c>
      <c r="D62" s="477"/>
      <c r="E62" s="261"/>
      <c r="F62" s="261">
        <v>-3927.8600000001024</v>
      </c>
      <c r="G62" s="261"/>
      <c r="H62" s="261">
        <v>8</v>
      </c>
      <c r="I62" s="261">
        <v>7</v>
      </c>
      <c r="J62" s="261">
        <v>-491</v>
      </c>
      <c r="K62" s="489">
        <f t="shared" si="4"/>
        <v>-3436.8600000001024</v>
      </c>
      <c r="L62" s="490" t="s">
        <v>816</v>
      </c>
      <c r="M62" s="490" t="s">
        <v>915</v>
      </c>
      <c r="N62" s="490">
        <v>410.10000000000002</v>
      </c>
    </row>
    <row r="63" spans="1:14" s="0" customFormat="1" ht="15.5">
      <c r="A63" s="482"/>
      <c r="B63" s="482"/>
      <c r="C63" s="477"/>
      <c r="D63" s="477"/>
      <c r="E63" s="320"/>
      <c r="F63" s="320"/>
      <c r="G63" s="320"/>
      <c r="H63" s="320"/>
      <c r="I63" s="320"/>
      <c r="J63" s="320"/>
      <c r="K63" s="489"/>
      <c r="L63" s="491"/>
      <c r="M63" s="491"/>
      <c r="N63" s="491"/>
    </row>
    <row r="64" spans="1:14" s="0" customFormat="1" ht="15.5">
      <c r="A64" s="465">
        <f>A59+1</f>
        <v>21</v>
      </c>
      <c r="B64" s="446"/>
      <c r="C64" s="444" t="s">
        <v>663</v>
      </c>
      <c r="D64" s="477"/>
      <c r="E64" s="445"/>
      <c r="F64" s="445"/>
      <c r="G64" s="445"/>
      <c r="H64" s="445"/>
      <c r="I64" s="445"/>
      <c r="J64" s="445"/>
      <c r="K64" s="477"/>
      <c r="L64" s="445"/>
      <c r="M64" s="445"/>
      <c r="N64" s="445"/>
    </row>
    <row r="65" spans="1:14" s="0" customFormat="1" ht="15.5">
      <c r="A65" s="480" t="s">
        <v>847</v>
      </c>
      <c r="B65" s="480"/>
      <c r="C65" s="488"/>
      <c r="D65" s="477"/>
      <c r="E65" s="261"/>
      <c r="F65" s="261"/>
      <c r="G65" s="261"/>
      <c r="H65" s="261"/>
      <c r="I65" s="261"/>
      <c r="J65" s="261"/>
      <c r="K65" s="489">
        <f>(F65+G65)-J65</f>
        <v>0</v>
      </c>
      <c r="L65" s="490"/>
      <c r="M65" s="490"/>
      <c r="N65" s="490"/>
    </row>
    <row r="66" spans="1:14" s="0" customFormat="1" ht="15.5">
      <c r="A66" s="432"/>
      <c r="B66" s="432"/>
      <c r="C66" s="402"/>
      <c r="D66" s="402"/>
      <c r="E66" s="402"/>
      <c r="F66" s="402"/>
      <c r="G66" s="402"/>
      <c r="H66" s="402"/>
      <c r="I66" s="402"/>
      <c r="J66" s="402"/>
      <c r="K66" s="402"/>
      <c r="L66" s="402"/>
      <c r="M66" s="402"/>
      <c r="N66" s="402"/>
    </row>
    <row r="67" spans="1:14" s="0" customFormat="1" ht="15.5">
      <c r="A67" s="465">
        <f>A64+1</f>
        <v>22</v>
      </c>
      <c r="B67" s="446"/>
      <c r="C67" s="444" t="s">
        <v>664</v>
      </c>
      <c r="D67" s="477"/>
      <c r="E67" s="445"/>
      <c r="F67" s="445"/>
      <c r="G67" s="445"/>
      <c r="H67" s="445"/>
      <c r="I67" s="445"/>
      <c r="J67" s="445"/>
      <c r="K67" s="477"/>
      <c r="L67" s="445"/>
      <c r="M67" s="445"/>
      <c r="N67" s="445"/>
    </row>
    <row r="68" spans="1:14" s="0" customFormat="1" ht="15.5">
      <c r="A68" s="480" t="s">
        <v>848</v>
      </c>
      <c r="B68" s="480" t="s">
        <v>983</v>
      </c>
      <c r="C68" s="488" t="s">
        <v>930</v>
      </c>
      <c r="D68" s="477"/>
      <c r="E68" s="261"/>
      <c r="F68" s="261">
        <v>-354.55999999999767</v>
      </c>
      <c r="G68" s="261"/>
      <c r="H68" s="261">
        <v>2</v>
      </c>
      <c r="I68" s="261">
        <v>1</v>
      </c>
      <c r="J68" s="261">
        <v>-177</v>
      </c>
      <c r="K68" s="489">
        <f>(F68+G68)-J68</f>
        <v>-177.55999999999767</v>
      </c>
      <c r="L68" s="490" t="s">
        <v>816</v>
      </c>
      <c r="M68" s="490" t="s">
        <v>915</v>
      </c>
      <c r="N68" s="490">
        <v>410.10000000000002</v>
      </c>
    </row>
    <row r="69" spans="1:14" s="0" customFormat="1" ht="15.5">
      <c r="A69" s="480" t="s">
        <v>931</v>
      </c>
      <c r="B69" s="480" t="s">
        <v>983</v>
      </c>
      <c r="C69" s="488" t="s">
        <v>932</v>
      </c>
      <c r="D69" s="477"/>
      <c r="E69" s="261"/>
      <c r="F69" s="261">
        <v>-525.26000000000931</v>
      </c>
      <c r="G69" s="261"/>
      <c r="H69" s="261">
        <v>2</v>
      </c>
      <c r="I69" s="261">
        <v>1</v>
      </c>
      <c r="J69" s="261">
        <v>-263</v>
      </c>
      <c r="K69" s="489">
        <f t="shared" si="5" ref="K69:K72">(F69+G69)-J69</f>
        <v>-262.26000000000931</v>
      </c>
      <c r="L69" s="490" t="s">
        <v>816</v>
      </c>
      <c r="M69" s="490" t="s">
        <v>915</v>
      </c>
      <c r="N69" s="490">
        <v>410.10000000000002</v>
      </c>
    </row>
    <row r="70" spans="1:14" s="0" customFormat="1" ht="15.5">
      <c r="A70" s="480" t="s">
        <v>933</v>
      </c>
      <c r="B70" s="480" t="s">
        <v>983</v>
      </c>
      <c r="C70" s="488" t="s">
        <v>916</v>
      </c>
      <c r="D70" s="477"/>
      <c r="E70" s="261"/>
      <c r="F70" s="261">
        <v>-17892.700000000186</v>
      </c>
      <c r="G70" s="261"/>
      <c r="H70" s="261">
        <v>8</v>
      </c>
      <c r="I70" s="261">
        <v>7</v>
      </c>
      <c r="J70" s="261">
        <v>-2237</v>
      </c>
      <c r="K70" s="489">
        <f t="shared" si="5"/>
        <v>-15655.700000000186</v>
      </c>
      <c r="L70" s="490" t="s">
        <v>816</v>
      </c>
      <c r="M70" s="490" t="s">
        <v>915</v>
      </c>
      <c r="N70" s="490">
        <v>410.10000000000002</v>
      </c>
    </row>
    <row r="71" spans="1:14" s="0" customFormat="1" ht="15.5">
      <c r="A71" s="480" t="s">
        <v>934</v>
      </c>
      <c r="B71" s="480" t="s">
        <v>983</v>
      </c>
      <c r="C71" s="488" t="s">
        <v>920</v>
      </c>
      <c r="D71" s="477"/>
      <c r="E71" s="261"/>
      <c r="F71" s="261">
        <v>-167.6200000000099</v>
      </c>
      <c r="G71" s="261"/>
      <c r="H71" s="261">
        <v>8</v>
      </c>
      <c r="I71" s="261">
        <v>7</v>
      </c>
      <c r="J71" s="261">
        <v>-21</v>
      </c>
      <c r="K71" s="489">
        <f t="shared" si="5"/>
        <v>-146.6200000000099</v>
      </c>
      <c r="L71" s="490" t="s">
        <v>816</v>
      </c>
      <c r="M71" s="490" t="s">
        <v>915</v>
      </c>
      <c r="N71" s="490">
        <v>410.10000000000002</v>
      </c>
    </row>
    <row r="72" spans="1:14" s="0" customFormat="1" ht="15.5">
      <c r="A72" s="482"/>
      <c r="B72" s="482"/>
      <c r="C72" s="477"/>
      <c r="D72" s="477"/>
      <c r="E72" s="320"/>
      <c r="F72" s="320"/>
      <c r="G72" s="320"/>
      <c r="H72" s="320"/>
      <c r="I72" s="320"/>
      <c r="J72" s="320"/>
      <c r="K72" s="489">
        <f t="shared" si="5"/>
        <v>0</v>
      </c>
      <c r="L72" s="491"/>
      <c r="M72" s="491"/>
      <c r="N72" s="491"/>
    </row>
    <row r="73" spans="1:14" s="0" customFormat="1" ht="15.5">
      <c r="A73" s="480">
        <f>A67+1</f>
        <v>23</v>
      </c>
      <c r="B73" s="480"/>
      <c r="C73" s="447" t="s">
        <v>666</v>
      </c>
      <c r="D73" s="477"/>
      <c r="E73" s="261"/>
      <c r="F73" s="261">
        <v>13909.700000000001</v>
      </c>
      <c r="G73" s="261">
        <v>20.50971453720922</v>
      </c>
      <c r="H73" s="261"/>
      <c r="I73" s="261"/>
      <c r="J73" s="261">
        <v>5878.2692310410803</v>
      </c>
      <c r="K73" s="489">
        <f>(F73+G73)-J73</f>
        <v>8051.9404834961297</v>
      </c>
      <c r="L73" s="490"/>
      <c r="M73" s="490"/>
      <c r="N73" s="490"/>
    </row>
    <row r="74" spans="1:14" s="0" customFormat="1" ht="15.5">
      <c r="A74" s="482"/>
      <c r="B74" s="482"/>
      <c r="C74" s="450"/>
      <c r="D74" s="477"/>
      <c r="E74" s="321"/>
      <c r="F74" s="321"/>
      <c r="G74" s="321"/>
      <c r="H74" s="320"/>
      <c r="I74" s="320"/>
      <c r="J74" s="321"/>
      <c r="K74" s="492"/>
      <c r="L74" s="491"/>
      <c r="M74" s="491"/>
      <c r="N74" s="491"/>
    </row>
    <row r="75" spans="1:14" s="0" customFormat="1" ht="15.5">
      <c r="A75" s="480">
        <f>A73+1</f>
        <v>24</v>
      </c>
      <c r="B75" s="480"/>
      <c r="C75" s="447" t="s">
        <v>667</v>
      </c>
      <c r="D75" s="477"/>
      <c r="E75" s="448">
        <f>SUM(E60:E74)</f>
        <v>0</v>
      </c>
      <c r="F75" s="448">
        <f>SUM(F60:F74)</f>
        <v>62541.409999999742</v>
      </c>
      <c r="G75" s="448">
        <f>SUM(G60:G74)</f>
        <v>20.50971453720922</v>
      </c>
      <c r="H75" s="449"/>
      <c r="I75" s="449"/>
      <c r="J75" s="448">
        <f>SUM(J60:J74)</f>
        <v>26399.269231041078</v>
      </c>
      <c r="K75" s="448">
        <f>SUM(K60:K74)</f>
        <v>36162.650483495876</v>
      </c>
      <c r="L75" s="477"/>
      <c r="M75" s="477"/>
      <c r="N75" s="477"/>
    </row>
    <row r="76" s="0" customFormat="1" ht="15.5"/>
    <row r="77" spans="1:14" ht="14.5">
      <c r="A77" s="468"/>
      <c r="B77" s="443"/>
      <c r="C77" s="444" t="s">
        <v>874</v>
      </c>
      <c r="E77" s="445"/>
      <c r="F77" s="464"/>
      <c r="G77" s="464"/>
      <c r="H77" s="464"/>
      <c r="I77" s="464"/>
      <c r="J77" s="464"/>
      <c r="K77" s="445"/>
      <c r="L77" s="445"/>
      <c r="M77" s="445"/>
      <c r="N77" s="445"/>
    </row>
    <row r="78" spans="1:14" ht="14.5">
      <c r="A78" s="480">
        <f>A75+1</f>
        <v>25</v>
      </c>
      <c r="B78" s="480" t="s">
        <v>983</v>
      </c>
      <c r="C78" s="477" t="s">
        <v>668</v>
      </c>
      <c r="E78" s="261"/>
      <c r="F78" s="261"/>
      <c r="G78" s="261"/>
      <c r="H78" s="451" t="s">
        <v>669</v>
      </c>
      <c r="I78" s="451" t="s">
        <v>669</v>
      </c>
      <c r="J78" s="261"/>
      <c r="K78" s="489">
        <f>(F78+G78)-J78</f>
        <v>0</v>
      </c>
      <c r="L78" s="590" t="s">
        <v>817</v>
      </c>
      <c r="M78" s="590" t="s">
        <v>541</v>
      </c>
      <c r="N78" s="590">
        <v>411.10000000000002</v>
      </c>
    </row>
    <row r="79" spans="1:14" ht="14.5">
      <c r="A79" s="480">
        <f>A78+1</f>
        <v>26</v>
      </c>
      <c r="B79" s="480" t="s">
        <v>983</v>
      </c>
      <c r="C79" s="477" t="str">
        <f>C78</f>
        <v>Property Book-Tax Timing Difference - Account 190</v>
      </c>
      <c r="E79" s="261"/>
      <c r="F79" s="261">
        <v>-47748.820000000007</v>
      </c>
      <c r="G79" s="261">
        <v>36527.74274226281</v>
      </c>
      <c r="H79" s="485" t="s">
        <v>669</v>
      </c>
      <c r="I79" s="485" t="s">
        <v>669</v>
      </c>
      <c r="J79" s="261">
        <v>-188</v>
      </c>
      <c r="K79" s="489">
        <f t="shared" si="6" ref="K79:K89">(F79+G79)-J79</f>
        <v>-11033.077257737197</v>
      </c>
      <c r="L79" s="590" t="s">
        <v>816</v>
      </c>
      <c r="M79" s="590" t="s">
        <v>834</v>
      </c>
      <c r="N79" s="590">
        <v>410.10000000000002</v>
      </c>
    </row>
    <row r="80" spans="1:14" ht="14.5">
      <c r="A80" s="480">
        <f t="shared" si="7" ref="A80:A90">A79+1</f>
        <v>27</v>
      </c>
      <c r="B80" s="480" t="s">
        <v>983</v>
      </c>
      <c r="C80" s="477" t="s">
        <v>668</v>
      </c>
      <c r="E80" s="261"/>
      <c r="F80" s="261"/>
      <c r="G80" s="261"/>
      <c r="H80" s="485" t="s">
        <v>669</v>
      </c>
      <c r="I80" s="485" t="s">
        <v>669</v>
      </c>
      <c r="J80" s="261"/>
      <c r="K80" s="489">
        <f t="shared" si="6"/>
        <v>0</v>
      </c>
      <c r="L80" s="590" t="s">
        <v>817</v>
      </c>
      <c r="M80" s="590" t="s">
        <v>834</v>
      </c>
      <c r="N80" s="590">
        <v>410.10000000000002</v>
      </c>
    </row>
    <row r="81" spans="1:14" ht="14.5">
      <c r="A81" s="480">
        <f t="shared" si="7"/>
        <v>28</v>
      </c>
      <c r="B81" s="480" t="s">
        <v>983</v>
      </c>
      <c r="C81" s="477" t="str">
        <f>C80</f>
        <v>Property Book-Tax Timing Difference - Account 190</v>
      </c>
      <c r="E81" s="261"/>
      <c r="F81" s="261">
        <v>87168.630000000005</v>
      </c>
      <c r="G81" s="261">
        <v>-66683.842742262816</v>
      </c>
      <c r="H81" s="485" t="s">
        <v>669</v>
      </c>
      <c r="I81" s="485" t="s">
        <v>669</v>
      </c>
      <c r="J81" s="261">
        <v>344</v>
      </c>
      <c r="K81" s="489">
        <f t="shared" si="6"/>
        <v>20140.787257737189</v>
      </c>
      <c r="L81" s="590" t="s">
        <v>816</v>
      </c>
      <c r="M81" s="590" t="s">
        <v>541</v>
      </c>
      <c r="N81" s="590">
        <v>411.10000000000002</v>
      </c>
    </row>
    <row r="82" spans="1:14" ht="14.5">
      <c r="A82" s="480">
        <f t="shared" si="7"/>
        <v>29</v>
      </c>
      <c r="B82" s="480" t="s">
        <v>983</v>
      </c>
      <c r="C82" s="477" t="s">
        <v>670</v>
      </c>
      <c r="E82" s="261"/>
      <c r="F82" s="261"/>
      <c r="G82" s="261"/>
      <c r="H82" s="485" t="s">
        <v>669</v>
      </c>
      <c r="I82" s="485" t="s">
        <v>669</v>
      </c>
      <c r="J82" s="261"/>
      <c r="K82" s="489">
        <f t="shared" si="6"/>
        <v>0</v>
      </c>
      <c r="L82" s="590" t="s">
        <v>817</v>
      </c>
      <c r="M82" s="590" t="s">
        <v>541</v>
      </c>
      <c r="N82" s="590">
        <v>411.10000000000002</v>
      </c>
    </row>
    <row r="83" spans="1:14" ht="14.5">
      <c r="A83" s="480">
        <f t="shared" si="7"/>
        <v>30</v>
      </c>
      <c r="B83" s="480" t="s">
        <v>983</v>
      </c>
      <c r="C83" s="477" t="str">
        <f>C82</f>
        <v>Property Book-Tax Timing Difference - Account 282</v>
      </c>
      <c r="E83" s="261"/>
      <c r="F83" s="261">
        <v>-864620.24999999977</v>
      </c>
      <c r="G83" s="261">
        <v>944622.84132462624</v>
      </c>
      <c r="H83" s="485" t="s">
        <v>669</v>
      </c>
      <c r="I83" s="485" t="s">
        <v>669</v>
      </c>
      <c r="J83" s="261">
        <v>1799.1197528437458</v>
      </c>
      <c r="K83" s="489">
        <f t="shared" si="6"/>
        <v>78203.47157178272</v>
      </c>
      <c r="L83" s="590" t="s">
        <v>816</v>
      </c>
      <c r="M83" s="590" t="s">
        <v>834</v>
      </c>
      <c r="N83" s="590">
        <v>410.10000000000002</v>
      </c>
    </row>
    <row r="84" spans="1:14" ht="14.5">
      <c r="A84" s="480">
        <f t="shared" si="7"/>
        <v>31</v>
      </c>
      <c r="B84" s="480" t="s">
        <v>983</v>
      </c>
      <c r="C84" s="477" t="s">
        <v>670</v>
      </c>
      <c r="E84" s="261"/>
      <c r="F84" s="261">
        <v>-724039.12000000011</v>
      </c>
      <c r="G84" s="261">
        <v>787463.61999999988</v>
      </c>
      <c r="H84" s="485" t="s">
        <v>669</v>
      </c>
      <c r="I84" s="485" t="s">
        <v>669</v>
      </c>
      <c r="J84" s="261">
        <v>-7627.0900000000838</v>
      </c>
      <c r="K84" s="489">
        <f t="shared" si="6"/>
        <v>71051.589999999851</v>
      </c>
      <c r="L84" s="590" t="s">
        <v>817</v>
      </c>
      <c r="M84" s="590" t="s">
        <v>834</v>
      </c>
      <c r="N84" s="590">
        <v>410.10000000000002</v>
      </c>
    </row>
    <row r="85" spans="1:14" ht="14.5">
      <c r="A85" s="480">
        <f t="shared" si="7"/>
        <v>32</v>
      </c>
      <c r="B85" s="480" t="s">
        <v>983</v>
      </c>
      <c r="C85" s="477" t="str">
        <f>C84</f>
        <v>Property Book-Tax Timing Difference - Account 282</v>
      </c>
      <c r="E85" s="261"/>
      <c r="F85" s="261">
        <v>418426.0999999998</v>
      </c>
      <c r="G85" s="261">
        <v>-457142.74132462591</v>
      </c>
      <c r="H85" s="485" t="s">
        <v>669</v>
      </c>
      <c r="I85" s="485" t="s">
        <v>669</v>
      </c>
      <c r="J85" s="261">
        <v>-870.66975284332682</v>
      </c>
      <c r="K85" s="489">
        <f t="shared" si="6"/>
        <v>-37845.971571782778</v>
      </c>
      <c r="L85" s="590" t="s">
        <v>816</v>
      </c>
      <c r="M85" s="590" t="s">
        <v>541</v>
      </c>
      <c r="N85" s="590">
        <v>411.10000000000002</v>
      </c>
    </row>
    <row r="86" spans="1:14" ht="14.5">
      <c r="A86" s="480">
        <f t="shared" si="7"/>
        <v>33</v>
      </c>
      <c r="B86" s="480" t="s">
        <v>983</v>
      </c>
      <c r="C86" s="477" t="s">
        <v>671</v>
      </c>
      <c r="E86" s="263"/>
      <c r="F86" s="263"/>
      <c r="G86" s="263"/>
      <c r="H86" s="485" t="s">
        <v>669</v>
      </c>
      <c r="I86" s="485" t="s">
        <v>669</v>
      </c>
      <c r="J86" s="261"/>
      <c r="K86" s="489">
        <f t="shared" si="6"/>
        <v>0</v>
      </c>
      <c r="L86" s="590" t="s">
        <v>817</v>
      </c>
      <c r="M86" s="590" t="s">
        <v>541</v>
      </c>
      <c r="N86" s="590">
        <v>411.10000000000002</v>
      </c>
    </row>
    <row r="87" spans="1:14" ht="14.5">
      <c r="A87" s="480">
        <f t="shared" si="7"/>
        <v>34</v>
      </c>
      <c r="B87" s="480" t="s">
        <v>983</v>
      </c>
      <c r="C87" s="477" t="str">
        <f>C86</f>
        <v>Property Book-Tax Timing Difference - Account 283</v>
      </c>
      <c r="E87" s="263"/>
      <c r="F87" s="263"/>
      <c r="G87" s="263"/>
      <c r="H87" s="485" t="s">
        <v>669</v>
      </c>
      <c r="I87" s="485" t="s">
        <v>669</v>
      </c>
      <c r="J87" s="261"/>
      <c r="K87" s="489">
        <f t="shared" si="6"/>
        <v>0</v>
      </c>
      <c r="L87" s="590" t="s">
        <v>816</v>
      </c>
      <c r="M87" s="590" t="s">
        <v>834</v>
      </c>
      <c r="N87" s="590">
        <v>410.10000000000002</v>
      </c>
    </row>
    <row r="88" spans="1:14" ht="14.5">
      <c r="A88" s="480">
        <f t="shared" si="7"/>
        <v>35</v>
      </c>
      <c r="B88" s="480" t="s">
        <v>983</v>
      </c>
      <c r="C88" s="477" t="s">
        <v>671</v>
      </c>
      <c r="E88" s="263"/>
      <c r="F88" s="263"/>
      <c r="G88" s="263"/>
      <c r="H88" s="485" t="s">
        <v>669</v>
      </c>
      <c r="I88" s="485" t="s">
        <v>669</v>
      </c>
      <c r="J88" s="261"/>
      <c r="K88" s="489">
        <f t="shared" si="6"/>
        <v>0</v>
      </c>
      <c r="L88" s="590" t="s">
        <v>817</v>
      </c>
      <c r="M88" s="590" t="s">
        <v>834</v>
      </c>
      <c r="N88" s="590">
        <v>410.10000000000002</v>
      </c>
    </row>
    <row r="89" spans="1:14" ht="14.5">
      <c r="A89" s="480">
        <f t="shared" si="7"/>
        <v>36</v>
      </c>
      <c r="B89" s="480" t="s">
        <v>983</v>
      </c>
      <c r="C89" s="477" t="str">
        <f>C88</f>
        <v>Property Book-Tax Timing Difference - Account 283</v>
      </c>
      <c r="E89" s="263"/>
      <c r="F89" s="263"/>
      <c r="G89" s="263"/>
      <c r="H89" s="485" t="s">
        <v>669</v>
      </c>
      <c r="I89" s="485" t="s">
        <v>669</v>
      </c>
      <c r="J89" s="261"/>
      <c r="K89" s="489">
        <f t="shared" si="6"/>
        <v>0</v>
      </c>
      <c r="L89" s="590" t="s">
        <v>816</v>
      </c>
      <c r="M89" s="590" t="s">
        <v>541</v>
      </c>
      <c r="N89" s="590">
        <v>411.10000000000002</v>
      </c>
    </row>
    <row r="90" spans="1:14" ht="14.5">
      <c r="A90" s="480">
        <f t="shared" si="7"/>
        <v>37</v>
      </c>
      <c r="B90" s="480"/>
      <c r="C90" s="477" t="s">
        <v>691</v>
      </c>
      <c r="E90" s="262"/>
      <c r="F90" s="262">
        <v>-137310</v>
      </c>
      <c r="G90" s="262">
        <v>169957.09282972422</v>
      </c>
      <c r="H90" s="485"/>
      <c r="I90" s="485"/>
      <c r="J90" s="262">
        <v>-1874.0929999524085</v>
      </c>
      <c r="K90" s="492">
        <f>(F90+G90)-J90</f>
        <v>34521.18582967663</v>
      </c>
      <c r="L90" s="589" t="s">
        <v>839</v>
      </c>
      <c r="M90" s="589" t="s">
        <v>834</v>
      </c>
      <c r="N90" s="589">
        <v>410.10000000000002</v>
      </c>
    </row>
    <row r="91" spans="1:13" ht="14.5">
      <c r="A91" s="480">
        <f>A90+1</f>
        <v>38</v>
      </c>
      <c r="B91" s="480"/>
      <c r="C91" s="447" t="str">
        <f>"Total Property (Total of lines "&amp;A78&amp;" thru "&amp;A90&amp;")"</f>
        <v>Total Property (Total of lines 25 thru 37)</v>
      </c>
      <c r="E91" s="452">
        <f>SUM(E78:E90)</f>
        <v>0</v>
      </c>
      <c r="F91" s="452">
        <f>SUM(F78:F90)</f>
        <v>-1268123.46</v>
      </c>
      <c r="G91" s="452">
        <f t="shared" si="8" ref="G91">SUM(G78:G90)</f>
        <v>1414744.7128297244</v>
      </c>
      <c r="H91" s="449"/>
      <c r="I91" s="449"/>
      <c r="J91" s="452">
        <f>SUM(J78:J90)</f>
        <v>-8416.7329999520734</v>
      </c>
      <c r="K91" s="452">
        <f>SUM(K78:K90)</f>
        <v>155037.98582967641</v>
      </c>
      <c r="L91" s="491"/>
      <c r="M91" s="491"/>
    </row>
    <row r="92" spans="3:13" ht="14.5">
      <c r="C92" s="450"/>
      <c r="F92" s="493"/>
      <c r="G92" s="493"/>
      <c r="H92" s="449"/>
      <c r="I92" s="449"/>
      <c r="J92" s="453"/>
      <c r="K92" s="452"/>
      <c r="L92" s="491"/>
      <c r="M92" s="491"/>
    </row>
    <row r="93" spans="3:13" ht="14.5">
      <c r="C93" s="450"/>
      <c r="F93" s="493"/>
      <c r="G93" s="493"/>
      <c r="H93" s="449"/>
      <c r="I93" s="449"/>
      <c r="J93" s="453"/>
      <c r="K93" s="452"/>
      <c r="L93" s="491"/>
      <c r="M93" s="491"/>
    </row>
    <row r="94" spans="3:13" ht="14.5">
      <c r="C94" s="450"/>
      <c r="F94" s="493"/>
      <c r="G94" s="493"/>
      <c r="H94" s="449"/>
      <c r="I94" s="449"/>
      <c r="J94" s="453"/>
      <c r="K94" s="452"/>
      <c r="L94" s="491"/>
      <c r="M94" s="491"/>
    </row>
    <row r="95" spans="3:13" ht="14.5">
      <c r="C95" s="450"/>
      <c r="F95" s="493"/>
      <c r="G95" s="493"/>
      <c r="H95" s="449"/>
      <c r="I95" s="449"/>
      <c r="J95" s="453"/>
      <c r="K95" s="452"/>
      <c r="L95" s="491"/>
      <c r="M95" s="491"/>
    </row>
    <row r="96" spans="1:14" ht="15.5">
      <c r="A96"/>
      <c r="B96"/>
      <c r="C96"/>
      <c r="D96"/>
      <c r="E96"/>
      <c r="F96"/>
      <c r="G96"/>
      <c r="H96"/>
      <c r="I96"/>
      <c r="J96"/>
      <c r="K96"/>
      <c r="L96"/>
      <c r="M96"/>
      <c r="N96" s="437" t="s">
        <v>692</v>
      </c>
    </row>
    <row r="97" spans="1:14" ht="15.5">
      <c r="A97"/>
      <c r="B97"/>
      <c r="C97"/>
      <c r="D97"/>
      <c r="E97"/>
      <c r="F97"/>
      <c r="G97"/>
      <c r="H97"/>
      <c r="I97"/>
      <c r="J97"/>
      <c r="K97"/>
      <c r="L97"/>
      <c r="M97"/>
      <c r="N97" s="459" t="s">
        <v>964</v>
      </c>
    </row>
    <row r="98" spans="1:14" ht="15.5">
      <c r="A98"/>
      <c r="B98"/>
      <c r="C98"/>
      <c r="D98"/>
      <c r="E98"/>
      <c r="F98"/>
      <c r="G98"/>
      <c r="H98"/>
      <c r="I98"/>
      <c r="J98"/>
      <c r="K98"/>
      <c r="L98"/>
      <c r="M98"/>
      <c r="N98" s="437" t="str">
        <f>$N$3</f>
        <v>For the 12 months ended 12/31/2023</v>
      </c>
    </row>
    <row r="99" spans="1:14" ht="15.5">
      <c r="A99"/>
      <c r="B99"/>
      <c r="C99"/>
      <c r="D99"/>
      <c r="E99"/>
      <c r="F99"/>
      <c r="G99"/>
      <c r="H99"/>
      <c r="I99"/>
      <c r="J99"/>
      <c r="K99"/>
      <c r="L99"/>
      <c r="M99"/>
      <c r="N99" s="437"/>
    </row>
    <row r="100" spans="2:14" ht="14.5">
      <c r="B100" s="478" t="s">
        <v>652</v>
      </c>
      <c r="C100" s="478" t="s">
        <v>653</v>
      </c>
      <c r="D100" s="487"/>
      <c r="E100" s="478" t="s">
        <v>654</v>
      </c>
      <c r="F100" s="478" t="s">
        <v>655</v>
      </c>
      <c r="G100" s="478" t="s">
        <v>656</v>
      </c>
      <c r="H100" s="478" t="s">
        <v>657</v>
      </c>
      <c r="I100" s="478" t="s">
        <v>658</v>
      </c>
      <c r="J100" s="478" t="s">
        <v>659</v>
      </c>
      <c r="K100" s="478" t="s">
        <v>830</v>
      </c>
      <c r="L100" s="478" t="s">
        <v>831</v>
      </c>
      <c r="M100" s="478" t="s">
        <v>835</v>
      </c>
      <c r="N100" s="478" t="s">
        <v>840</v>
      </c>
    </row>
    <row r="101" spans="1:14" ht="106.75" customHeight="1">
      <c r="A101" s="467" t="s">
        <v>255</v>
      </c>
      <c r="B101" s="484" t="s">
        <v>853</v>
      </c>
      <c r="C101" s="441" t="s">
        <v>660</v>
      </c>
      <c r="E101" s="442" t="s">
        <v>981</v>
      </c>
      <c r="F101" s="441" t="s">
        <v>868</v>
      </c>
      <c r="G101" s="441" t="s">
        <v>869</v>
      </c>
      <c r="H101" s="441" t="s">
        <v>870</v>
      </c>
      <c r="I101" s="441" t="s">
        <v>661</v>
      </c>
      <c r="J101" s="441" t="s">
        <v>871</v>
      </c>
      <c r="K101" s="441" t="s">
        <v>872</v>
      </c>
      <c r="L101" s="441" t="s">
        <v>813</v>
      </c>
      <c r="M101" s="441" t="s">
        <v>833</v>
      </c>
      <c r="N101" s="441" t="s">
        <v>836</v>
      </c>
    </row>
    <row r="102" spans="1:12" ht="14.5">
      <c r="A102" s="468"/>
      <c r="B102" s="443"/>
      <c r="C102" s="444" t="s">
        <v>873</v>
      </c>
      <c r="E102" s="445"/>
      <c r="F102" s="445"/>
      <c r="G102" s="445"/>
      <c r="H102" s="445"/>
      <c r="I102" s="445"/>
      <c r="J102" s="445"/>
      <c r="K102" s="445"/>
      <c r="L102" s="445"/>
    </row>
    <row r="103" spans="1:13" ht="14.5">
      <c r="A103" s="465">
        <v>39</v>
      </c>
      <c r="B103" s="446"/>
      <c r="C103" s="444" t="s">
        <v>662</v>
      </c>
      <c r="E103" s="445"/>
      <c r="F103" s="445"/>
      <c r="G103" s="445"/>
      <c r="H103" s="458"/>
      <c r="I103" s="445"/>
      <c r="J103" s="445"/>
      <c r="L103" s="445"/>
      <c r="M103" s="479"/>
    </row>
    <row r="104" spans="1:14" ht="14.5">
      <c r="A104" s="480" t="s">
        <v>970</v>
      </c>
      <c r="B104" s="480" t="s">
        <v>984</v>
      </c>
      <c r="C104" s="488" t="s">
        <v>908</v>
      </c>
      <c r="E104" s="261">
        <v>162.77999999999884</v>
      </c>
      <c r="F104" s="261">
        <v>162.77999999999884</v>
      </c>
      <c r="G104" s="261"/>
      <c r="H104" s="261">
        <v>11</v>
      </c>
      <c r="I104" s="261">
        <v>11</v>
      </c>
      <c r="J104" s="261"/>
      <c r="K104" s="489">
        <f>(F104+G104)-J104</f>
        <v>162.77999999999884</v>
      </c>
      <c r="L104" s="490" t="s">
        <v>816</v>
      </c>
      <c r="M104" s="490" t="s">
        <v>914</v>
      </c>
      <c r="N104" s="490">
        <v>410.10000000000002</v>
      </c>
    </row>
    <row r="105" spans="1:14" ht="14.5">
      <c r="A105" s="480" t="s">
        <v>971</v>
      </c>
      <c r="B105" s="480" t="s">
        <v>984</v>
      </c>
      <c r="C105" s="488" t="s">
        <v>910</v>
      </c>
      <c r="E105" s="261">
        <v>33274.849999999977</v>
      </c>
      <c r="F105" s="261">
        <v>33274.849999999977</v>
      </c>
      <c r="G105" s="261"/>
      <c r="H105" s="261">
        <v>2</v>
      </c>
      <c r="I105" s="261">
        <v>2</v>
      </c>
      <c r="J105" s="261"/>
      <c r="K105" s="489">
        <f t="shared" si="9" ref="K105:K106">(F105+G105)-J105</f>
        <v>33274.849999999977</v>
      </c>
      <c r="L105" s="490" t="s">
        <v>816</v>
      </c>
      <c r="M105" s="490" t="s">
        <v>914</v>
      </c>
      <c r="N105" s="490">
        <v>410.10000000000002</v>
      </c>
    </row>
    <row r="106" spans="1:14" ht="14.5">
      <c r="A106" s="480" t="s">
        <v>972</v>
      </c>
      <c r="B106" s="480" t="s">
        <v>984</v>
      </c>
      <c r="C106" s="488" t="s">
        <v>929</v>
      </c>
      <c r="E106" s="261">
        <v>-1928.3999999999069</v>
      </c>
      <c r="F106" s="261">
        <v>-1928.3999999999069</v>
      </c>
      <c r="G106" s="261"/>
      <c r="H106" s="261">
        <v>7</v>
      </c>
      <c r="I106" s="261">
        <v>7</v>
      </c>
      <c r="J106" s="261"/>
      <c r="K106" s="489">
        <f t="shared" si="9"/>
        <v>-1928.3999999999069</v>
      </c>
      <c r="L106" s="490" t="s">
        <v>816</v>
      </c>
      <c r="M106" s="490" t="s">
        <v>915</v>
      </c>
      <c r="N106" s="490">
        <v>410.10000000000002</v>
      </c>
    </row>
    <row r="107" spans="5:14" ht="14.5">
      <c r="E107" s="320"/>
      <c r="F107" s="320"/>
      <c r="G107" s="320"/>
      <c r="H107" s="320"/>
      <c r="I107" s="320"/>
      <c r="J107" s="320"/>
      <c r="K107" s="489"/>
      <c r="L107" s="491"/>
      <c r="M107" s="491"/>
      <c r="N107" s="491"/>
    </row>
    <row r="108" spans="1:14" ht="14.5">
      <c r="A108" s="465">
        <f>A103+1</f>
        <v>40</v>
      </c>
      <c r="B108" s="446"/>
      <c r="C108" s="444" t="s">
        <v>663</v>
      </c>
      <c r="E108" s="445"/>
      <c r="F108" s="445"/>
      <c r="G108" s="445"/>
      <c r="H108" s="445"/>
      <c r="I108" s="445"/>
      <c r="J108" s="445"/>
      <c r="L108" s="445"/>
      <c r="M108" s="445"/>
      <c r="N108" s="445"/>
    </row>
    <row r="109" spans="1:14" ht="14.5">
      <c r="A109" s="480" t="s">
        <v>973</v>
      </c>
      <c r="B109" s="480"/>
      <c r="C109" s="488"/>
      <c r="E109" s="261"/>
      <c r="F109" s="261"/>
      <c r="G109" s="261"/>
      <c r="H109" s="261"/>
      <c r="I109" s="261"/>
      <c r="J109" s="261"/>
      <c r="K109" s="489">
        <f>(F109+G109)-J109</f>
        <v>0</v>
      </c>
      <c r="L109" s="490"/>
      <c r="M109" s="490"/>
      <c r="N109" s="490"/>
    </row>
    <row r="110" spans="1:14" ht="14.5">
      <c r="A110" s="432"/>
      <c r="B110" s="432"/>
      <c r="C110" s="402"/>
      <c r="D110" s="402"/>
      <c r="E110" s="402"/>
      <c r="F110" s="402"/>
      <c r="G110" s="402"/>
      <c r="H110" s="402"/>
      <c r="I110" s="402"/>
      <c r="J110" s="402"/>
      <c r="K110" s="402"/>
      <c r="L110" s="402"/>
      <c r="M110" s="402"/>
      <c r="N110" s="402"/>
    </row>
    <row r="111" spans="1:14" ht="14.5">
      <c r="A111" s="465">
        <f>A108+1</f>
        <v>41</v>
      </c>
      <c r="B111" s="446"/>
      <c r="C111" s="444" t="s">
        <v>664</v>
      </c>
      <c r="E111" s="445"/>
      <c r="F111" s="445"/>
      <c r="G111" s="445"/>
      <c r="H111" s="445"/>
      <c r="I111" s="445"/>
      <c r="J111" s="445"/>
      <c r="L111" s="445"/>
      <c r="M111" s="445"/>
      <c r="N111" s="445"/>
    </row>
    <row r="112" spans="1:14" ht="14.5">
      <c r="A112" s="480" t="s">
        <v>974</v>
      </c>
      <c r="B112" s="480" t="s">
        <v>984</v>
      </c>
      <c r="C112" s="488" t="s">
        <v>930</v>
      </c>
      <c r="E112" s="261">
        <v>-496.9199999999837</v>
      </c>
      <c r="F112" s="261">
        <v>-496.9199999999837</v>
      </c>
      <c r="G112" s="261"/>
      <c r="H112" s="261">
        <v>2</v>
      </c>
      <c r="I112" s="261">
        <v>2</v>
      </c>
      <c r="J112" s="261"/>
      <c r="K112" s="489">
        <f t="shared" si="10" ref="K112:K115">(F112+G112)-J112</f>
        <v>-496.9199999999837</v>
      </c>
      <c r="L112" s="490" t="s">
        <v>816</v>
      </c>
      <c r="M112" s="490" t="s">
        <v>915</v>
      </c>
      <c r="N112" s="490">
        <v>410.10000000000002</v>
      </c>
    </row>
    <row r="113" spans="1:14" ht="14.5">
      <c r="A113" s="480" t="s">
        <v>975</v>
      </c>
      <c r="B113" s="480" t="s">
        <v>984</v>
      </c>
      <c r="C113" s="488" t="s">
        <v>916</v>
      </c>
      <c r="E113" s="261">
        <v>-8784.519999999553</v>
      </c>
      <c r="F113" s="261">
        <v>-8784.519999999553</v>
      </c>
      <c r="G113" s="261"/>
      <c r="H113" s="261">
        <v>7</v>
      </c>
      <c r="I113" s="261">
        <v>7</v>
      </c>
      <c r="J113" s="261"/>
      <c r="K113" s="489">
        <f t="shared" si="10"/>
        <v>-8784.519999999553</v>
      </c>
      <c r="L113" s="490" t="s">
        <v>816</v>
      </c>
      <c r="M113" s="490" t="s">
        <v>915</v>
      </c>
      <c r="N113" s="490">
        <v>410.10000000000002</v>
      </c>
    </row>
    <row r="114" spans="1:14" ht="14.5">
      <c r="A114" s="480" t="s">
        <v>976</v>
      </c>
      <c r="B114" s="480" t="s">
        <v>984</v>
      </c>
      <c r="C114" s="488" t="s">
        <v>920</v>
      </c>
      <c r="E114" s="261">
        <v>-82.279999999998836</v>
      </c>
      <c r="F114" s="261">
        <v>-82.279999999998836</v>
      </c>
      <c r="G114" s="261"/>
      <c r="H114" s="261">
        <v>7</v>
      </c>
      <c r="I114" s="261">
        <v>7</v>
      </c>
      <c r="J114" s="261"/>
      <c r="K114" s="489">
        <f t="shared" si="10"/>
        <v>-82.279999999998836</v>
      </c>
      <c r="L114" s="490" t="s">
        <v>816</v>
      </c>
      <c r="M114" s="490" t="s">
        <v>915</v>
      </c>
      <c r="N114" s="490">
        <v>410.10000000000002</v>
      </c>
    </row>
    <row r="115" spans="5:14" ht="14.5">
      <c r="E115" s="320"/>
      <c r="F115" s="320"/>
      <c r="G115" s="320"/>
      <c r="H115" s="320"/>
      <c r="I115" s="320"/>
      <c r="J115" s="320"/>
      <c r="K115" s="489">
        <f t="shared" si="10"/>
        <v>0</v>
      </c>
      <c r="L115" s="491"/>
      <c r="M115" s="491"/>
      <c r="N115" s="491"/>
    </row>
    <row r="116" spans="1:14" ht="14.5">
      <c r="A116" s="480">
        <f>A111+1</f>
        <v>42</v>
      </c>
      <c r="B116" s="480"/>
      <c r="C116" s="447" t="s">
        <v>666</v>
      </c>
      <c r="E116" s="261">
        <v>6343.4248669312674</v>
      </c>
      <c r="F116" s="261">
        <v>6343.4248669312674</v>
      </c>
      <c r="G116" s="261">
        <v>0</v>
      </c>
      <c r="H116" s="261"/>
      <c r="I116" s="261"/>
      <c r="J116" s="261">
        <f>SUM(J104:J114)*'Attachment H-21-A ATSI '!D170-SUM('Appendix G(1) - Excess_Def ADIT'!J104:J114)</f>
        <v>0</v>
      </c>
      <c r="K116" s="489">
        <f>(F116+G116)-J116</f>
        <v>6343.4248669312674</v>
      </c>
      <c r="L116" s="490"/>
      <c r="M116" s="490"/>
      <c r="N116" s="490"/>
    </row>
    <row r="117" spans="3:14" ht="14.5">
      <c r="C117" s="450"/>
      <c r="E117" s="321"/>
      <c r="F117" s="321"/>
      <c r="G117" s="321"/>
      <c r="H117" s="320"/>
      <c r="I117" s="320"/>
      <c r="J117" s="321"/>
      <c r="K117" s="492"/>
      <c r="L117" s="491"/>
      <c r="M117" s="491"/>
      <c r="N117" s="491"/>
    </row>
    <row r="118" spans="1:11" ht="14.5">
      <c r="A118" s="480">
        <f>A116+1</f>
        <v>43</v>
      </c>
      <c r="B118" s="480"/>
      <c r="C118" s="447" t="s">
        <v>667</v>
      </c>
      <c r="E118" s="448">
        <f>SUM(E104:E117)</f>
        <v>28488.934866931799</v>
      </c>
      <c r="F118" s="448">
        <f>SUM(F104:F117)</f>
        <v>28488.934866931799</v>
      </c>
      <c r="G118" s="448">
        <f>SUM(G104:G117)</f>
        <v>0</v>
      </c>
      <c r="H118" s="449"/>
      <c r="I118" s="449"/>
      <c r="J118" s="448">
        <f>SUM(J104:J117)</f>
        <v>0</v>
      </c>
      <c r="K118" s="448">
        <f>SUM(K104:K117)</f>
        <v>28488.934866931799</v>
      </c>
    </row>
    <row r="119" spans="1:14" ht="15.5">
      <c r="A119"/>
      <c r="B119"/>
      <c r="C119"/>
      <c r="D119"/>
      <c r="E119"/>
      <c r="F119"/>
      <c r="G119"/>
      <c r="H119"/>
      <c r="I119"/>
      <c r="J119"/>
      <c r="K119"/>
      <c r="L119"/>
      <c r="M119"/>
      <c r="N119"/>
    </row>
    <row r="120" spans="1:14" ht="14.5">
      <c r="A120" s="468"/>
      <c r="B120" s="443"/>
      <c r="C120" s="444" t="s">
        <v>874</v>
      </c>
      <c r="E120" s="445"/>
      <c r="F120" s="464"/>
      <c r="G120" s="464"/>
      <c r="H120" s="464"/>
      <c r="I120" s="464"/>
      <c r="J120" s="464"/>
      <c r="K120" s="445"/>
      <c r="L120" s="445"/>
      <c r="M120" s="445"/>
      <c r="N120" s="445"/>
    </row>
    <row r="121" spans="1:14" ht="14.5">
      <c r="A121" s="480">
        <f>A118+1</f>
        <v>44</v>
      </c>
      <c r="B121" s="480" t="s">
        <v>984</v>
      </c>
      <c r="C121" s="477" t="s">
        <v>668</v>
      </c>
      <c r="E121" s="261"/>
      <c r="F121" s="261"/>
      <c r="G121" s="261"/>
      <c r="H121" s="451" t="s">
        <v>669</v>
      </c>
      <c r="I121" s="451" t="s">
        <v>669</v>
      </c>
      <c r="J121" s="261"/>
      <c r="K121" s="489">
        <f>(F121+G121)-J121</f>
        <v>0</v>
      </c>
      <c r="L121" s="590" t="s">
        <v>817</v>
      </c>
      <c r="M121" s="590" t="s">
        <v>541</v>
      </c>
      <c r="N121" s="590">
        <v>411.10000000000002</v>
      </c>
    </row>
    <row r="122" spans="1:14" ht="14.5">
      <c r="A122" s="480">
        <f>A121+1</f>
        <v>45</v>
      </c>
      <c r="B122" s="480" t="s">
        <v>984</v>
      </c>
      <c r="C122" s="477" t="str">
        <f>C121</f>
        <v>Property Book-Tax Timing Difference - Account 190</v>
      </c>
      <c r="E122" s="261">
        <v>-29129.760000000009</v>
      </c>
      <c r="F122" s="261">
        <v>-29129.760000000009</v>
      </c>
      <c r="G122" s="261"/>
      <c r="H122" s="485" t="s">
        <v>669</v>
      </c>
      <c r="I122" s="485" t="s">
        <v>669</v>
      </c>
      <c r="J122" s="261"/>
      <c r="K122" s="489">
        <f t="shared" si="11" ref="K122:K132">(F122+G122)-J122</f>
        <v>-29129.760000000009</v>
      </c>
      <c r="L122" s="590" t="s">
        <v>816</v>
      </c>
      <c r="M122" s="590" t="s">
        <v>834</v>
      </c>
      <c r="N122" s="590">
        <v>410.10000000000002</v>
      </c>
    </row>
    <row r="123" spans="1:14" ht="14.5">
      <c r="A123" s="480">
        <f t="shared" si="12" ref="A123:A133">A122+1</f>
        <v>46</v>
      </c>
      <c r="B123" s="480" t="s">
        <v>984</v>
      </c>
      <c r="C123" s="477" t="s">
        <v>668</v>
      </c>
      <c r="E123" s="261"/>
      <c r="F123" s="261"/>
      <c r="G123" s="261"/>
      <c r="H123" s="485" t="s">
        <v>669</v>
      </c>
      <c r="I123" s="485" t="s">
        <v>669</v>
      </c>
      <c r="J123" s="261"/>
      <c r="K123" s="489">
        <f t="shared" si="11"/>
        <v>0</v>
      </c>
      <c r="L123" s="590" t="s">
        <v>817</v>
      </c>
      <c r="M123" s="590" t="s">
        <v>834</v>
      </c>
      <c r="N123" s="590">
        <v>410.10000000000002</v>
      </c>
    </row>
    <row r="124" spans="1:14" ht="14.5">
      <c r="A124" s="480">
        <f t="shared" si="12"/>
        <v>47</v>
      </c>
      <c r="B124" s="480" t="s">
        <v>984</v>
      </c>
      <c r="C124" s="477" t="str">
        <f>C123</f>
        <v>Property Book-Tax Timing Difference - Account 190</v>
      </c>
      <c r="E124" s="261">
        <v>51767.77999999997</v>
      </c>
      <c r="F124" s="261">
        <v>51767.77999999997</v>
      </c>
      <c r="G124" s="261"/>
      <c r="H124" s="485" t="s">
        <v>669</v>
      </c>
      <c r="I124" s="485" t="s">
        <v>669</v>
      </c>
      <c r="J124" s="261"/>
      <c r="K124" s="489">
        <f t="shared" si="11"/>
        <v>51767.77999999997</v>
      </c>
      <c r="L124" s="590" t="s">
        <v>816</v>
      </c>
      <c r="M124" s="590" t="s">
        <v>541</v>
      </c>
      <c r="N124" s="590">
        <v>411.10000000000002</v>
      </c>
    </row>
    <row r="125" spans="1:14" ht="14.5">
      <c r="A125" s="480">
        <f t="shared" si="12"/>
        <v>48</v>
      </c>
      <c r="B125" s="480" t="s">
        <v>984</v>
      </c>
      <c r="C125" s="477" t="s">
        <v>670</v>
      </c>
      <c r="E125" s="261"/>
      <c r="F125" s="261"/>
      <c r="G125" s="261"/>
      <c r="H125" s="485" t="s">
        <v>669</v>
      </c>
      <c r="I125" s="485" t="s">
        <v>669</v>
      </c>
      <c r="J125" s="261"/>
      <c r="K125" s="489">
        <f t="shared" si="11"/>
        <v>0</v>
      </c>
      <c r="L125" s="590" t="s">
        <v>817</v>
      </c>
      <c r="M125" s="590" t="s">
        <v>541</v>
      </c>
      <c r="N125" s="590">
        <v>411.10000000000002</v>
      </c>
    </row>
    <row r="126" spans="1:14" ht="14.5">
      <c r="A126" s="480">
        <f t="shared" si="12"/>
        <v>49</v>
      </c>
      <c r="B126" s="480" t="s">
        <v>984</v>
      </c>
      <c r="C126" s="477" t="str">
        <f>C125</f>
        <v>Property Book-Tax Timing Difference - Account 282</v>
      </c>
      <c r="E126" s="261">
        <v>-545801.41999999969</v>
      </c>
      <c r="F126" s="261">
        <v>-545801.41999999969</v>
      </c>
      <c r="G126" s="261"/>
      <c r="H126" s="485" t="s">
        <v>669</v>
      </c>
      <c r="I126" s="485" t="s">
        <v>669</v>
      </c>
      <c r="J126" s="261"/>
      <c r="K126" s="489">
        <f t="shared" si="11"/>
        <v>-545801.41999999969</v>
      </c>
      <c r="L126" s="590" t="s">
        <v>816</v>
      </c>
      <c r="M126" s="590" t="s">
        <v>834</v>
      </c>
      <c r="N126" s="590">
        <v>410.10000000000002</v>
      </c>
    </row>
    <row r="127" spans="1:14" ht="14.5">
      <c r="A127" s="480">
        <f t="shared" si="12"/>
        <v>50</v>
      </c>
      <c r="B127" s="480" t="s">
        <v>984</v>
      </c>
      <c r="C127" s="477" t="s">
        <v>670</v>
      </c>
      <c r="E127" s="261">
        <v>-440138.05999999959</v>
      </c>
      <c r="F127" s="261">
        <v>-440138.05999999959</v>
      </c>
      <c r="G127" s="261"/>
      <c r="H127" s="485" t="s">
        <v>669</v>
      </c>
      <c r="I127" s="485" t="s">
        <v>669</v>
      </c>
      <c r="J127" s="261"/>
      <c r="K127" s="489">
        <f t="shared" si="11"/>
        <v>-440138.05999999959</v>
      </c>
      <c r="L127" s="590" t="s">
        <v>817</v>
      </c>
      <c r="M127" s="590" t="s">
        <v>834</v>
      </c>
      <c r="N127" s="590">
        <v>410.10000000000002</v>
      </c>
    </row>
    <row r="128" spans="1:14" ht="14.5">
      <c r="A128" s="480">
        <f t="shared" si="12"/>
        <v>51</v>
      </c>
      <c r="B128" s="480" t="s">
        <v>984</v>
      </c>
      <c r="C128" s="477" t="str">
        <f>C127</f>
        <v>Property Book-Tax Timing Difference - Account 282</v>
      </c>
      <c r="E128" s="261">
        <v>264433.15999999986</v>
      </c>
      <c r="F128" s="261">
        <v>264433.15999999986</v>
      </c>
      <c r="G128" s="261"/>
      <c r="H128" s="485" t="s">
        <v>669</v>
      </c>
      <c r="I128" s="485" t="s">
        <v>669</v>
      </c>
      <c r="J128" s="261"/>
      <c r="K128" s="489">
        <f t="shared" si="11"/>
        <v>264433.15999999986</v>
      </c>
      <c r="L128" s="590" t="s">
        <v>816</v>
      </c>
      <c r="M128" s="590" t="s">
        <v>541</v>
      </c>
      <c r="N128" s="590">
        <v>411.10000000000002</v>
      </c>
    </row>
    <row r="129" spans="1:14" ht="14.5">
      <c r="A129" s="480">
        <f t="shared" si="12"/>
        <v>52</v>
      </c>
      <c r="B129" s="480" t="s">
        <v>984</v>
      </c>
      <c r="C129" s="477" t="s">
        <v>671</v>
      </c>
      <c r="E129" s="263"/>
      <c r="F129" s="263"/>
      <c r="G129" s="263"/>
      <c r="H129" s="485" t="s">
        <v>669</v>
      </c>
      <c r="I129" s="485" t="s">
        <v>669</v>
      </c>
      <c r="J129" s="261"/>
      <c r="K129" s="489">
        <f t="shared" si="11"/>
        <v>0</v>
      </c>
      <c r="L129" s="590" t="s">
        <v>817</v>
      </c>
      <c r="M129" s="590" t="s">
        <v>541</v>
      </c>
      <c r="N129" s="590">
        <v>411.10000000000002</v>
      </c>
    </row>
    <row r="130" spans="1:14" ht="14.5">
      <c r="A130" s="480">
        <f t="shared" si="12"/>
        <v>53</v>
      </c>
      <c r="B130" s="480" t="s">
        <v>984</v>
      </c>
      <c r="C130" s="477" t="str">
        <f>C129</f>
        <v>Property Book-Tax Timing Difference - Account 283</v>
      </c>
      <c r="E130" s="263"/>
      <c r="F130" s="263"/>
      <c r="G130" s="263"/>
      <c r="H130" s="485" t="s">
        <v>669</v>
      </c>
      <c r="I130" s="485" t="s">
        <v>669</v>
      </c>
      <c r="J130" s="261"/>
      <c r="K130" s="489">
        <f t="shared" si="11"/>
        <v>0</v>
      </c>
      <c r="L130" s="590" t="s">
        <v>816</v>
      </c>
      <c r="M130" s="590" t="s">
        <v>834</v>
      </c>
      <c r="N130" s="590">
        <v>410.10000000000002</v>
      </c>
    </row>
    <row r="131" spans="1:14" ht="14.5">
      <c r="A131" s="480">
        <f t="shared" si="12"/>
        <v>54</v>
      </c>
      <c r="B131" s="480" t="s">
        <v>984</v>
      </c>
      <c r="C131" s="477" t="s">
        <v>671</v>
      </c>
      <c r="E131" s="263"/>
      <c r="F131" s="263"/>
      <c r="G131" s="263"/>
      <c r="H131" s="485" t="s">
        <v>669</v>
      </c>
      <c r="I131" s="485" t="s">
        <v>669</v>
      </c>
      <c r="J131" s="261"/>
      <c r="K131" s="489">
        <f t="shared" si="11"/>
        <v>0</v>
      </c>
      <c r="L131" s="590" t="s">
        <v>817</v>
      </c>
      <c r="M131" s="590" t="s">
        <v>834</v>
      </c>
      <c r="N131" s="590">
        <v>410.10000000000002</v>
      </c>
    </row>
    <row r="132" spans="1:14" ht="14.5">
      <c r="A132" s="480">
        <f t="shared" si="12"/>
        <v>55</v>
      </c>
      <c r="B132" s="480" t="s">
        <v>984</v>
      </c>
      <c r="C132" s="477" t="str">
        <f>C131</f>
        <v>Property Book-Tax Timing Difference - Account 283</v>
      </c>
      <c r="E132" s="263"/>
      <c r="F132" s="263"/>
      <c r="G132" s="263"/>
      <c r="H132" s="485" t="s">
        <v>669</v>
      </c>
      <c r="I132" s="485" t="s">
        <v>669</v>
      </c>
      <c r="J132" s="261"/>
      <c r="K132" s="489">
        <f t="shared" si="11"/>
        <v>0</v>
      </c>
      <c r="L132" s="590" t="s">
        <v>816</v>
      </c>
      <c r="M132" s="590" t="s">
        <v>541</v>
      </c>
      <c r="N132" s="590">
        <v>411.10000000000002</v>
      </c>
    </row>
    <row r="133" spans="1:14" ht="14.5">
      <c r="A133" s="480">
        <f t="shared" si="12"/>
        <v>56</v>
      </c>
      <c r="B133" s="480"/>
      <c r="C133" s="477" t="s">
        <v>691</v>
      </c>
      <c r="E133" s="262">
        <v>-200571.91999999998</v>
      </c>
      <c r="F133" s="262">
        <v>-200571.91999999998</v>
      </c>
      <c r="G133" s="262"/>
      <c r="H133" s="485"/>
      <c r="I133" s="485"/>
      <c r="J133" s="262"/>
      <c r="K133" s="492">
        <f>(F133+G133)-J133</f>
        <v>-200571.91999999998</v>
      </c>
      <c r="L133" s="589" t="s">
        <v>839</v>
      </c>
      <c r="M133" s="589" t="s">
        <v>834</v>
      </c>
      <c r="N133" s="589">
        <v>410.10000000000002</v>
      </c>
    </row>
    <row r="134" spans="1:13" ht="14.5">
      <c r="A134" s="480">
        <f>A133+1</f>
        <v>57</v>
      </c>
      <c r="B134" s="480"/>
      <c r="C134" s="447" t="str">
        <f>"Total Property (Total of lines "&amp;A121&amp;" thru "&amp;A133&amp;")"</f>
        <v>Total Property (Total of lines 44 thru 56)</v>
      </c>
      <c r="E134" s="452">
        <f>SUM(E121:E133)</f>
        <v>-899440.21999999927</v>
      </c>
      <c r="F134" s="452">
        <f>SUM(F121:F133)</f>
        <v>-899440.21999999927</v>
      </c>
      <c r="G134" s="452">
        <f t="shared" si="13" ref="G134">SUM(G121:G133)</f>
        <v>0</v>
      </c>
      <c r="H134" s="449"/>
      <c r="I134" s="449"/>
      <c r="J134" s="452">
        <f>SUM(J121:J133)</f>
        <v>0</v>
      </c>
      <c r="K134" s="452">
        <f>SUM(K121:K133)</f>
        <v>-899440.21999999927</v>
      </c>
      <c r="L134" s="491"/>
      <c r="M134" s="491"/>
    </row>
    <row r="135" spans="3:13" ht="14.5">
      <c r="C135" s="450"/>
      <c r="E135" s="597"/>
      <c r="F135" s="493"/>
      <c r="G135" s="493"/>
      <c r="H135" s="449"/>
      <c r="I135" s="449"/>
      <c r="J135" s="453"/>
      <c r="K135" s="452"/>
      <c r="L135" s="491"/>
      <c r="M135" s="491"/>
    </row>
    <row r="136" spans="3:13" ht="14.5">
      <c r="C136" s="450"/>
      <c r="F136" s="493"/>
      <c r="G136" s="493"/>
      <c r="H136" s="449"/>
      <c r="I136" s="449"/>
      <c r="J136" s="453"/>
      <c r="K136" s="452"/>
      <c r="L136" s="491"/>
      <c r="M136" s="491"/>
    </row>
    <row r="137" spans="3:13" ht="14.5">
      <c r="C137" s="450"/>
      <c r="F137" s="493"/>
      <c r="G137" s="493"/>
      <c r="H137" s="449"/>
      <c r="I137" s="449"/>
      <c r="J137" s="453"/>
      <c r="K137" s="452"/>
      <c r="L137" s="491"/>
      <c r="M137" s="491"/>
    </row>
    <row r="138" spans="3:13" ht="14.5">
      <c r="C138" s="450"/>
      <c r="F138" s="493"/>
      <c r="G138" s="493"/>
      <c r="H138" s="449"/>
      <c r="I138" s="449"/>
      <c r="J138" s="453"/>
      <c r="K138" s="452"/>
      <c r="L138" s="491"/>
      <c r="M138" s="491"/>
    </row>
    <row r="139" spans="14:14" s="0" customFormat="1" ht="15.5">
      <c r="N139" s="437" t="s">
        <v>692</v>
      </c>
    </row>
    <row r="140" spans="14:14" s="0" customFormat="1" ht="15.5">
      <c r="N140" s="459" t="s">
        <v>965</v>
      </c>
    </row>
    <row r="141" spans="9:14" s="0" customFormat="1" ht="15.5">
      <c r="I141" s="477"/>
      <c r="N141" s="437" t="str">
        <f>$N$3</f>
        <v>For the 12 months ended 12/31/2023</v>
      </c>
    </row>
    <row r="142" spans="14:14" s="0" customFormat="1" ht="15.5">
      <c r="N142" s="437"/>
    </row>
    <row r="143" spans="2:14" ht="14.5">
      <c r="B143" s="478" t="s">
        <v>652</v>
      </c>
      <c r="C143" s="478" t="s">
        <v>653</v>
      </c>
      <c r="D143" s="487"/>
      <c r="E143" s="478" t="s">
        <v>654</v>
      </c>
      <c r="F143" s="478" t="s">
        <v>655</v>
      </c>
      <c r="G143" s="478" t="s">
        <v>656</v>
      </c>
      <c r="H143" s="478" t="s">
        <v>657</v>
      </c>
      <c r="I143" s="478" t="s">
        <v>658</v>
      </c>
      <c r="J143" s="478" t="s">
        <v>659</v>
      </c>
      <c r="K143" s="478" t="s">
        <v>830</v>
      </c>
      <c r="L143" s="478" t="s">
        <v>831</v>
      </c>
      <c r="M143" s="478" t="s">
        <v>835</v>
      </c>
      <c r="N143" s="478" t="s">
        <v>840</v>
      </c>
    </row>
    <row r="144" spans="1:14" ht="112.5" customHeight="1">
      <c r="A144" s="467" t="s">
        <v>255</v>
      </c>
      <c r="B144" s="484" t="s">
        <v>853</v>
      </c>
      <c r="C144" s="441" t="s">
        <v>660</v>
      </c>
      <c r="E144" s="441"/>
      <c r="F144" s="441"/>
      <c r="G144" s="441"/>
      <c r="H144" s="441"/>
      <c r="I144" s="441"/>
      <c r="J144" s="441" t="s">
        <v>871</v>
      </c>
      <c r="K144" s="441" t="s">
        <v>875</v>
      </c>
      <c r="L144" s="441" t="s">
        <v>813</v>
      </c>
      <c r="M144" s="441" t="s">
        <v>833</v>
      </c>
      <c r="N144" s="441" t="s">
        <v>836</v>
      </c>
    </row>
    <row r="145" spans="3:10" ht="14.5">
      <c r="C145" s="450"/>
      <c r="F145" s="449"/>
      <c r="G145" s="449"/>
      <c r="H145" s="449"/>
      <c r="I145" s="449"/>
      <c r="J145" s="448"/>
    </row>
    <row r="146" spans="1:13" ht="14.5">
      <c r="A146" s="480">
        <v>58</v>
      </c>
      <c r="C146" s="450" t="s">
        <v>876</v>
      </c>
      <c r="F146" s="493"/>
      <c r="G146" s="493"/>
      <c r="H146" s="449"/>
      <c r="I146" s="449"/>
      <c r="J146" s="454"/>
      <c r="K146" s="452"/>
      <c r="L146" s="491"/>
      <c r="M146" s="491"/>
    </row>
    <row r="147" spans="3:10" ht="14.5">
      <c r="C147" s="450"/>
      <c r="F147" s="449"/>
      <c r="G147" s="449"/>
      <c r="H147" s="449"/>
      <c r="I147" s="449"/>
      <c r="J147" s="448"/>
    </row>
    <row r="148" spans="1:14" ht="14.5">
      <c r="A148" s="480">
        <f>A146+1</f>
        <v>59</v>
      </c>
      <c r="C148" s="447" t="s">
        <v>977</v>
      </c>
      <c r="D148" s="488"/>
      <c r="E148" s="488"/>
      <c r="F148" s="460"/>
      <c r="G148" s="449"/>
      <c r="H148" s="449"/>
      <c r="I148" s="449"/>
      <c r="J148" s="461">
        <f>J91+J34+J146+J75+J50+J134+J118</f>
        <v>-2809544.7066365518</v>
      </c>
      <c r="L148" s="490"/>
      <c r="M148" s="490"/>
      <c r="N148" s="490"/>
    </row>
    <row r="149" spans="3:12" ht="14.5">
      <c r="C149" s="450"/>
      <c r="F149" s="449"/>
      <c r="G149" s="449"/>
      <c r="H149" s="449"/>
      <c r="I149" s="449"/>
      <c r="J149" s="448"/>
      <c r="L149" s="491"/>
    </row>
    <row r="150" spans="1:12" ht="14.5">
      <c r="A150" s="480">
        <f>A148+1</f>
        <v>60</v>
      </c>
      <c r="C150" s="447" t="s">
        <v>1166</v>
      </c>
      <c r="F150" s="449"/>
      <c r="G150" s="449"/>
      <c r="H150" s="449"/>
      <c r="I150" s="449"/>
      <c r="J150" s="448"/>
      <c r="K150" s="461">
        <f>K91+K34+K75+K50+K118+K134</f>
        <v>-335537060.95525378</v>
      </c>
      <c r="L150" s="491"/>
    </row>
    <row r="151" spans="3:12" ht="14.5">
      <c r="C151" s="450"/>
      <c r="F151" s="449"/>
      <c r="G151" s="449"/>
      <c r="H151" s="449"/>
      <c r="I151" s="449"/>
      <c r="J151" s="448"/>
      <c r="L151" s="491"/>
    </row>
    <row r="152" spans="1:12" ht="14.5">
      <c r="A152" s="480">
        <f>A150+1</f>
        <v>61</v>
      </c>
      <c r="C152" s="447" t="s">
        <v>978</v>
      </c>
      <c r="F152" s="449"/>
      <c r="G152" s="449"/>
      <c r="H152" s="449"/>
      <c r="I152" s="449"/>
      <c r="J152" s="448"/>
      <c r="K152" s="448">
        <f>SUM(-'Appendix G(3) - ADIT'!M65,-'Appendix G(3) - ADIT'!M61,'Appendix G(3) - ADIT'!L54,'Appendix G(3) - ADIT'!L50,'Appendix G(3) - ADIT'!O43,'Appendix G(3) - ADIT'!O39)</f>
        <v>-335537060.95525372</v>
      </c>
      <c r="L152" s="491"/>
    </row>
    <row r="153" spans="3:12" ht="14.5">
      <c r="C153" s="450"/>
      <c r="F153" s="449"/>
      <c r="G153" s="449"/>
      <c r="H153" s="449"/>
      <c r="I153" s="449"/>
      <c r="J153" s="448"/>
      <c r="K153" s="489"/>
      <c r="L153" s="491"/>
    </row>
    <row r="154" spans="1:10" ht="14.5">
      <c r="A154" s="482" t="s">
        <v>364</v>
      </c>
      <c r="F154" s="449"/>
      <c r="G154" s="449"/>
      <c r="H154" s="449"/>
      <c r="I154" s="449"/>
      <c r="J154" s="448"/>
    </row>
    <row r="155" spans="1:9" ht="14.5">
      <c r="A155" s="482" t="s">
        <v>141</v>
      </c>
      <c r="B155" s="477" t="s">
        <v>855</v>
      </c>
      <c r="E155" s="457"/>
      <c r="F155" s="457"/>
      <c r="G155" s="457"/>
      <c r="H155" s="457"/>
      <c r="I155" s="448"/>
    </row>
    <row r="156" spans="1:15" ht="73.75" customHeight="1">
      <c r="A156" s="494" t="s">
        <v>142</v>
      </c>
      <c r="B156" s="700" t="s">
        <v>865</v>
      </c>
      <c r="C156" s="700"/>
      <c r="D156" s="700"/>
      <c r="E156" s="700"/>
      <c r="F156" s="700"/>
      <c r="G156" s="700"/>
      <c r="H156" s="700"/>
      <c r="I156" s="700"/>
      <c r="J156" s="700"/>
      <c r="K156" s="700"/>
      <c r="L156" s="700"/>
      <c r="M156" s="700"/>
      <c r="N156" s="700"/>
      <c r="O156" s="483"/>
    </row>
    <row r="157" spans="1:11" ht="14.5">
      <c r="A157" s="494" t="s">
        <v>143</v>
      </c>
      <c r="B157" s="495" t="s">
        <v>734</v>
      </c>
      <c r="C157" s="495"/>
      <c r="D157" s="495"/>
      <c r="E157" s="455"/>
      <c r="F157" s="455"/>
      <c r="G157" s="455"/>
      <c r="H157" s="455"/>
      <c r="I157" s="456"/>
      <c r="J157" s="495"/>
      <c r="K157" s="495"/>
    </row>
    <row r="158" spans="1:11" ht="14.5">
      <c r="A158" s="494" t="s">
        <v>144</v>
      </c>
      <c r="B158" s="495" t="s">
        <v>672</v>
      </c>
      <c r="C158" s="495"/>
      <c r="D158" s="495"/>
      <c r="E158" s="455"/>
      <c r="F158" s="455"/>
      <c r="G158" s="455"/>
      <c r="H158" s="455"/>
      <c r="I158" s="456"/>
      <c r="J158" s="495"/>
      <c r="K158" s="495"/>
    </row>
    <row r="159" spans="1:11" ht="14.5">
      <c r="A159" s="494" t="s">
        <v>145</v>
      </c>
      <c r="B159" s="495" t="s">
        <v>702</v>
      </c>
      <c r="C159" s="495"/>
      <c r="D159" s="495"/>
      <c r="E159" s="455"/>
      <c r="F159" s="455"/>
      <c r="G159" s="455"/>
      <c r="H159" s="455"/>
      <c r="I159" s="456"/>
      <c r="J159" s="495"/>
      <c r="K159" s="495"/>
    </row>
    <row r="160" spans="1:11" ht="14.5">
      <c r="A160" s="494"/>
      <c r="B160" s="495" t="s">
        <v>673</v>
      </c>
      <c r="D160" s="495"/>
      <c r="E160" s="495" t="s">
        <v>703</v>
      </c>
      <c r="F160" s="455"/>
      <c r="G160" s="455"/>
      <c r="H160" s="455"/>
      <c r="I160" s="456"/>
      <c r="J160" s="495"/>
      <c r="K160" s="495"/>
    </row>
    <row r="161" spans="1:11" ht="14.5">
      <c r="A161" s="494"/>
      <c r="B161" s="495" t="s">
        <v>674</v>
      </c>
      <c r="C161" s="495"/>
      <c r="D161" s="495"/>
      <c r="E161" s="455"/>
      <c r="F161" s="455"/>
      <c r="G161" s="455"/>
      <c r="H161" s="455"/>
      <c r="I161" s="456"/>
      <c r="J161" s="495"/>
      <c r="K161" s="495"/>
    </row>
    <row r="162" spans="1:11" ht="14.5">
      <c r="A162" s="494" t="s">
        <v>146</v>
      </c>
      <c r="B162" s="495" t="s">
        <v>854</v>
      </c>
      <c r="C162" s="495"/>
      <c r="D162" s="495"/>
      <c r="E162" s="455"/>
      <c r="F162" s="455"/>
      <c r="G162" s="455"/>
      <c r="H162" s="455"/>
      <c r="I162" s="456"/>
      <c r="J162" s="495"/>
      <c r="K162" s="495"/>
    </row>
    <row r="163" spans="1:11" ht="14.5">
      <c r="A163" s="494" t="s">
        <v>147</v>
      </c>
      <c r="B163" s="495" t="s">
        <v>694</v>
      </c>
      <c r="C163" s="495"/>
      <c r="D163" s="495"/>
      <c r="E163" s="455"/>
      <c r="F163" s="455"/>
      <c r="G163" s="455"/>
      <c r="H163" s="455"/>
      <c r="I163" s="456"/>
      <c r="J163" s="495"/>
      <c r="K163" s="495"/>
    </row>
    <row r="164" spans="1:14" ht="31.25" customHeight="1">
      <c r="A164" s="494" t="s">
        <v>149</v>
      </c>
      <c r="B164" s="701" t="s">
        <v>675</v>
      </c>
      <c r="C164" s="701"/>
      <c r="D164" s="701"/>
      <c r="E164" s="701"/>
      <c r="F164" s="701"/>
      <c r="G164" s="701"/>
      <c r="H164" s="701"/>
      <c r="I164" s="701"/>
      <c r="J164" s="701"/>
      <c r="K164" s="701"/>
      <c r="L164" s="701"/>
      <c r="M164" s="701"/>
      <c r="N164" s="701"/>
    </row>
    <row r="165" spans="1:9" ht="14.5">
      <c r="A165" s="482" t="s">
        <v>150</v>
      </c>
      <c r="B165" s="477" t="s">
        <v>846</v>
      </c>
      <c r="E165" s="457"/>
      <c r="F165" s="457"/>
      <c r="G165" s="457"/>
      <c r="H165" s="457"/>
      <c r="I165" s="448"/>
    </row>
    <row r="166" spans="6:10" ht="14.5">
      <c r="F166" s="449"/>
      <c r="G166" s="449"/>
      <c r="H166" s="449"/>
      <c r="I166" s="449"/>
      <c r="J166" s="448"/>
    </row>
    <row r="167" spans="6:10" ht="14.5">
      <c r="F167" s="449"/>
      <c r="G167" s="449"/>
      <c r="H167" s="449"/>
      <c r="I167" s="449"/>
      <c r="J167" s="448"/>
    </row>
    <row r="168" spans="6:10" ht="14.5">
      <c r="F168" s="449"/>
      <c r="G168" s="449"/>
      <c r="H168" s="449"/>
      <c r="I168" s="449"/>
      <c r="J168" s="448"/>
    </row>
    <row r="169" spans="6:10" ht="14.5">
      <c r="F169" s="449"/>
      <c r="G169" s="449"/>
      <c r="H169" s="449"/>
      <c r="I169" s="449"/>
      <c r="J169" s="448"/>
    </row>
    <row r="170" spans="6:10" ht="14.5">
      <c r="F170" s="449"/>
      <c r="G170" s="449"/>
      <c r="H170" s="449"/>
      <c r="I170" s="449"/>
      <c r="J170" s="448"/>
    </row>
    <row r="171" spans="6:8" ht="14.5">
      <c r="F171" s="449"/>
      <c r="G171" s="449"/>
      <c r="H171" s="449"/>
    </row>
  </sheetData>
  <mergeCells count="4">
    <mergeCell ref="B156:N156"/>
    <mergeCell ref="B164:N164"/>
    <mergeCell ref="C5:K5"/>
    <mergeCell ref="C6:K6"/>
  </mergeCells>
  <pageMargins left="0.7" right="0.7" top="0.75" bottom="0.75" header="0.3" footer="0.3"/>
  <pageSetup orientation="portrait" scale="34" r:id="rId1"/>
  <rowBreaks count="3" manualBreakCount="3">
    <brk id="51" max="16383" man="1"/>
    <brk id="94" max="16383" man="1"/>
    <brk id="13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3B0E8A-F3F0-4BD6-AFE9-1726CE69CD46}">
  <sheetPr codeName="Sheet18"/>
  <dimension ref="A1:AL129"/>
  <sheetViews>
    <sheetView view="pageBreakPreview" zoomScale="60" zoomScaleNormal="75" workbookViewId="0" topLeftCell="A1">
      <selection pane="topLeft" activeCell="I123" sqref="I123"/>
    </sheetView>
  </sheetViews>
  <sheetFormatPr defaultColWidth="7.45714285714286" defaultRowHeight="15.5"/>
  <cols>
    <col min="1" max="1" width="4.92857142857143" style="616" customWidth="1"/>
    <col min="2" max="2" width="8.14285714285714" style="616" customWidth="1"/>
    <col min="3" max="4" width="2.14285714285714" style="617" customWidth="1"/>
    <col min="5" max="5" width="49.2142857142857" style="617" customWidth="1"/>
    <col min="6" max="8" width="15.2142857142857" style="617" customWidth="1"/>
    <col min="9" max="9" width="15.1428571428571" style="617" customWidth="1"/>
    <col min="10" max="10" width="18.8571428571429" style="617" customWidth="1"/>
    <col min="11" max="12" width="15.2142857142857" style="617" customWidth="1"/>
    <col min="13" max="13" width="19.5" style="617" customWidth="1"/>
    <col min="14" max="14" width="11.1428571428571" style="618" customWidth="1"/>
    <col min="15" max="15" width="20" style="617" customWidth="1"/>
    <col min="16" max="16384" width="7.42857142857143" style="617"/>
  </cols>
  <sheetData>
    <row r="1" spans="15:15" ht="15.5">
      <c r="O1" s="3" t="s">
        <v>843</v>
      </c>
    </row>
    <row r="2" spans="15:15" ht="15.5">
      <c r="O2" s="463" t="s">
        <v>845</v>
      </c>
    </row>
    <row r="3" spans="15:15" ht="15.5">
      <c r="O3" s="3" t="str">
        <f>'Attachment H-21-A ATSI '!K4</f>
        <v>For the 12 months ended 12/31/2023</v>
      </c>
    </row>
    <row r="4" spans="5:13" ht="15.5">
      <c r="E4" s="619"/>
      <c r="M4" s="620"/>
    </row>
    <row r="5" spans="1:15" s="623" customFormat="1" ht="15.5">
      <c r="A5" s="621"/>
      <c r="B5" s="622" t="s">
        <v>652</v>
      </c>
      <c r="E5" s="622" t="s">
        <v>653</v>
      </c>
      <c r="F5" s="622" t="s">
        <v>654</v>
      </c>
      <c r="G5" s="622" t="s">
        <v>655</v>
      </c>
      <c r="H5" s="622" t="s">
        <v>656</v>
      </c>
      <c r="I5" s="622" t="s">
        <v>657</v>
      </c>
      <c r="J5" s="622" t="s">
        <v>658</v>
      </c>
      <c r="K5" s="622" t="s">
        <v>659</v>
      </c>
      <c r="L5" s="622" t="s">
        <v>830</v>
      </c>
      <c r="M5" s="622" t="s">
        <v>831</v>
      </c>
      <c r="N5" s="622" t="s">
        <v>835</v>
      </c>
      <c r="O5" s="622" t="s">
        <v>840</v>
      </c>
    </row>
    <row r="6" spans="1:15" s="629" customFormat="1" ht="60" customHeight="1">
      <c r="A6" s="624"/>
      <c r="B6" s="624"/>
      <c r="C6" s="625"/>
      <c r="D6" s="625"/>
      <c r="E6" s="625"/>
      <c r="F6" s="704" t="s">
        <v>860</v>
      </c>
      <c r="G6" s="705"/>
      <c r="H6" s="706"/>
      <c r="I6" s="626" t="s">
        <v>861</v>
      </c>
      <c r="J6" s="626" t="s">
        <v>862</v>
      </c>
      <c r="K6" s="707" t="s">
        <v>863</v>
      </c>
      <c r="L6" s="708"/>
      <c r="M6" s="709"/>
      <c r="N6" s="628"/>
      <c r="O6" s="628"/>
    </row>
    <row r="7" spans="1:15" s="629" customFormat="1" ht="73.25" customHeight="1">
      <c r="A7" s="630" t="s">
        <v>255</v>
      </c>
      <c r="B7" s="630" t="s">
        <v>853</v>
      </c>
      <c r="E7" s="631" t="s">
        <v>859</v>
      </c>
      <c r="F7" s="632" t="s">
        <v>966</v>
      </c>
      <c r="G7" s="632" t="s">
        <v>967</v>
      </c>
      <c r="H7" s="632" t="s">
        <v>968</v>
      </c>
      <c r="I7" s="626" t="s">
        <v>811</v>
      </c>
      <c r="J7" s="626" t="s">
        <v>864</v>
      </c>
      <c r="K7" s="633" t="s">
        <v>812</v>
      </c>
      <c r="L7" s="632" t="s">
        <v>969</v>
      </c>
      <c r="M7" s="626" t="s">
        <v>856</v>
      </c>
      <c r="N7" s="627" t="s">
        <v>813</v>
      </c>
      <c r="O7" s="634" t="s">
        <v>985</v>
      </c>
    </row>
    <row r="8" spans="3:13" ht="15.5">
      <c r="C8" s="635" t="s">
        <v>814</v>
      </c>
      <c r="F8" s="636"/>
      <c r="G8" s="636"/>
      <c r="H8" s="636"/>
      <c r="I8" s="636"/>
      <c r="J8" s="636"/>
      <c r="L8" s="636"/>
      <c r="M8" s="636"/>
    </row>
    <row r="9" spans="1:15" ht="15.5">
      <c r="A9" s="637">
        <v>1</v>
      </c>
      <c r="C9" s="617" t="s">
        <v>815</v>
      </c>
      <c r="O9" s="638"/>
    </row>
    <row r="10" spans="1:37" ht="15.5">
      <c r="A10" s="637" t="s">
        <v>9</v>
      </c>
      <c r="B10" s="639" t="s">
        <v>984</v>
      </c>
      <c r="E10" s="640" t="s">
        <v>936</v>
      </c>
      <c r="F10" s="641">
        <v>820888.44999999995</v>
      </c>
      <c r="G10" s="641">
        <v>819803.16000000003</v>
      </c>
      <c r="H10" s="641">
        <v>-1085.2899999999208</v>
      </c>
      <c r="I10" s="641">
        <v>1085.2899999999208</v>
      </c>
      <c r="J10" s="642">
        <f>-(H10+I10)</f>
        <v>0</v>
      </c>
      <c r="K10" s="641"/>
      <c r="L10" s="641"/>
      <c r="M10" s="642">
        <f>+L10+K10+J10</f>
        <v>0</v>
      </c>
      <c r="N10" s="643" t="s">
        <v>941</v>
      </c>
      <c r="O10" s="644"/>
      <c r="P10" s="645"/>
      <c r="Q10" s="645"/>
      <c r="R10" s="645"/>
      <c r="S10" s="645"/>
      <c r="T10" s="645"/>
      <c r="U10" s="645"/>
      <c r="V10" s="645"/>
      <c r="W10" s="645"/>
      <c r="X10" s="645"/>
      <c r="Y10" s="645"/>
      <c r="Z10" s="645"/>
      <c r="AA10" s="645"/>
      <c r="AB10" s="645"/>
      <c r="AC10" s="645"/>
      <c r="AD10" s="645"/>
      <c r="AE10" s="645"/>
      <c r="AF10" s="645"/>
      <c r="AG10" s="645"/>
      <c r="AH10" s="645"/>
      <c r="AI10" s="645"/>
      <c r="AJ10" s="645"/>
      <c r="AK10" s="645"/>
    </row>
    <row r="11" spans="1:37" ht="15.5">
      <c r="A11" s="637" t="s">
        <v>267</v>
      </c>
      <c r="B11" s="639" t="s">
        <v>984</v>
      </c>
      <c r="E11" s="640" t="s">
        <v>1141</v>
      </c>
      <c r="F11" s="641">
        <v>-3452.3099999999999</v>
      </c>
      <c r="G11" s="641">
        <v>-3373.77</v>
      </c>
      <c r="H11" s="641">
        <v>78.539999999999964</v>
      </c>
      <c r="I11" s="641">
        <v>-78.539999999999964</v>
      </c>
      <c r="J11" s="642"/>
      <c r="K11" s="641"/>
      <c r="L11" s="641"/>
      <c r="M11" s="642">
        <f>+L11+K11+J11</f>
        <v>0</v>
      </c>
      <c r="N11" s="643" t="s">
        <v>941</v>
      </c>
      <c r="O11" s="644"/>
      <c r="P11" s="645"/>
      <c r="Q11" s="645"/>
      <c r="R11" s="645"/>
      <c r="S11" s="645"/>
      <c r="T11" s="645"/>
      <c r="U11" s="645"/>
      <c r="V11" s="645"/>
      <c r="W11" s="645"/>
      <c r="X11" s="645"/>
      <c r="Y11" s="645"/>
      <c r="Z11" s="645"/>
      <c r="AA11" s="645"/>
      <c r="AB11" s="645"/>
      <c r="AC11" s="645"/>
      <c r="AD11" s="645"/>
      <c r="AE11" s="645"/>
      <c r="AF11" s="645"/>
      <c r="AG11" s="645"/>
      <c r="AH11" s="645"/>
      <c r="AI11" s="645"/>
      <c r="AJ11" s="645"/>
      <c r="AK11" s="645"/>
    </row>
    <row r="12" spans="1:37" ht="15.5">
      <c r="A12" s="637" t="s">
        <v>268</v>
      </c>
      <c r="B12" s="639" t="s">
        <v>984</v>
      </c>
      <c r="E12" s="640" t="s">
        <v>937</v>
      </c>
      <c r="F12" s="641">
        <v>14051.23</v>
      </c>
      <c r="G12" s="641">
        <v>14032.65</v>
      </c>
      <c r="H12" s="641">
        <v>-18.579999999999927</v>
      </c>
      <c r="I12" s="641">
        <v>18.579999999999927</v>
      </c>
      <c r="J12" s="642">
        <f t="shared" si="0" ref="J12:J19">-(H12+I12)</f>
        <v>0</v>
      </c>
      <c r="K12" s="641"/>
      <c r="L12" s="641"/>
      <c r="M12" s="642">
        <f t="shared" si="1" ref="M12:M19">+L12+K12+J12</f>
        <v>0</v>
      </c>
      <c r="N12" s="643" t="s">
        <v>941</v>
      </c>
      <c r="O12" s="644"/>
      <c r="P12" s="645"/>
      <c r="Q12" s="645"/>
      <c r="R12" s="645"/>
      <c r="S12" s="645"/>
      <c r="T12" s="645"/>
      <c r="U12" s="645"/>
      <c r="V12" s="645"/>
      <c r="W12" s="645"/>
      <c r="X12" s="645"/>
      <c r="Y12" s="645"/>
      <c r="Z12" s="645"/>
      <c r="AA12" s="645"/>
      <c r="AB12" s="645"/>
      <c r="AC12" s="645"/>
      <c r="AD12" s="645"/>
      <c r="AE12" s="645"/>
      <c r="AF12" s="645"/>
      <c r="AG12" s="645"/>
      <c r="AH12" s="645"/>
      <c r="AI12" s="645"/>
      <c r="AJ12" s="645"/>
      <c r="AK12" s="645"/>
    </row>
    <row r="13" spans="1:37" ht="15.5">
      <c r="A13" s="637" t="s">
        <v>704</v>
      </c>
      <c r="B13" s="639" t="s">
        <v>984</v>
      </c>
      <c r="E13" s="640" t="s">
        <v>938</v>
      </c>
      <c r="F13" s="641">
        <v>333.47000000000003</v>
      </c>
      <c r="G13" s="641">
        <v>325.88</v>
      </c>
      <c r="H13" s="641">
        <v>-7.5900000000000318</v>
      </c>
      <c r="I13" s="641">
        <v>7.5900000000000318</v>
      </c>
      <c r="J13" s="642">
        <f t="shared" si="0"/>
        <v>0</v>
      </c>
      <c r="K13" s="641"/>
      <c r="L13" s="641"/>
      <c r="M13" s="642">
        <f t="shared" si="1"/>
        <v>0</v>
      </c>
      <c r="N13" s="643" t="s">
        <v>941</v>
      </c>
      <c r="O13" s="644"/>
      <c r="P13" s="645"/>
      <c r="Q13" s="645"/>
      <c r="R13" s="645"/>
      <c r="S13" s="645"/>
      <c r="T13" s="645"/>
      <c r="U13" s="645"/>
      <c r="V13" s="645"/>
      <c r="W13" s="645"/>
      <c r="X13" s="645"/>
      <c r="Y13" s="645"/>
      <c r="Z13" s="645"/>
      <c r="AA13" s="645"/>
      <c r="AB13" s="645"/>
      <c r="AC13" s="645"/>
      <c r="AD13" s="645"/>
      <c r="AE13" s="645"/>
      <c r="AF13" s="645"/>
      <c r="AG13" s="645"/>
      <c r="AH13" s="645"/>
      <c r="AI13" s="645"/>
      <c r="AJ13" s="645"/>
      <c r="AK13" s="645"/>
    </row>
    <row r="14" spans="1:37" ht="15.5">
      <c r="A14" s="637" t="s">
        <v>705</v>
      </c>
      <c r="B14" s="639" t="s">
        <v>984</v>
      </c>
      <c r="E14" s="640" t="s">
        <v>908</v>
      </c>
      <c r="F14" s="641">
        <v>123112.69</v>
      </c>
      <c r="G14" s="641">
        <v>122949.91</v>
      </c>
      <c r="H14" s="641">
        <v>-162.77999999999884</v>
      </c>
      <c r="I14" s="641">
        <v>0</v>
      </c>
      <c r="J14" s="642">
        <f t="shared" si="0"/>
        <v>162.77999999999884</v>
      </c>
      <c r="K14" s="641"/>
      <c r="L14" s="641"/>
      <c r="M14" s="642">
        <f t="shared" si="1"/>
        <v>162.77999999999884</v>
      </c>
      <c r="N14" s="643" t="s">
        <v>816</v>
      </c>
      <c r="O14" s="644">
        <v>182.30000000000001</v>
      </c>
      <c r="P14" s="645"/>
      <c r="Q14" s="645"/>
      <c r="R14" s="645"/>
      <c r="S14" s="645"/>
      <c r="T14" s="645"/>
      <c r="U14" s="645"/>
      <c r="V14" s="645"/>
      <c r="W14" s="645"/>
      <c r="X14" s="645"/>
      <c r="Y14" s="645"/>
      <c r="Z14" s="645"/>
      <c r="AA14" s="645"/>
      <c r="AB14" s="645"/>
      <c r="AC14" s="645"/>
      <c r="AD14" s="645"/>
      <c r="AE14" s="645"/>
      <c r="AF14" s="645"/>
      <c r="AG14" s="645"/>
      <c r="AH14" s="645"/>
      <c r="AI14" s="645"/>
      <c r="AJ14" s="645"/>
      <c r="AK14" s="645"/>
    </row>
    <row r="15" spans="1:37" ht="15.5">
      <c r="A15" s="637" t="s">
        <v>706</v>
      </c>
      <c r="B15" s="639" t="s">
        <v>984</v>
      </c>
      <c r="E15" s="640" t="s">
        <v>939</v>
      </c>
      <c r="F15" s="641">
        <v>-1961078.1100000001</v>
      </c>
      <c r="G15" s="641">
        <v>-1958485.3799999999</v>
      </c>
      <c r="H15" s="641">
        <v>2592.7300000002142</v>
      </c>
      <c r="I15" s="641">
        <v>-2592.7300000002142</v>
      </c>
      <c r="J15" s="642">
        <f t="shared" si="0"/>
        <v>0</v>
      </c>
      <c r="K15" s="641"/>
      <c r="L15" s="641"/>
      <c r="M15" s="642">
        <f t="shared" si="1"/>
        <v>0</v>
      </c>
      <c r="N15" s="643" t="s">
        <v>941</v>
      </c>
      <c r="O15" s="644"/>
      <c r="P15" s="645"/>
      <c r="Q15" s="645"/>
      <c r="R15" s="645"/>
      <c r="S15" s="645"/>
      <c r="T15" s="645"/>
      <c r="U15" s="645"/>
      <c r="V15" s="645"/>
      <c r="W15" s="645"/>
      <c r="X15" s="645"/>
      <c r="Y15" s="645"/>
      <c r="Z15" s="645"/>
      <c r="AA15" s="645"/>
      <c r="AB15" s="645"/>
      <c r="AC15" s="645"/>
      <c r="AD15" s="645"/>
      <c r="AE15" s="645"/>
      <c r="AF15" s="645"/>
      <c r="AG15" s="645"/>
      <c r="AH15" s="645"/>
      <c r="AI15" s="645"/>
      <c r="AJ15" s="645"/>
      <c r="AK15" s="645"/>
    </row>
    <row r="16" spans="1:37" ht="15.5">
      <c r="A16" s="637" t="s">
        <v>707</v>
      </c>
      <c r="B16" s="639" t="s">
        <v>984</v>
      </c>
      <c r="E16" s="640" t="s">
        <v>910</v>
      </c>
      <c r="F16" s="641">
        <v>598281.76000000001</v>
      </c>
      <c r="G16" s="641">
        <v>565006.91000000003</v>
      </c>
      <c r="H16" s="641">
        <v>-33274.849999999977</v>
      </c>
      <c r="I16" s="641">
        <v>0</v>
      </c>
      <c r="J16" s="642">
        <f t="shared" si="0"/>
        <v>33274.849999999977</v>
      </c>
      <c r="K16" s="641"/>
      <c r="L16" s="641"/>
      <c r="M16" s="642">
        <f t="shared" si="1"/>
        <v>33274.849999999977</v>
      </c>
      <c r="N16" s="643" t="s">
        <v>816</v>
      </c>
      <c r="O16" s="644">
        <v>182.30000000000001</v>
      </c>
      <c r="P16" s="645"/>
      <c r="Q16" s="645"/>
      <c r="R16" s="645"/>
      <c r="S16" s="645"/>
      <c r="T16" s="645"/>
      <c r="U16" s="645"/>
      <c r="V16" s="645"/>
      <c r="W16" s="645"/>
      <c r="X16" s="645"/>
      <c r="Y16" s="645"/>
      <c r="Z16" s="645"/>
      <c r="AA16" s="645"/>
      <c r="AB16" s="645"/>
      <c r="AC16" s="645"/>
      <c r="AD16" s="645"/>
      <c r="AE16" s="645"/>
      <c r="AF16" s="645"/>
      <c r="AG16" s="645"/>
      <c r="AH16" s="645"/>
      <c r="AI16" s="645"/>
      <c r="AJ16" s="645"/>
      <c r="AK16" s="645"/>
    </row>
    <row r="17" spans="1:37" ht="15.5">
      <c r="A17" s="637" t="s">
        <v>708</v>
      </c>
      <c r="B17" s="639" t="s">
        <v>984</v>
      </c>
      <c r="E17" s="640" t="s">
        <v>940</v>
      </c>
      <c r="F17" s="641">
        <v>530480.20999999996</v>
      </c>
      <c r="G17" s="641">
        <v>529778.87</v>
      </c>
      <c r="H17" s="641">
        <v>-701.3399999999674</v>
      </c>
      <c r="I17" s="641">
        <v>701.3399999999674</v>
      </c>
      <c r="J17" s="642">
        <f t="shared" si="0"/>
        <v>0</v>
      </c>
      <c r="K17" s="641"/>
      <c r="L17" s="641"/>
      <c r="M17" s="642">
        <f t="shared" si="1"/>
        <v>0</v>
      </c>
      <c r="N17" s="643" t="s">
        <v>941</v>
      </c>
      <c r="O17" s="644"/>
      <c r="P17" s="645"/>
      <c r="Q17" s="645"/>
      <c r="R17" s="645"/>
      <c r="S17" s="645"/>
      <c r="T17" s="645"/>
      <c r="U17" s="645"/>
      <c r="V17" s="645"/>
      <c r="W17" s="645"/>
      <c r="X17" s="645"/>
      <c r="Y17" s="645"/>
      <c r="Z17" s="645"/>
      <c r="AA17" s="645"/>
      <c r="AB17" s="645"/>
      <c r="AC17" s="645"/>
      <c r="AD17" s="645"/>
      <c r="AE17" s="645"/>
      <c r="AF17" s="645"/>
      <c r="AG17" s="645"/>
      <c r="AH17" s="645"/>
      <c r="AI17" s="645"/>
      <c r="AJ17" s="645"/>
      <c r="AK17" s="645"/>
    </row>
    <row r="18" spans="1:37" ht="15.5">
      <c r="A18" s="637" t="s">
        <v>935</v>
      </c>
      <c r="B18" s="639" t="s">
        <v>984</v>
      </c>
      <c r="E18" s="640" t="s">
        <v>1142</v>
      </c>
      <c r="F18" s="641">
        <v>-18562453.379999999</v>
      </c>
      <c r="G18" s="641">
        <v>-18537912.129999999</v>
      </c>
      <c r="H18" s="641">
        <v>24541.25</v>
      </c>
      <c r="I18" s="641">
        <v>-24541.25</v>
      </c>
      <c r="J18" s="642">
        <f t="shared" si="0"/>
        <v>0</v>
      </c>
      <c r="K18" s="641"/>
      <c r="L18" s="641"/>
      <c r="M18" s="642">
        <f t="shared" si="1"/>
        <v>0</v>
      </c>
      <c r="N18" s="643" t="s">
        <v>941</v>
      </c>
      <c r="O18" s="644"/>
      <c r="P18" s="645"/>
      <c r="Q18" s="645"/>
      <c r="R18" s="645"/>
      <c r="S18" s="645"/>
      <c r="T18" s="645"/>
      <c r="U18" s="645"/>
      <c r="V18" s="645"/>
      <c r="W18" s="645"/>
      <c r="X18" s="645"/>
      <c r="Y18" s="645"/>
      <c r="Z18" s="645"/>
      <c r="AA18" s="645"/>
      <c r="AB18" s="645"/>
      <c r="AC18" s="645"/>
      <c r="AD18" s="645"/>
      <c r="AE18" s="645"/>
      <c r="AF18" s="645"/>
      <c r="AG18" s="645"/>
      <c r="AH18" s="645"/>
      <c r="AI18" s="645"/>
      <c r="AJ18" s="645"/>
      <c r="AK18" s="645"/>
    </row>
    <row r="19" spans="1:37" ht="15.5">
      <c r="A19" s="637" t="s">
        <v>1143</v>
      </c>
      <c r="B19" s="639" t="s">
        <v>984</v>
      </c>
      <c r="E19" s="640" t="s">
        <v>929</v>
      </c>
      <c r="F19" s="641">
        <v>-1458604.6499999999</v>
      </c>
      <c r="G19" s="641">
        <v>-1456676.25</v>
      </c>
      <c r="H19" s="641">
        <v>1928.3999999999069</v>
      </c>
      <c r="I19" s="641">
        <v>0</v>
      </c>
      <c r="J19" s="642">
        <f t="shared" si="0"/>
        <v>-1928.3999999999069</v>
      </c>
      <c r="K19" s="641"/>
      <c r="L19" s="641"/>
      <c r="M19" s="642">
        <f t="shared" si="1"/>
        <v>-1928.3999999999069</v>
      </c>
      <c r="N19" s="643" t="s">
        <v>816</v>
      </c>
      <c r="O19" s="644">
        <v>182.30000000000001</v>
      </c>
      <c r="P19" s="645"/>
      <c r="Q19" s="645"/>
      <c r="R19" s="645"/>
      <c r="S19" s="645"/>
      <c r="T19" s="645"/>
      <c r="U19" s="645"/>
      <c r="V19" s="645"/>
      <c r="W19" s="645"/>
      <c r="X19" s="645"/>
      <c r="Y19" s="645"/>
      <c r="Z19" s="645"/>
      <c r="AA19" s="645"/>
      <c r="AB19" s="645"/>
      <c r="AC19" s="645"/>
      <c r="AD19" s="645"/>
      <c r="AE19" s="645"/>
      <c r="AF19" s="645"/>
      <c r="AG19" s="645"/>
      <c r="AH19" s="645"/>
      <c r="AI19" s="645"/>
      <c r="AJ19" s="645"/>
      <c r="AK19" s="645"/>
    </row>
    <row r="20" spans="1:13" ht="15.5">
      <c r="A20" s="637">
        <v>2</v>
      </c>
      <c r="D20" s="617" t="s">
        <v>818</v>
      </c>
      <c r="F20" s="646">
        <f>SUM(F10:F19)</f>
        <v>-19898440.639999997</v>
      </c>
      <c r="G20" s="646">
        <f t="shared" si="2" ref="G20:M20">SUM(G10:G19)</f>
        <v>-19904550.149999999</v>
      </c>
      <c r="H20" s="646">
        <f t="shared" si="2"/>
        <v>-6109.5099999997437</v>
      </c>
      <c r="I20" s="646">
        <f t="shared" si="2"/>
        <v>-25399.720000000325</v>
      </c>
      <c r="J20" s="646">
        <f t="shared" si="2"/>
        <v>31509.230000000069</v>
      </c>
      <c r="K20" s="646">
        <f t="shared" si="2"/>
        <v>0</v>
      </c>
      <c r="L20" s="646">
        <f t="shared" si="2"/>
        <v>0</v>
      </c>
      <c r="M20" s="646">
        <f t="shared" si="2"/>
        <v>31509.230000000069</v>
      </c>
    </row>
    <row r="21" spans="1:13" ht="15.5">
      <c r="A21" s="637">
        <v>3</v>
      </c>
      <c r="C21" s="617" t="s">
        <v>819</v>
      </c>
      <c r="F21" s="642"/>
      <c r="G21" s="642"/>
      <c r="H21" s="642"/>
      <c r="I21" s="642"/>
      <c r="J21" s="642"/>
      <c r="K21" s="642"/>
      <c r="L21" s="642"/>
      <c r="M21" s="642"/>
    </row>
    <row r="22" spans="1:15" ht="15.5">
      <c r="A22" s="637" t="s">
        <v>665</v>
      </c>
      <c r="B22" s="639" t="s">
        <v>984</v>
      </c>
      <c r="E22" s="640"/>
      <c r="F22" s="641"/>
      <c r="G22" s="641"/>
      <c r="H22" s="641"/>
      <c r="I22" s="641"/>
      <c r="J22" s="642">
        <f t="shared" si="3" ref="J22">-(H22+I22)</f>
        <v>0</v>
      </c>
      <c r="K22" s="641"/>
      <c r="L22" s="641"/>
      <c r="M22" s="642">
        <v>0</v>
      </c>
      <c r="N22" s="643"/>
      <c r="O22" s="644"/>
    </row>
    <row r="23" spans="1:13" ht="15.5">
      <c r="A23" s="637">
        <v>4</v>
      </c>
      <c r="D23" s="617" t="s">
        <v>820</v>
      </c>
      <c r="F23" s="646">
        <f t="shared" si="4" ref="F23:M23">SUM(F22:F22)</f>
        <v>0</v>
      </c>
      <c r="G23" s="646">
        <f t="shared" si="4"/>
        <v>0</v>
      </c>
      <c r="H23" s="646">
        <f t="shared" si="4"/>
        <v>0</v>
      </c>
      <c r="I23" s="646">
        <f t="shared" si="4"/>
        <v>0</v>
      </c>
      <c r="J23" s="646">
        <f t="shared" si="4"/>
        <v>0</v>
      </c>
      <c r="K23" s="646">
        <f t="shared" si="4"/>
        <v>0</v>
      </c>
      <c r="L23" s="646">
        <f t="shared" si="4"/>
        <v>0</v>
      </c>
      <c r="M23" s="646">
        <f t="shared" si="4"/>
        <v>0</v>
      </c>
    </row>
    <row r="24" spans="1:13" ht="15.5">
      <c r="A24" s="637">
        <v>5</v>
      </c>
      <c r="C24" s="617" t="s">
        <v>821</v>
      </c>
      <c r="F24" s="642"/>
      <c r="G24" s="642"/>
      <c r="H24" s="642"/>
      <c r="I24" s="642"/>
      <c r="J24" s="642"/>
      <c r="K24" s="642"/>
      <c r="L24" s="642"/>
      <c r="M24" s="642"/>
    </row>
    <row r="25" spans="1:37" ht="15.5">
      <c r="A25" s="637" t="s">
        <v>73</v>
      </c>
      <c r="B25" s="639" t="s">
        <v>984</v>
      </c>
      <c r="E25" s="640" t="s">
        <v>930</v>
      </c>
      <c r="F25" s="641">
        <v>-375865.67999999999</v>
      </c>
      <c r="G25" s="641">
        <v>-375368.76000000001</v>
      </c>
      <c r="H25" s="641">
        <v>496.9199999999837</v>
      </c>
      <c r="I25" s="641">
        <v>0</v>
      </c>
      <c r="J25" s="642">
        <f t="shared" si="5" ref="J25:J27">-(H25+I25)</f>
        <v>-496.9199999999837</v>
      </c>
      <c r="K25" s="641"/>
      <c r="L25" s="641"/>
      <c r="M25" s="642">
        <f t="shared" si="6" ref="M25:M28">+L25+K25+J25</f>
        <v>-496.9199999999837</v>
      </c>
      <c r="N25" s="643" t="s">
        <v>816</v>
      </c>
      <c r="O25" s="644">
        <v>182.30000000000001</v>
      </c>
      <c r="P25" s="645"/>
      <c r="Q25" s="645"/>
      <c r="R25" s="645"/>
      <c r="S25" s="645"/>
      <c r="T25" s="645"/>
      <c r="U25" s="645"/>
      <c r="V25" s="645"/>
      <c r="W25" s="645"/>
      <c r="X25" s="645"/>
      <c r="Y25" s="645"/>
      <c r="Z25" s="645"/>
      <c r="AA25" s="645"/>
      <c r="AB25" s="645"/>
      <c r="AC25" s="645"/>
      <c r="AD25" s="645"/>
      <c r="AE25" s="645"/>
      <c r="AF25" s="645"/>
      <c r="AG25" s="645"/>
      <c r="AH25" s="645"/>
      <c r="AI25" s="645"/>
      <c r="AJ25" s="645"/>
      <c r="AK25" s="645"/>
    </row>
    <row r="26" spans="1:37" ht="15.5">
      <c r="A26" s="637" t="s">
        <v>217</v>
      </c>
      <c r="B26" s="639" t="s">
        <v>984</v>
      </c>
      <c r="E26" s="640" t="s">
        <v>916</v>
      </c>
      <c r="F26" s="641">
        <v>-6644422.5599999996</v>
      </c>
      <c r="G26" s="641">
        <v>-6635638.04</v>
      </c>
      <c r="H26" s="641">
        <v>8784.519999999553</v>
      </c>
      <c r="I26" s="641">
        <v>0</v>
      </c>
      <c r="J26" s="642">
        <f>-(H26+I26)</f>
        <v>-8784.519999999553</v>
      </c>
      <c r="K26" s="641"/>
      <c r="L26" s="641"/>
      <c r="M26" s="642">
        <f t="shared" si="6"/>
        <v>-8784.519999999553</v>
      </c>
      <c r="N26" s="643" t="s">
        <v>816</v>
      </c>
      <c r="O26" s="644">
        <v>182.30000000000001</v>
      </c>
      <c r="P26" s="645"/>
      <c r="Q26" s="645"/>
      <c r="R26" s="645"/>
      <c r="S26" s="645"/>
      <c r="T26" s="645"/>
      <c r="U26" s="645"/>
      <c r="V26" s="645"/>
      <c r="W26" s="645"/>
      <c r="X26" s="645"/>
      <c r="Y26" s="645"/>
      <c r="Z26" s="645"/>
      <c r="AA26" s="645"/>
      <c r="AB26" s="645"/>
      <c r="AC26" s="645"/>
      <c r="AD26" s="645"/>
      <c r="AE26" s="645"/>
      <c r="AF26" s="645"/>
      <c r="AG26" s="645"/>
      <c r="AH26" s="645"/>
      <c r="AI26" s="645"/>
      <c r="AJ26" s="645"/>
      <c r="AK26" s="645"/>
    </row>
    <row r="27" spans="1:37" ht="15.5">
      <c r="A27" s="637" t="s">
        <v>226</v>
      </c>
      <c r="B27" s="639" t="s">
        <v>984</v>
      </c>
      <c r="E27" s="640" t="s">
        <v>920</v>
      </c>
      <c r="F27" s="641">
        <v>-62242.349999999999</v>
      </c>
      <c r="G27" s="641">
        <v>-62160.07</v>
      </c>
      <c r="H27" s="641">
        <v>82.279999999998836</v>
      </c>
      <c r="I27" s="641">
        <v>0</v>
      </c>
      <c r="J27" s="642">
        <f t="shared" si="5"/>
        <v>-82.279999999998836</v>
      </c>
      <c r="K27" s="641"/>
      <c r="L27" s="641"/>
      <c r="M27" s="642">
        <f t="shared" si="6"/>
        <v>-82.279999999998836</v>
      </c>
      <c r="N27" s="643" t="s">
        <v>816</v>
      </c>
      <c r="O27" s="644">
        <v>182.30000000000001</v>
      </c>
      <c r="P27" s="645"/>
      <c r="Q27" s="645"/>
      <c r="R27" s="645"/>
      <c r="S27" s="645"/>
      <c r="T27" s="645"/>
      <c r="U27" s="645"/>
      <c r="V27" s="645"/>
      <c r="W27" s="645"/>
      <c r="X27" s="645"/>
      <c r="Y27" s="645"/>
      <c r="Z27" s="645"/>
      <c r="AA27" s="645"/>
      <c r="AB27" s="645"/>
      <c r="AC27" s="645"/>
      <c r="AD27" s="645"/>
      <c r="AE27" s="645"/>
      <c r="AF27" s="645"/>
      <c r="AG27" s="645"/>
      <c r="AH27" s="645"/>
      <c r="AI27" s="645"/>
      <c r="AJ27" s="645"/>
      <c r="AK27" s="645"/>
    </row>
    <row r="28" spans="1:37" ht="15.5">
      <c r="A28" s="637" t="s">
        <v>218</v>
      </c>
      <c r="B28" s="639" t="s">
        <v>984</v>
      </c>
      <c r="E28" s="640" t="s">
        <v>1133</v>
      </c>
      <c r="F28" s="641">
        <v>-276854.91999999998</v>
      </c>
      <c r="G28" s="641">
        <v>-276488.90000000002</v>
      </c>
      <c r="H28" s="641">
        <v>366.01999999996042</v>
      </c>
      <c r="I28" s="641">
        <v>-366.01999999996042</v>
      </c>
      <c r="J28" s="642">
        <f>-(H28+I28)</f>
        <v>0</v>
      </c>
      <c r="K28" s="641"/>
      <c r="L28" s="641"/>
      <c r="M28" s="642">
        <f t="shared" si="6"/>
        <v>0</v>
      </c>
      <c r="N28" s="643" t="s">
        <v>941</v>
      </c>
      <c r="O28" s="644"/>
      <c r="P28" s="645"/>
      <c r="Q28" s="645"/>
      <c r="R28" s="645"/>
      <c r="S28" s="645"/>
      <c r="T28" s="645"/>
      <c r="U28" s="645"/>
      <c r="V28" s="645"/>
      <c r="W28" s="645"/>
      <c r="X28" s="645"/>
      <c r="Y28" s="645"/>
      <c r="Z28" s="645"/>
      <c r="AA28" s="645"/>
      <c r="AB28" s="645"/>
      <c r="AC28" s="645"/>
      <c r="AD28" s="645"/>
      <c r="AE28" s="645"/>
      <c r="AF28" s="645"/>
      <c r="AG28" s="645"/>
      <c r="AH28" s="645"/>
      <c r="AI28" s="645"/>
      <c r="AJ28" s="645"/>
      <c r="AK28" s="645"/>
    </row>
    <row r="29" spans="1:13" ht="15.5">
      <c r="A29" s="637">
        <v>6</v>
      </c>
      <c r="D29" s="617" t="s">
        <v>822</v>
      </c>
      <c r="F29" s="646">
        <f t="shared" si="7" ref="F29:M29">SUM(F25:F28)</f>
        <v>-7359385.5099999988</v>
      </c>
      <c r="G29" s="646">
        <f t="shared" si="7"/>
        <v>-7349655.7700000005</v>
      </c>
      <c r="H29" s="646">
        <f t="shared" si="7"/>
        <v>9729.7399999994959</v>
      </c>
      <c r="I29" s="646">
        <f t="shared" si="7"/>
        <v>-366.01999999996042</v>
      </c>
      <c r="J29" s="646">
        <f t="shared" si="7"/>
        <v>-9363.7199999995355</v>
      </c>
      <c r="K29" s="646">
        <f t="shared" si="7"/>
        <v>0</v>
      </c>
      <c r="L29" s="646">
        <f t="shared" si="7"/>
        <v>0</v>
      </c>
      <c r="M29" s="646">
        <f t="shared" si="7"/>
        <v>-9363.7199999995355</v>
      </c>
    </row>
    <row r="30" spans="3:13" ht="15.5">
      <c r="C30" s="619" t="s">
        <v>823</v>
      </c>
      <c r="D30" s="619"/>
      <c r="E30" s="619"/>
      <c r="F30" s="647"/>
      <c r="G30" s="647"/>
      <c r="H30" s="647"/>
      <c r="J30" s="645"/>
      <c r="K30" s="647"/>
      <c r="L30" s="647"/>
      <c r="M30" s="645"/>
    </row>
    <row r="31" spans="1:13" ht="15.5">
      <c r="A31" s="637">
        <v>7</v>
      </c>
      <c r="B31" s="639"/>
      <c r="E31" s="617" t="s">
        <v>824</v>
      </c>
      <c r="F31" s="647"/>
      <c r="G31" s="647"/>
      <c r="H31" s="647"/>
      <c r="I31" s="647"/>
      <c r="J31" s="647">
        <f>+J20+J23+J29</f>
        <v>22145.510000000533</v>
      </c>
      <c r="K31" s="647">
        <f>+K20+K23+K29</f>
        <v>0</v>
      </c>
      <c r="L31" s="647">
        <f>+L20+L23+L29</f>
        <v>0</v>
      </c>
      <c r="M31" s="647">
        <f>+M20+M23+M29</f>
        <v>22145.510000000533</v>
      </c>
    </row>
    <row r="32" spans="1:13" ht="15.5">
      <c r="A32" s="637">
        <v>8</v>
      </c>
      <c r="B32" s="639"/>
      <c r="E32" s="617" t="s">
        <v>825</v>
      </c>
      <c r="F32" s="647"/>
      <c r="G32" s="647"/>
      <c r="H32" s="647"/>
      <c r="I32" s="647"/>
      <c r="J32" s="648">
        <f>'Appendix G(1) - Excess_Def ADIT'!F116</f>
        <v>6343.4248669312674</v>
      </c>
      <c r="K32" s="648"/>
      <c r="L32" s="648"/>
      <c r="M32" s="647">
        <f>+L32+K32+J32</f>
        <v>6343.4248669312674</v>
      </c>
    </row>
    <row r="33" spans="1:14" s="619" customFormat="1" ht="16" thickBot="1">
      <c r="A33" s="649">
        <v>9</v>
      </c>
      <c r="B33" s="639"/>
      <c r="E33" s="619" t="s">
        <v>826</v>
      </c>
      <c r="F33" s="650"/>
      <c r="G33" s="650"/>
      <c r="H33" s="650"/>
      <c r="I33" s="650"/>
      <c r="J33" s="651">
        <f>SUM(J31:J32)</f>
        <v>28488.934866931799</v>
      </c>
      <c r="K33" s="651">
        <f t="shared" si="8" ref="K33:M33">SUM(K31:K32)</f>
        <v>0</v>
      </c>
      <c r="L33" s="651">
        <f t="shared" si="8"/>
        <v>0</v>
      </c>
      <c r="M33" s="651">
        <f t="shared" si="8"/>
        <v>28488.934866931799</v>
      </c>
      <c r="N33" s="652"/>
    </row>
    <row r="34" s="481" customFormat="1" ht="16" thickTop="1"/>
    <row r="35" spans="3:13" ht="15.5">
      <c r="C35" s="635" t="s">
        <v>827</v>
      </c>
      <c r="F35" s="642"/>
      <c r="G35" s="642"/>
      <c r="H35" s="642"/>
      <c r="I35" s="653"/>
      <c r="J35" s="642"/>
      <c r="K35" s="642"/>
      <c r="L35" s="642"/>
      <c r="M35" s="642"/>
    </row>
    <row r="36" spans="1:13" ht="15.5">
      <c r="A36" s="637">
        <v>10</v>
      </c>
      <c r="C36" s="617" t="s">
        <v>815</v>
      </c>
      <c r="F36" s="642"/>
      <c r="G36" s="642"/>
      <c r="H36" s="642"/>
      <c r="I36" s="642"/>
      <c r="J36" s="642"/>
      <c r="K36" s="642"/>
      <c r="L36" s="642"/>
      <c r="M36" s="642"/>
    </row>
    <row r="37" spans="1:36" ht="15.5">
      <c r="A37" s="637" t="s">
        <v>837</v>
      </c>
      <c r="B37" s="639" t="s">
        <v>984</v>
      </c>
      <c r="D37" s="618"/>
      <c r="E37" s="640" t="s">
        <v>1109</v>
      </c>
      <c r="F37" s="641">
        <v>129448.42999999999</v>
      </c>
      <c r="G37" s="641">
        <v>122248.82000000001</v>
      </c>
      <c r="H37" s="641">
        <v>-7199.609999999986</v>
      </c>
      <c r="I37" s="641">
        <v>7199.609999999986</v>
      </c>
      <c r="J37" s="642">
        <f t="shared" si="9" ref="J37:J42">-(H37+I37)</f>
        <v>0</v>
      </c>
      <c r="K37" s="641"/>
      <c r="L37" s="641"/>
      <c r="M37" s="642">
        <f t="shared" si="10" ref="M37:M42">+L37+K37+J37</f>
        <v>0</v>
      </c>
      <c r="N37" s="643" t="s">
        <v>941</v>
      </c>
      <c r="O37" s="644"/>
      <c r="P37" s="645"/>
      <c r="Q37" s="645"/>
      <c r="R37" s="645"/>
      <c r="S37" s="645"/>
      <c r="T37" s="645"/>
      <c r="U37" s="645"/>
      <c r="V37" s="645"/>
      <c r="W37" s="645"/>
      <c r="X37" s="645"/>
      <c r="Y37" s="645"/>
      <c r="Z37" s="645"/>
      <c r="AA37" s="645"/>
      <c r="AB37" s="645"/>
      <c r="AC37" s="645"/>
      <c r="AD37" s="645"/>
      <c r="AE37" s="645"/>
      <c r="AF37" s="645"/>
      <c r="AG37" s="645"/>
      <c r="AH37" s="645"/>
      <c r="AI37" s="645"/>
      <c r="AJ37" s="645"/>
    </row>
    <row r="38" spans="1:36" ht="15.5">
      <c r="A38" s="637" t="s">
        <v>942</v>
      </c>
      <c r="B38" s="639" t="s">
        <v>984</v>
      </c>
      <c r="D38" s="618"/>
      <c r="E38" s="640" t="s">
        <v>1110</v>
      </c>
      <c r="F38" s="641">
        <v>161531.35999999999</v>
      </c>
      <c r="G38" s="641">
        <v>152547.37</v>
      </c>
      <c r="H38" s="641">
        <v>-8983.9899999999907</v>
      </c>
      <c r="I38" s="641">
        <v>8983.9899999999907</v>
      </c>
      <c r="J38" s="642">
        <f t="shared" si="9"/>
        <v>0</v>
      </c>
      <c r="K38" s="641"/>
      <c r="L38" s="641"/>
      <c r="M38" s="642">
        <f t="shared" si="10"/>
        <v>0</v>
      </c>
      <c r="N38" s="643" t="s">
        <v>941</v>
      </c>
      <c r="O38" s="644"/>
      <c r="P38" s="645"/>
      <c r="Q38" s="645"/>
      <c r="R38" s="645"/>
      <c r="S38" s="645"/>
      <c r="T38" s="645"/>
      <c r="U38" s="645"/>
      <c r="V38" s="645"/>
      <c r="W38" s="645"/>
      <c r="X38" s="645"/>
      <c r="Y38" s="645"/>
      <c r="Z38" s="645"/>
      <c r="AA38" s="645"/>
      <c r="AB38" s="645"/>
      <c r="AC38" s="645"/>
      <c r="AD38" s="645"/>
      <c r="AE38" s="645"/>
      <c r="AF38" s="645"/>
      <c r="AG38" s="645"/>
      <c r="AH38" s="645"/>
      <c r="AI38" s="645"/>
      <c r="AJ38" s="645"/>
    </row>
    <row r="39" spans="1:36" ht="15.5">
      <c r="A39" s="637" t="s">
        <v>1144</v>
      </c>
      <c r="B39" s="639" t="s">
        <v>984</v>
      </c>
      <c r="D39" s="618"/>
      <c r="E39" s="640" t="s">
        <v>1125</v>
      </c>
      <c r="F39" s="641">
        <v>-161531.35000000001</v>
      </c>
      <c r="G39" s="641">
        <v>-152547.35999999999</v>
      </c>
      <c r="H39" s="641">
        <v>8983.9900000000198</v>
      </c>
      <c r="I39" s="641">
        <v>-8983.9900000000198</v>
      </c>
      <c r="J39" s="642">
        <f t="shared" si="9"/>
        <v>0</v>
      </c>
      <c r="K39" s="641"/>
      <c r="L39" s="641"/>
      <c r="M39" s="642">
        <f t="shared" si="10"/>
        <v>0</v>
      </c>
      <c r="N39" s="643" t="s">
        <v>941</v>
      </c>
      <c r="O39" s="644"/>
      <c r="P39" s="645"/>
      <c r="Q39" s="645"/>
      <c r="R39" s="645"/>
      <c r="S39" s="645"/>
      <c r="T39" s="645"/>
      <c r="U39" s="645"/>
      <c r="V39" s="645"/>
      <c r="W39" s="645"/>
      <c r="X39" s="645"/>
      <c r="Y39" s="645"/>
      <c r="Z39" s="645"/>
      <c r="AA39" s="645"/>
      <c r="AB39" s="645"/>
      <c r="AC39" s="645"/>
      <c r="AD39" s="645"/>
      <c r="AE39" s="645"/>
      <c r="AF39" s="645"/>
      <c r="AG39" s="645"/>
      <c r="AH39" s="645"/>
      <c r="AI39" s="645"/>
      <c r="AJ39" s="645"/>
    </row>
    <row r="40" spans="1:36" ht="15.5">
      <c r="A40" s="637" t="s">
        <v>1145</v>
      </c>
      <c r="B40" s="639" t="s">
        <v>984</v>
      </c>
      <c r="D40" s="618"/>
      <c r="E40" s="640" t="s">
        <v>1119</v>
      </c>
      <c r="F40" s="641">
        <v>296714.81</v>
      </c>
      <c r="G40" s="641">
        <v>280212.23999999999</v>
      </c>
      <c r="H40" s="641">
        <v>-16502.570000000007</v>
      </c>
      <c r="I40" s="641"/>
      <c r="J40" s="642">
        <f t="shared" si="9"/>
        <v>16502.570000000007</v>
      </c>
      <c r="K40" s="641"/>
      <c r="L40" s="641"/>
      <c r="M40" s="642">
        <f t="shared" si="10"/>
        <v>16502.570000000007</v>
      </c>
      <c r="N40" s="643" t="s">
        <v>816</v>
      </c>
      <c r="O40" s="644">
        <v>254</v>
      </c>
      <c r="P40" s="645"/>
      <c r="Q40" s="645"/>
      <c r="R40" s="645"/>
      <c r="S40" s="645"/>
      <c r="T40" s="645"/>
      <c r="U40" s="645"/>
      <c r="V40" s="645"/>
      <c r="W40" s="645"/>
      <c r="X40" s="645"/>
      <c r="Y40" s="645"/>
      <c r="Z40" s="645"/>
      <c r="AA40" s="645"/>
      <c r="AB40" s="645"/>
      <c r="AC40" s="645"/>
      <c r="AD40" s="645"/>
      <c r="AE40" s="645"/>
      <c r="AF40" s="645"/>
      <c r="AG40" s="645"/>
      <c r="AH40" s="645"/>
      <c r="AI40" s="645"/>
      <c r="AJ40" s="645"/>
    </row>
    <row r="41" spans="1:36" ht="15.5">
      <c r="A41" s="637" t="s">
        <v>1146</v>
      </c>
      <c r="B41" s="639" t="s">
        <v>984</v>
      </c>
      <c r="D41" s="618"/>
      <c r="E41" s="640" t="s">
        <v>1120</v>
      </c>
      <c r="F41" s="641">
        <v>634065.37</v>
      </c>
      <c r="G41" s="641">
        <v>598800.16000000003</v>
      </c>
      <c r="H41" s="641">
        <v>-35265.209999999963</v>
      </c>
      <c r="I41" s="641"/>
      <c r="J41" s="642">
        <f t="shared" si="9"/>
        <v>35265.209999999963</v>
      </c>
      <c r="K41" s="641"/>
      <c r="L41" s="641"/>
      <c r="M41" s="642">
        <f t="shared" si="10"/>
        <v>35265.209999999963</v>
      </c>
      <c r="N41" s="643" t="s">
        <v>816</v>
      </c>
      <c r="O41" s="644">
        <v>254</v>
      </c>
      <c r="P41" s="645"/>
      <c r="Q41" s="645"/>
      <c r="R41" s="645"/>
      <c r="S41" s="645"/>
      <c r="T41" s="645"/>
      <c r="U41" s="645"/>
      <c r="V41" s="645"/>
      <c r="W41" s="645"/>
      <c r="X41" s="645"/>
      <c r="Y41" s="645"/>
      <c r="Z41" s="645"/>
      <c r="AA41" s="645"/>
      <c r="AB41" s="645"/>
      <c r="AC41" s="645"/>
      <c r="AD41" s="645"/>
      <c r="AE41" s="645"/>
      <c r="AF41" s="645"/>
      <c r="AG41" s="645"/>
      <c r="AH41" s="645"/>
      <c r="AI41" s="645"/>
      <c r="AJ41" s="645"/>
    </row>
    <row r="42" spans="1:36" ht="15.5">
      <c r="A42" s="637" t="s">
        <v>1147</v>
      </c>
      <c r="B42" s="639" t="s">
        <v>984</v>
      </c>
      <c r="D42" s="618"/>
      <c r="E42" s="640" t="s">
        <v>1130</v>
      </c>
      <c r="F42" s="641">
        <v>-523750.78999999998</v>
      </c>
      <c r="G42" s="641">
        <v>-494621.02999999997</v>
      </c>
      <c r="H42" s="641">
        <v>29129.760000000009</v>
      </c>
      <c r="I42" s="641"/>
      <c r="J42" s="642">
        <f t="shared" si="9"/>
        <v>-29129.760000000009</v>
      </c>
      <c r="K42" s="641"/>
      <c r="L42" s="641"/>
      <c r="M42" s="642">
        <f t="shared" si="10"/>
        <v>-29129.760000000009</v>
      </c>
      <c r="N42" s="643" t="s">
        <v>816</v>
      </c>
      <c r="O42" s="644">
        <v>254</v>
      </c>
      <c r="P42" s="645"/>
      <c r="Q42" s="645"/>
      <c r="R42" s="645"/>
      <c r="S42" s="645"/>
      <c r="T42" s="645"/>
      <c r="U42" s="645"/>
      <c r="V42" s="645"/>
      <c r="W42" s="645"/>
      <c r="X42" s="645"/>
      <c r="Y42" s="645"/>
      <c r="Z42" s="645"/>
      <c r="AA42" s="645"/>
      <c r="AB42" s="645"/>
      <c r="AC42" s="645"/>
      <c r="AD42" s="645"/>
      <c r="AE42" s="645"/>
      <c r="AF42" s="645"/>
      <c r="AG42" s="645"/>
      <c r="AH42" s="645"/>
      <c r="AI42" s="645"/>
      <c r="AJ42" s="645"/>
    </row>
    <row r="43" spans="1:13" ht="15.5">
      <c r="A43" s="637">
        <v>11</v>
      </c>
      <c r="D43" s="617" t="s">
        <v>818</v>
      </c>
      <c r="F43" s="646">
        <f t="shared" si="11" ref="F43:M43">SUM(F37:F42)</f>
        <v>536477.83000000007</v>
      </c>
      <c r="G43" s="646">
        <f t="shared" si="11"/>
        <v>506640.20000000001</v>
      </c>
      <c r="H43" s="646">
        <f t="shared" si="11"/>
        <v>-29837.629999999917</v>
      </c>
      <c r="I43" s="646">
        <f t="shared" si="11"/>
        <v>7199.6099999999569</v>
      </c>
      <c r="J43" s="646">
        <f t="shared" si="11"/>
        <v>22638.01999999996</v>
      </c>
      <c r="K43" s="646">
        <f t="shared" si="11"/>
        <v>0</v>
      </c>
      <c r="L43" s="646">
        <f t="shared" si="11"/>
        <v>0</v>
      </c>
      <c r="M43" s="646">
        <f t="shared" si="11"/>
        <v>22638.01999999996</v>
      </c>
    </row>
    <row r="44" spans="1:13" ht="15.5">
      <c r="A44" s="637">
        <v>12</v>
      </c>
      <c r="C44" s="617" t="s">
        <v>819</v>
      </c>
      <c r="F44" s="642"/>
      <c r="G44" s="642"/>
      <c r="H44" s="642"/>
      <c r="I44" s="642"/>
      <c r="J44" s="642"/>
      <c r="K44" s="642"/>
      <c r="L44" s="642"/>
      <c r="M44" s="642"/>
    </row>
    <row r="45" spans="1:38" ht="15.5">
      <c r="A45" s="637" t="s">
        <v>838</v>
      </c>
      <c r="B45" s="639" t="s">
        <v>984</v>
      </c>
      <c r="D45" s="618"/>
      <c r="E45" s="640" t="s">
        <v>996</v>
      </c>
      <c r="F45" s="641">
        <v>-16664.860000000001</v>
      </c>
      <c r="G45" s="641">
        <v>-15738</v>
      </c>
      <c r="H45" s="641">
        <v>926.86000000000058</v>
      </c>
      <c r="I45" s="641"/>
      <c r="J45" s="642">
        <f t="shared" si="12" ref="J45:J73">-(H45+I45)</f>
        <v>-926.86000000000058</v>
      </c>
      <c r="K45" s="641"/>
      <c r="L45" s="641"/>
      <c r="M45" s="642">
        <f t="shared" si="13" ref="M45:M73">+L45+K45+J45</f>
        <v>-926.86000000000058</v>
      </c>
      <c r="N45" s="643" t="s">
        <v>816</v>
      </c>
      <c r="O45" s="644">
        <v>254</v>
      </c>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row>
    <row r="46" spans="1:38" ht="15.5">
      <c r="A46" s="637" t="s">
        <v>943</v>
      </c>
      <c r="B46" s="639" t="s">
        <v>984</v>
      </c>
      <c r="D46" s="618"/>
      <c r="E46" s="640" t="s">
        <v>1000</v>
      </c>
      <c r="F46" s="641">
        <v>-2420625.4899999998</v>
      </c>
      <c r="G46" s="641">
        <v>-2285996.0800000001</v>
      </c>
      <c r="H46" s="641">
        <v>134629.40999999968</v>
      </c>
      <c r="I46" s="641"/>
      <c r="J46" s="642">
        <f t="shared" si="12"/>
        <v>-134629.40999999968</v>
      </c>
      <c r="K46" s="641"/>
      <c r="L46" s="641"/>
      <c r="M46" s="642">
        <f t="shared" si="13"/>
        <v>-134629.40999999968</v>
      </c>
      <c r="N46" s="643" t="s">
        <v>816</v>
      </c>
      <c r="O46" s="644">
        <v>254</v>
      </c>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row>
    <row r="47" spans="1:38" ht="15.5">
      <c r="A47" s="637" t="s">
        <v>944</v>
      </c>
      <c r="B47" s="639" t="s">
        <v>984</v>
      </c>
      <c r="D47" s="618"/>
      <c r="E47" s="640" t="s">
        <v>1004</v>
      </c>
      <c r="F47" s="641">
        <v>-7913645.54</v>
      </c>
      <c r="G47" s="641">
        <v>-7473507.4800000004</v>
      </c>
      <c r="H47" s="641">
        <v>440138.05999999959</v>
      </c>
      <c r="I47" s="641"/>
      <c r="J47" s="642">
        <f t="shared" si="12"/>
        <v>-440138.05999999959</v>
      </c>
      <c r="K47" s="641"/>
      <c r="L47" s="641"/>
      <c r="M47" s="642">
        <f t="shared" si="13"/>
        <v>-440138.05999999959</v>
      </c>
      <c r="N47" s="643" t="s">
        <v>817</v>
      </c>
      <c r="O47" s="644">
        <v>254</v>
      </c>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row>
    <row r="48" spans="1:38" ht="15.5">
      <c r="A48" s="637" t="s">
        <v>945</v>
      </c>
      <c r="B48" s="639" t="s">
        <v>984</v>
      </c>
      <c r="D48" s="618"/>
      <c r="E48" s="640" t="s">
        <v>1012</v>
      </c>
      <c r="F48" s="641">
        <v>-197644.66999999998</v>
      </c>
      <c r="G48" s="641">
        <v>-186652.13999999998</v>
      </c>
      <c r="H48" s="641">
        <v>10992.529999999999</v>
      </c>
      <c r="I48" s="641"/>
      <c r="J48" s="642">
        <f t="shared" si="12"/>
        <v>-10992.529999999999</v>
      </c>
      <c r="K48" s="641"/>
      <c r="L48" s="641"/>
      <c r="M48" s="642">
        <f t="shared" si="13"/>
        <v>-10992.529999999999</v>
      </c>
      <c r="N48" s="643" t="s">
        <v>816</v>
      </c>
      <c r="O48" s="644">
        <v>254</v>
      </c>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row>
    <row r="49" spans="1:38" ht="15.5">
      <c r="A49" s="637" t="s">
        <v>946</v>
      </c>
      <c r="B49" s="639" t="s">
        <v>984</v>
      </c>
      <c r="D49" s="618"/>
      <c r="E49" s="640" t="s">
        <v>1013</v>
      </c>
      <c r="F49" s="641">
        <v>-374849.09999999998</v>
      </c>
      <c r="G49" s="641">
        <v>-354000.89000000001</v>
      </c>
      <c r="H49" s="641">
        <v>20848.209999999963</v>
      </c>
      <c r="I49" s="641"/>
      <c r="J49" s="642">
        <f t="shared" si="12"/>
        <v>-20848.209999999963</v>
      </c>
      <c r="K49" s="641"/>
      <c r="L49" s="641"/>
      <c r="M49" s="642">
        <f t="shared" si="13"/>
        <v>-20848.209999999963</v>
      </c>
      <c r="N49" s="643" t="s">
        <v>816</v>
      </c>
      <c r="O49" s="644">
        <v>254</v>
      </c>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row>
    <row r="50" spans="1:38" ht="15.5">
      <c r="A50" s="637" t="s">
        <v>947</v>
      </c>
      <c r="B50" s="639" t="s">
        <v>984</v>
      </c>
      <c r="D50" s="618"/>
      <c r="E50" s="640" t="s">
        <v>1014</v>
      </c>
      <c r="F50" s="641">
        <v>334731.48999999999</v>
      </c>
      <c r="G50" s="641">
        <v>316114.53000000003</v>
      </c>
      <c r="H50" s="641">
        <v>-18616.959999999963</v>
      </c>
      <c r="I50" s="641"/>
      <c r="J50" s="642">
        <f t="shared" si="12"/>
        <v>18616.959999999963</v>
      </c>
      <c r="K50" s="641"/>
      <c r="L50" s="641"/>
      <c r="M50" s="642">
        <f t="shared" si="13"/>
        <v>18616.959999999963</v>
      </c>
      <c r="N50" s="643" t="s">
        <v>816</v>
      </c>
      <c r="O50" s="644">
        <v>254</v>
      </c>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row>
    <row r="51" spans="1:38" ht="15.5">
      <c r="A51" s="637" t="s">
        <v>948</v>
      </c>
      <c r="B51" s="639" t="s">
        <v>984</v>
      </c>
      <c r="D51" s="618"/>
      <c r="E51" s="640" t="s">
        <v>1024</v>
      </c>
      <c r="F51" s="641">
        <v>-578327.82999999996</v>
      </c>
      <c r="G51" s="641">
        <v>-546162.60999999999</v>
      </c>
      <c r="H51" s="641">
        <v>32165.219999999972</v>
      </c>
      <c r="I51" s="641"/>
      <c r="J51" s="642">
        <f t="shared" si="12"/>
        <v>-32165.219999999972</v>
      </c>
      <c r="K51" s="641">
        <v>32165.219999999972</v>
      </c>
      <c r="L51" s="641"/>
      <c r="M51" s="642">
        <f t="shared" si="13"/>
        <v>0</v>
      </c>
      <c r="N51" s="643" t="s">
        <v>941</v>
      </c>
      <c r="O51" s="644"/>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row>
    <row r="52" spans="1:38" ht="15.5">
      <c r="A52" s="637" t="s">
        <v>949</v>
      </c>
      <c r="B52" s="639" t="s">
        <v>984</v>
      </c>
      <c r="D52" s="618"/>
      <c r="E52" s="640" t="s">
        <v>1025</v>
      </c>
      <c r="F52" s="641">
        <v>-811190.38</v>
      </c>
      <c r="G52" s="641">
        <v>-766073.91000000003</v>
      </c>
      <c r="H52" s="641">
        <v>45116.469999999972</v>
      </c>
      <c r="I52" s="641"/>
      <c r="J52" s="642">
        <f t="shared" si="12"/>
        <v>-45116.469999999972</v>
      </c>
      <c r="K52" s="641">
        <v>45116.469999999972</v>
      </c>
      <c r="L52" s="641"/>
      <c r="M52" s="642">
        <f t="shared" si="13"/>
        <v>0</v>
      </c>
      <c r="N52" s="643" t="s">
        <v>941</v>
      </c>
      <c r="O52" s="644"/>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row>
    <row r="53" spans="1:38" ht="15.5">
      <c r="A53" s="637" t="s">
        <v>950</v>
      </c>
      <c r="B53" s="639" t="s">
        <v>984</v>
      </c>
      <c r="D53" s="618"/>
      <c r="E53" s="640" t="s">
        <v>1026</v>
      </c>
      <c r="F53" s="641">
        <v>718222.07999999996</v>
      </c>
      <c r="G53" s="641">
        <v>678276.28000000003</v>
      </c>
      <c r="H53" s="641">
        <v>-39945.79999999993</v>
      </c>
      <c r="I53" s="641"/>
      <c r="J53" s="642">
        <f t="shared" si="12"/>
        <v>39945.79999999993</v>
      </c>
      <c r="K53" s="641">
        <v>-39945.79999999993</v>
      </c>
      <c r="L53" s="641"/>
      <c r="M53" s="642">
        <f t="shared" si="13"/>
        <v>0</v>
      </c>
      <c r="N53" s="643" t="s">
        <v>941</v>
      </c>
      <c r="O53" s="644"/>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row>
    <row r="54" spans="1:38" ht="15.5">
      <c r="A54" s="637" t="s">
        <v>951</v>
      </c>
      <c r="B54" s="639" t="s">
        <v>984</v>
      </c>
      <c r="D54" s="618"/>
      <c r="E54" s="640" t="s">
        <v>1029</v>
      </c>
      <c r="F54" s="641">
        <v>-11.77</v>
      </c>
      <c r="G54" s="641">
        <v>-11.119999999999999</v>
      </c>
      <c r="H54" s="641">
        <v>0.65000000000000036</v>
      </c>
      <c r="I54" s="641"/>
      <c r="J54" s="642">
        <f t="shared" si="12"/>
        <v>-0.65000000000000036</v>
      </c>
      <c r="K54" s="641">
        <v>0.65000000000000036</v>
      </c>
      <c r="L54" s="641"/>
      <c r="M54" s="642">
        <f>+L54+K54+J54</f>
        <v>0</v>
      </c>
      <c r="N54" s="643" t="s">
        <v>816</v>
      </c>
      <c r="O54" s="644">
        <v>254</v>
      </c>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row>
    <row r="55" spans="1:38" ht="15.5">
      <c r="A55" s="637" t="s">
        <v>952</v>
      </c>
      <c r="B55" s="639" t="s">
        <v>984</v>
      </c>
      <c r="D55" s="618"/>
      <c r="E55" s="640" t="s">
        <v>1032</v>
      </c>
      <c r="F55" s="641">
        <v>-183172.63</v>
      </c>
      <c r="G55" s="641">
        <v>-172985.00999999998</v>
      </c>
      <c r="H55" s="641">
        <v>10187.620000000024</v>
      </c>
      <c r="I55" s="641"/>
      <c r="J55" s="642">
        <f t="shared" si="12"/>
        <v>-10187.620000000024</v>
      </c>
      <c r="K55" s="641"/>
      <c r="L55" s="641"/>
      <c r="M55" s="642">
        <f t="shared" si="13"/>
        <v>-10187.620000000024</v>
      </c>
      <c r="N55" s="643" t="s">
        <v>816</v>
      </c>
      <c r="O55" s="644">
        <v>254</v>
      </c>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row>
    <row r="56" spans="1:38" ht="15.5">
      <c r="A56" s="637" t="s">
        <v>1148</v>
      </c>
      <c r="B56" s="639" t="s">
        <v>984</v>
      </c>
      <c r="D56" s="618"/>
      <c r="E56" s="640" t="s">
        <v>1036</v>
      </c>
      <c r="F56" s="641">
        <v>-63407.409999999996</v>
      </c>
      <c r="G56" s="641">
        <v>-59880.849999999999</v>
      </c>
      <c r="H56" s="641">
        <v>3526.5599999999977</v>
      </c>
      <c r="I56" s="641"/>
      <c r="J56" s="642">
        <f t="shared" si="12"/>
        <v>-3526.5599999999977</v>
      </c>
      <c r="K56" s="641"/>
      <c r="L56" s="641"/>
      <c r="M56" s="642">
        <f t="shared" si="13"/>
        <v>-3526.5599999999977</v>
      </c>
      <c r="N56" s="643" t="s">
        <v>816</v>
      </c>
      <c r="O56" s="644">
        <v>254</v>
      </c>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row>
    <row r="57" spans="1:38" ht="15.5">
      <c r="A57" s="637" t="s">
        <v>1149</v>
      </c>
      <c r="B57" s="639" t="s">
        <v>984</v>
      </c>
      <c r="D57" s="618"/>
      <c r="E57" s="640" t="s">
        <v>1040</v>
      </c>
      <c r="F57" s="641">
        <v>-412543.22999999998</v>
      </c>
      <c r="G57" s="641">
        <v>-389598.56</v>
      </c>
      <c r="H57" s="641">
        <v>22944.669999999984</v>
      </c>
      <c r="I57" s="641"/>
      <c r="J57" s="642">
        <f t="shared" si="12"/>
        <v>-22944.669999999984</v>
      </c>
      <c r="K57" s="641"/>
      <c r="L57" s="641"/>
      <c r="M57" s="642">
        <f t="shared" si="13"/>
        <v>-22944.669999999984</v>
      </c>
      <c r="N57" s="643" t="s">
        <v>816</v>
      </c>
      <c r="O57" s="644">
        <v>254</v>
      </c>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row>
    <row r="58" spans="1:38" ht="15.5">
      <c r="A58" s="637" t="s">
        <v>1150</v>
      </c>
      <c r="B58" s="639" t="s">
        <v>984</v>
      </c>
      <c r="D58" s="618"/>
      <c r="E58" s="640" t="s">
        <v>1046</v>
      </c>
      <c r="F58" s="641">
        <v>0.050000000000000044</v>
      </c>
      <c r="G58" s="641">
        <v>0.050000000000000044</v>
      </c>
      <c r="H58" s="641">
        <v>0</v>
      </c>
      <c r="I58" s="641"/>
      <c r="J58" s="642">
        <f t="shared" si="12"/>
        <v>0</v>
      </c>
      <c r="K58" s="641"/>
      <c r="L58" s="641"/>
      <c r="M58" s="642">
        <f t="shared" si="13"/>
        <v>0</v>
      </c>
      <c r="N58" s="643" t="s">
        <v>941</v>
      </c>
      <c r="O58" s="644"/>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row>
    <row r="59" spans="1:38" ht="15.5">
      <c r="A59" s="637" t="s">
        <v>1151</v>
      </c>
      <c r="B59" s="639" t="s">
        <v>984</v>
      </c>
      <c r="D59" s="618"/>
      <c r="E59" s="640" t="s">
        <v>1049</v>
      </c>
      <c r="F59" s="641">
        <v>-5.4199999999999999</v>
      </c>
      <c r="G59" s="641">
        <v>-5.1199999999999992</v>
      </c>
      <c r="H59" s="641">
        <v>0.30000000000000071</v>
      </c>
      <c r="I59" s="641"/>
      <c r="J59" s="654">
        <f t="shared" si="12"/>
        <v>-0.30000000000000071</v>
      </c>
      <c r="K59" s="641"/>
      <c r="L59" s="641"/>
      <c r="M59" s="642">
        <f t="shared" si="13"/>
        <v>-0.30000000000000071</v>
      </c>
      <c r="N59" s="643" t="s">
        <v>816</v>
      </c>
      <c r="O59" s="644">
        <v>254</v>
      </c>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row>
    <row r="60" spans="1:38" ht="15.5">
      <c r="A60" s="637" t="s">
        <v>1152</v>
      </c>
      <c r="B60" s="639" t="s">
        <v>984</v>
      </c>
      <c r="D60" s="618"/>
      <c r="E60" s="640" t="s">
        <v>1052</v>
      </c>
      <c r="F60" s="641">
        <v>-33745.389999999999</v>
      </c>
      <c r="G60" s="641">
        <v>-31868.549999999999</v>
      </c>
      <c r="H60" s="641">
        <v>1876.8400000000001</v>
      </c>
      <c r="I60" s="641"/>
      <c r="J60" s="642">
        <f t="shared" si="12"/>
        <v>-1876.8400000000001</v>
      </c>
      <c r="K60" s="641"/>
      <c r="L60" s="641"/>
      <c r="M60" s="642">
        <f t="shared" si="13"/>
        <v>-1876.8400000000001</v>
      </c>
      <c r="N60" s="643" t="s">
        <v>816</v>
      </c>
      <c r="O60" s="644">
        <v>254</v>
      </c>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row>
    <row r="61" spans="1:38" ht="15.5">
      <c r="A61" s="637" t="s">
        <v>1153</v>
      </c>
      <c r="B61" s="639" t="s">
        <v>984</v>
      </c>
      <c r="D61" s="618"/>
      <c r="E61" s="640" t="s">
        <v>1056</v>
      </c>
      <c r="F61" s="641">
        <v>735.59000000000003</v>
      </c>
      <c r="G61" s="641">
        <v>694.68000000000006</v>
      </c>
      <c r="H61" s="641">
        <v>-40.909999999999968</v>
      </c>
      <c r="I61" s="641"/>
      <c r="J61" s="642">
        <f t="shared" si="12"/>
        <v>40.909999999999968</v>
      </c>
      <c r="K61" s="641"/>
      <c r="L61" s="641"/>
      <c r="M61" s="642">
        <f t="shared" si="13"/>
        <v>40.909999999999968</v>
      </c>
      <c r="N61" s="643" t="s">
        <v>816</v>
      </c>
      <c r="O61" s="644">
        <v>254</v>
      </c>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row>
    <row r="62" spans="1:38" ht="15.5">
      <c r="A62" s="637" t="s">
        <v>1154</v>
      </c>
      <c r="B62" s="639" t="s">
        <v>984</v>
      </c>
      <c r="D62" s="618"/>
      <c r="E62" s="640" t="s">
        <v>1059</v>
      </c>
      <c r="F62" s="641">
        <v>-1257.3</v>
      </c>
      <c r="G62" s="641">
        <v>-1187.3699999999999</v>
      </c>
      <c r="H62" s="641">
        <v>69.930000000000064</v>
      </c>
      <c r="I62" s="641"/>
      <c r="J62" s="642">
        <f t="shared" si="12"/>
        <v>-69.930000000000064</v>
      </c>
      <c r="K62" s="641"/>
      <c r="L62" s="641"/>
      <c r="M62" s="642">
        <f t="shared" si="13"/>
        <v>-69.930000000000064</v>
      </c>
      <c r="N62" s="643" t="s">
        <v>816</v>
      </c>
      <c r="O62" s="644">
        <v>254</v>
      </c>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row>
    <row r="63" spans="1:38" ht="15.5">
      <c r="A63" s="637" t="s">
        <v>1155</v>
      </c>
      <c r="B63" s="639" t="s">
        <v>984</v>
      </c>
      <c r="D63" s="618"/>
      <c r="E63" s="640" t="s">
        <v>1062</v>
      </c>
      <c r="F63" s="641">
        <v>1617.25</v>
      </c>
      <c r="G63" s="641">
        <v>1527.3099999999999</v>
      </c>
      <c r="H63" s="641">
        <v>-89.940000000000055</v>
      </c>
      <c r="I63" s="641"/>
      <c r="J63" s="642">
        <f t="shared" si="12"/>
        <v>89.940000000000055</v>
      </c>
      <c r="K63" s="641"/>
      <c r="L63" s="641"/>
      <c r="M63" s="642">
        <f t="shared" si="13"/>
        <v>89.940000000000055</v>
      </c>
      <c r="N63" s="643" t="s">
        <v>816</v>
      </c>
      <c r="O63" s="644">
        <v>254</v>
      </c>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row>
    <row r="64" spans="1:38" ht="15.5">
      <c r="A64" s="637" t="s">
        <v>1156</v>
      </c>
      <c r="B64" s="639" t="s">
        <v>984</v>
      </c>
      <c r="D64" s="618"/>
      <c r="E64" s="640" t="s">
        <v>1066</v>
      </c>
      <c r="F64" s="641">
        <v>1270485.54</v>
      </c>
      <c r="G64" s="641">
        <v>1199824.1600000001</v>
      </c>
      <c r="H64" s="641">
        <v>-70661.379999999888</v>
      </c>
      <c r="I64" s="641"/>
      <c r="J64" s="642">
        <f t="shared" si="12"/>
        <v>70661.379999999888</v>
      </c>
      <c r="K64" s="641"/>
      <c r="L64" s="641"/>
      <c r="M64" s="642">
        <f t="shared" si="13"/>
        <v>70661.379999999888</v>
      </c>
      <c r="N64" s="643" t="s">
        <v>816</v>
      </c>
      <c r="O64" s="644">
        <v>254</v>
      </c>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row>
    <row r="65" spans="1:38" ht="15.5">
      <c r="A65" s="637" t="s">
        <v>1157</v>
      </c>
      <c r="B65" s="639" t="s">
        <v>984</v>
      </c>
      <c r="D65" s="618"/>
      <c r="E65" s="640" t="s">
        <v>1074</v>
      </c>
      <c r="F65" s="641">
        <v>602.63</v>
      </c>
      <c r="G65" s="641">
        <v>569.11000000000001</v>
      </c>
      <c r="H65" s="641">
        <v>-33.519999999999982</v>
      </c>
      <c r="I65" s="641"/>
      <c r="J65" s="642">
        <f t="shared" si="12"/>
        <v>33.519999999999982</v>
      </c>
      <c r="K65" s="641"/>
      <c r="L65" s="641"/>
      <c r="M65" s="642">
        <f t="shared" si="13"/>
        <v>33.519999999999982</v>
      </c>
      <c r="N65" s="643" t="s">
        <v>816</v>
      </c>
      <c r="O65" s="644">
        <v>254</v>
      </c>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row>
    <row r="66" spans="1:38" ht="15.5">
      <c r="A66" s="637" t="s">
        <v>1158</v>
      </c>
      <c r="B66" s="639" t="s">
        <v>984</v>
      </c>
      <c r="D66" s="618"/>
      <c r="E66" s="640" t="s">
        <v>1075</v>
      </c>
      <c r="F66" s="641">
        <v>945.94000000000005</v>
      </c>
      <c r="G66" s="641">
        <v>893.33000000000004</v>
      </c>
      <c r="H66" s="641">
        <v>-52.610000000000014</v>
      </c>
      <c r="I66" s="641"/>
      <c r="J66" s="642">
        <f t="shared" si="12"/>
        <v>52.610000000000014</v>
      </c>
      <c r="K66" s="641"/>
      <c r="L66" s="641"/>
      <c r="M66" s="642">
        <f t="shared" si="13"/>
        <v>52.610000000000014</v>
      </c>
      <c r="N66" s="643" t="s">
        <v>816</v>
      </c>
      <c r="O66" s="644">
        <v>254</v>
      </c>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row>
    <row r="67" spans="1:38" ht="15.5">
      <c r="A67" s="637" t="s">
        <v>1159</v>
      </c>
      <c r="B67" s="639" t="s">
        <v>984</v>
      </c>
      <c r="D67" s="618"/>
      <c r="E67" s="640" t="s">
        <v>1076</v>
      </c>
      <c r="F67" s="641">
        <v>-936.35000000000002</v>
      </c>
      <c r="G67" s="641">
        <v>-884.26999999999998</v>
      </c>
      <c r="H67" s="641">
        <v>52.080000000000041</v>
      </c>
      <c r="I67" s="641"/>
      <c r="J67" s="642">
        <f t="shared" si="12"/>
        <v>-52.080000000000041</v>
      </c>
      <c r="K67" s="641"/>
      <c r="L67" s="641"/>
      <c r="M67" s="642">
        <f t="shared" si="13"/>
        <v>-52.080000000000041</v>
      </c>
      <c r="N67" s="643" t="s">
        <v>816</v>
      </c>
      <c r="O67" s="644">
        <v>254</v>
      </c>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row>
    <row r="68" spans="1:38" ht="15.5">
      <c r="A68" s="637" t="s">
        <v>1160</v>
      </c>
      <c r="B68" s="639" t="s">
        <v>984</v>
      </c>
      <c r="D68" s="618"/>
      <c r="E68" s="640" t="s">
        <v>1082</v>
      </c>
      <c r="F68" s="641">
        <v>-64481.309999999998</v>
      </c>
      <c r="G68" s="641">
        <v>-60895.010000000002</v>
      </c>
      <c r="H68" s="641">
        <v>3586.2999999999956</v>
      </c>
      <c r="I68" s="641"/>
      <c r="J68" s="642">
        <f t="shared" si="12"/>
        <v>-3586.2999999999956</v>
      </c>
      <c r="K68" s="641"/>
      <c r="L68" s="641"/>
      <c r="M68" s="642">
        <f t="shared" si="13"/>
        <v>-3586.2999999999956</v>
      </c>
      <c r="N68" s="643" t="s">
        <v>816</v>
      </c>
      <c r="O68" s="644">
        <v>254</v>
      </c>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row>
    <row r="69" spans="1:38" ht="15.5">
      <c r="A69" s="637" t="s">
        <v>1161</v>
      </c>
      <c r="B69" s="639" t="s">
        <v>984</v>
      </c>
      <c r="D69" s="618"/>
      <c r="E69" s="640" t="s">
        <v>1086</v>
      </c>
      <c r="F69" s="641">
        <v>-29138.959999999999</v>
      </c>
      <c r="G69" s="641">
        <v>-27518.32</v>
      </c>
      <c r="H69" s="641">
        <v>1620.6399999999994</v>
      </c>
      <c r="I69" s="641"/>
      <c r="J69" s="642">
        <f t="shared" si="12"/>
        <v>-1620.6399999999994</v>
      </c>
      <c r="K69" s="641"/>
      <c r="L69" s="641"/>
      <c r="M69" s="642">
        <f t="shared" si="13"/>
        <v>-1620.6399999999994</v>
      </c>
      <c r="N69" s="643" t="s">
        <v>816</v>
      </c>
      <c r="O69" s="644">
        <v>254</v>
      </c>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645"/>
    </row>
    <row r="70" spans="1:38" ht="15.5">
      <c r="A70" s="637" t="s">
        <v>1162</v>
      </c>
      <c r="B70" s="639" t="s">
        <v>984</v>
      </c>
      <c r="D70" s="618"/>
      <c r="E70" s="640" t="s">
        <v>1091</v>
      </c>
      <c r="F70" s="641">
        <v>55.609999999999999</v>
      </c>
      <c r="G70" s="641">
        <v>52.520000000000003</v>
      </c>
      <c r="H70" s="641">
        <v>-3.0899999999999963</v>
      </c>
      <c r="I70" s="641"/>
      <c r="J70" s="642">
        <f t="shared" si="12"/>
        <v>3.0899999999999963</v>
      </c>
      <c r="K70" s="641"/>
      <c r="L70" s="641"/>
      <c r="M70" s="642">
        <f t="shared" si="13"/>
        <v>3.0899999999999963</v>
      </c>
      <c r="N70" s="643" t="s">
        <v>816</v>
      </c>
      <c r="O70" s="644">
        <v>254</v>
      </c>
      <c r="P70" s="645"/>
      <c r="Q70" s="645"/>
      <c r="R70" s="645"/>
      <c r="S70" s="645"/>
      <c r="T70" s="645"/>
      <c r="U70" s="645"/>
      <c r="V70" s="645"/>
      <c r="W70" s="645"/>
      <c r="X70" s="645"/>
      <c r="Y70" s="645"/>
      <c r="Z70" s="645"/>
      <c r="AA70" s="645"/>
      <c r="AB70" s="645"/>
      <c r="AC70" s="645"/>
      <c r="AD70" s="645"/>
      <c r="AE70" s="645"/>
      <c r="AF70" s="645"/>
      <c r="AG70" s="645"/>
      <c r="AH70" s="645"/>
      <c r="AI70" s="645"/>
      <c r="AJ70" s="645"/>
      <c r="AK70" s="645"/>
      <c r="AL70" s="645"/>
    </row>
    <row r="71" spans="1:38" ht="15.5">
      <c r="A71" s="637" t="s">
        <v>1163</v>
      </c>
      <c r="B71" s="639" t="s">
        <v>984</v>
      </c>
      <c r="D71" s="618"/>
      <c r="E71" s="640" t="s">
        <v>1098</v>
      </c>
      <c r="F71" s="641">
        <v>-2844835.5100000002</v>
      </c>
      <c r="G71" s="641">
        <v>-2686612.5600000001</v>
      </c>
      <c r="H71" s="641">
        <v>158222.95000000019</v>
      </c>
      <c r="I71" s="641"/>
      <c r="J71" s="642">
        <f t="shared" si="12"/>
        <v>-158222.95000000019</v>
      </c>
      <c r="K71" s="641"/>
      <c r="L71" s="641"/>
      <c r="M71" s="642">
        <f t="shared" si="13"/>
        <v>-158222.95000000019</v>
      </c>
      <c r="N71" s="643" t="s">
        <v>816</v>
      </c>
      <c r="O71" s="644">
        <v>182.30000000000001</v>
      </c>
      <c r="P71" s="645"/>
      <c r="Q71" s="645"/>
      <c r="R71" s="645"/>
      <c r="S71" s="645"/>
      <c r="T71" s="645"/>
      <c r="U71" s="645"/>
      <c r="V71" s="645"/>
      <c r="W71" s="645"/>
      <c r="X71" s="645"/>
      <c r="Y71" s="645"/>
      <c r="Z71" s="645"/>
      <c r="AA71" s="645"/>
      <c r="AB71" s="645"/>
      <c r="AC71" s="645"/>
      <c r="AD71" s="645"/>
      <c r="AE71" s="645"/>
      <c r="AF71" s="645"/>
      <c r="AG71" s="645"/>
      <c r="AH71" s="645"/>
      <c r="AI71" s="645"/>
      <c r="AJ71" s="645"/>
      <c r="AK71" s="645"/>
      <c r="AL71" s="645"/>
    </row>
    <row r="72" spans="1:38" ht="15.5">
      <c r="A72" s="637" t="s">
        <v>1164</v>
      </c>
      <c r="B72" s="639" t="s">
        <v>984</v>
      </c>
      <c r="D72" s="618"/>
      <c r="E72" s="640" t="s">
        <v>1099</v>
      </c>
      <c r="F72" s="641">
        <v>-3170149.7800000003</v>
      </c>
      <c r="G72" s="641">
        <v>-2993833.6100000003</v>
      </c>
      <c r="H72" s="641">
        <v>176316.16999999993</v>
      </c>
      <c r="I72" s="641"/>
      <c r="J72" s="642">
        <f t="shared" si="12"/>
        <v>-176316.16999999993</v>
      </c>
      <c r="K72" s="641"/>
      <c r="L72" s="641"/>
      <c r="M72" s="642">
        <f t="shared" si="13"/>
        <v>-176316.16999999993</v>
      </c>
      <c r="N72" s="643" t="s">
        <v>816</v>
      </c>
      <c r="O72" s="644">
        <v>182.30000000000001</v>
      </c>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row>
    <row r="73" spans="1:38" ht="15.5">
      <c r="A73" s="637" t="s">
        <v>1165</v>
      </c>
      <c r="B73" s="639" t="s">
        <v>984</v>
      </c>
      <c r="D73" s="618"/>
      <c r="E73" s="640" t="s">
        <v>1100</v>
      </c>
      <c r="F73" s="641">
        <v>3145312.3699999996</v>
      </c>
      <c r="G73" s="641">
        <v>2970377.6199999996</v>
      </c>
      <c r="H73" s="641">
        <v>-174934.75</v>
      </c>
      <c r="I73" s="641"/>
      <c r="J73" s="642">
        <f t="shared" si="12"/>
        <v>174934.75</v>
      </c>
      <c r="K73" s="641"/>
      <c r="L73" s="641"/>
      <c r="M73" s="642">
        <f t="shared" si="13"/>
        <v>174934.75</v>
      </c>
      <c r="N73" s="643" t="s">
        <v>816</v>
      </c>
      <c r="O73" s="644">
        <v>254</v>
      </c>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row>
    <row r="74" spans="1:13" ht="15.5">
      <c r="A74" s="637">
        <v>13</v>
      </c>
      <c r="D74" s="617" t="s">
        <v>820</v>
      </c>
      <c r="F74" s="646">
        <f t="shared" si="14" ref="F74:M74">SUM(F45:F73)</f>
        <v>-13643924.380000005</v>
      </c>
      <c r="G74" s="646">
        <f t="shared" si="14"/>
        <v>-12885081.870000003</v>
      </c>
      <c r="H74" s="646">
        <f t="shared" si="14"/>
        <v>758842.50999999966</v>
      </c>
      <c r="I74" s="646">
        <f t="shared" si="14"/>
        <v>0</v>
      </c>
      <c r="J74" s="646">
        <f t="shared" si="14"/>
        <v>-758842.50999999966</v>
      </c>
      <c r="K74" s="646">
        <f t="shared" si="14"/>
        <v>37336.540000000015</v>
      </c>
      <c r="L74" s="646">
        <f t="shared" si="14"/>
        <v>0</v>
      </c>
      <c r="M74" s="646">
        <f t="shared" si="14"/>
        <v>-721505.96999999962</v>
      </c>
    </row>
    <row r="75" spans="3:12" ht="18" customHeight="1">
      <c r="C75" s="619" t="s">
        <v>828</v>
      </c>
      <c r="F75" s="647"/>
      <c r="G75" s="647"/>
      <c r="H75" s="647"/>
      <c r="K75" s="647"/>
      <c r="L75" s="647"/>
    </row>
    <row r="76" spans="1:13" ht="15.5">
      <c r="A76" s="637">
        <v>14</v>
      </c>
      <c r="B76" s="639"/>
      <c r="E76" s="617" t="s">
        <v>824</v>
      </c>
      <c r="F76" s="642"/>
      <c r="G76" s="642"/>
      <c r="H76" s="642"/>
      <c r="I76" s="642"/>
      <c r="J76" s="642">
        <f>+J43+J74</f>
        <v>-736204.48999999976</v>
      </c>
      <c r="K76" s="642">
        <f>+K43+K74</f>
        <v>37336.540000000015</v>
      </c>
      <c r="L76" s="642">
        <f>+L43+L74</f>
        <v>0</v>
      </c>
      <c r="M76" s="642">
        <f>+M43+M74</f>
        <v>-698867.94999999972</v>
      </c>
    </row>
    <row r="77" spans="1:13" ht="15.5">
      <c r="A77" s="637">
        <v>15</v>
      </c>
      <c r="B77" s="639"/>
      <c r="E77" s="617" t="s">
        <v>825</v>
      </c>
      <c r="F77" s="642"/>
      <c r="G77" s="642"/>
      <c r="H77" s="642"/>
      <c r="I77" s="642"/>
      <c r="J77" s="641">
        <v>-211594.10999999999</v>
      </c>
      <c r="K77" s="641">
        <v>11022.189999999997</v>
      </c>
      <c r="L77" s="641"/>
      <c r="M77" s="642">
        <f>+L77+K77+J77</f>
        <v>-200571.91999999998</v>
      </c>
    </row>
    <row r="78" spans="1:14" s="619" customFormat="1" ht="16" thickBot="1">
      <c r="A78" s="637">
        <v>16</v>
      </c>
      <c r="B78" s="639"/>
      <c r="E78" s="619" t="s">
        <v>826</v>
      </c>
      <c r="F78" s="655"/>
      <c r="G78" s="655"/>
      <c r="H78" s="655"/>
      <c r="I78" s="655"/>
      <c r="J78" s="651">
        <f>+J76+J77</f>
        <v>-947798.59999999974</v>
      </c>
      <c r="K78" s="651">
        <f>+K76+K77</f>
        <v>48358.73000000001</v>
      </c>
      <c r="L78" s="651">
        <f>+L76+L77</f>
        <v>0</v>
      </c>
      <c r="M78" s="651">
        <f>+M76+M77</f>
        <v>-899439.86999999965</v>
      </c>
      <c r="N78" s="652"/>
    </row>
    <row r="79" spans="1:14" s="619" customFormat="1" ht="16" thickTop="1">
      <c r="A79" s="616"/>
      <c r="B79" s="616"/>
      <c r="C79" s="619" t="s">
        <v>829</v>
      </c>
      <c r="F79" s="655"/>
      <c r="G79" s="655"/>
      <c r="H79" s="655"/>
      <c r="I79" s="617"/>
      <c r="J79" s="645"/>
      <c r="K79" s="650"/>
      <c r="L79" s="650"/>
      <c r="M79" s="645"/>
      <c r="N79" s="652"/>
    </row>
    <row r="80" spans="1:14" s="619" customFormat="1" ht="15.5">
      <c r="A80" s="637">
        <v>17</v>
      </c>
      <c r="B80" s="639"/>
      <c r="E80" s="617" t="s">
        <v>824</v>
      </c>
      <c r="F80" s="655"/>
      <c r="G80" s="655"/>
      <c r="H80" s="655"/>
      <c r="I80" s="655"/>
      <c r="J80" s="641">
        <f>J76+J31</f>
        <v>-714058.97999999928</v>
      </c>
      <c r="K80" s="641">
        <v>37335.890000000014</v>
      </c>
      <c r="L80" s="641"/>
      <c r="M80" s="641">
        <f>M76+M31</f>
        <v>-676722.43999999925</v>
      </c>
      <c r="N80" s="652"/>
    </row>
    <row r="81" spans="1:14" s="619" customFormat="1" ht="15.5">
      <c r="A81" s="637">
        <v>18</v>
      </c>
      <c r="B81" s="639"/>
      <c r="E81" s="617" t="s">
        <v>825</v>
      </c>
      <c r="F81" s="655"/>
      <c r="G81" s="655"/>
      <c r="H81" s="655"/>
      <c r="I81" s="655"/>
      <c r="J81" s="641">
        <f>J77+J32</f>
        <v>-205250.68513306871</v>
      </c>
      <c r="K81" s="641">
        <v>11022.189999999997</v>
      </c>
      <c r="L81" s="641"/>
      <c r="M81" s="641">
        <f>M77+M32</f>
        <v>-194228.4951330687</v>
      </c>
      <c r="N81" s="652"/>
    </row>
    <row r="82" spans="1:13" ht="16" thickBot="1">
      <c r="A82" s="637">
        <v>19</v>
      </c>
      <c r="B82" s="639"/>
      <c r="C82" s="619"/>
      <c r="E82" s="619" t="s">
        <v>826</v>
      </c>
      <c r="J82" s="651">
        <f>SUM(J80:J81)</f>
        <v>-919309.66513306799</v>
      </c>
      <c r="K82" s="651">
        <f t="shared" si="15" ref="K82:M82">SUM(K80:K81)</f>
        <v>48358.080000000009</v>
      </c>
      <c r="L82" s="651">
        <f t="shared" si="15"/>
        <v>0</v>
      </c>
      <c r="M82" s="651">
        <f t="shared" si="15"/>
        <v>-870950.93513306789</v>
      </c>
    </row>
    <row r="83" s="481" customFormat="1" ht="16" thickTop="1"/>
    <row r="84" spans="15:15" ht="15.5">
      <c r="O84" s="3" t="s">
        <v>843</v>
      </c>
    </row>
    <row r="85" spans="15:15" ht="15.5">
      <c r="O85" s="463" t="s">
        <v>844</v>
      </c>
    </row>
    <row r="86" spans="15:15" ht="15.5">
      <c r="O86" s="3" t="str">
        <f>O3</f>
        <v>For the 12 months ended 12/31/2023</v>
      </c>
    </row>
    <row r="87" spans="5:13" ht="15.5">
      <c r="E87" s="619"/>
      <c r="M87" s="620"/>
    </row>
    <row r="88" spans="1:15" s="623" customFormat="1" ht="15.5">
      <c r="A88" s="621"/>
      <c r="B88" s="622"/>
      <c r="E88" s="622"/>
      <c r="F88" s="622"/>
      <c r="G88" s="622"/>
      <c r="H88" s="622"/>
      <c r="I88" s="622"/>
      <c r="J88" s="622"/>
      <c r="K88" s="622"/>
      <c r="L88" s="622"/>
      <c r="M88" s="622"/>
      <c r="N88" s="622"/>
      <c r="O88" s="622"/>
    </row>
    <row r="89" spans="3:15" ht="60" customHeight="1">
      <c r="C89" s="656"/>
      <c r="D89" s="656"/>
      <c r="E89" s="656"/>
      <c r="F89" s="710"/>
      <c r="G89" s="711"/>
      <c r="H89" s="712"/>
      <c r="I89" s="657"/>
      <c r="J89" s="657"/>
      <c r="K89" s="713"/>
      <c r="L89" s="714"/>
      <c r="M89" s="715"/>
      <c r="N89" s="659"/>
      <c r="O89" s="659"/>
    </row>
    <row r="90" spans="1:15" ht="15.5">
      <c r="A90" s="660"/>
      <c r="B90" s="660"/>
      <c r="E90" s="661"/>
      <c r="F90" s="662"/>
      <c r="G90" s="662"/>
      <c r="H90" s="662"/>
      <c r="I90" s="657"/>
      <c r="J90" s="657"/>
      <c r="K90" s="663"/>
      <c r="L90" s="662"/>
      <c r="M90" s="657"/>
      <c r="N90" s="658"/>
      <c r="O90" s="664"/>
    </row>
    <row r="91" spans="3:13" ht="15.5">
      <c r="C91" s="635" t="s">
        <v>814</v>
      </c>
      <c r="F91" s="636"/>
      <c r="G91" s="636"/>
      <c r="H91" s="636"/>
      <c r="I91" s="636"/>
      <c r="J91" s="636"/>
      <c r="L91" s="636"/>
      <c r="M91" s="636"/>
    </row>
    <row r="92" spans="1:15" s="619" customFormat="1" ht="15.5">
      <c r="A92" s="637">
        <v>20</v>
      </c>
      <c r="B92" s="616"/>
      <c r="C92" s="617" t="s">
        <v>815</v>
      </c>
      <c r="D92" s="617"/>
      <c r="E92" s="617"/>
      <c r="F92" s="617"/>
      <c r="G92" s="617"/>
      <c r="H92" s="617"/>
      <c r="I92" s="617"/>
      <c r="J92" s="617"/>
      <c r="K92" s="617"/>
      <c r="L92" s="617"/>
      <c r="M92" s="617"/>
      <c r="N92" s="618"/>
      <c r="O92" s="638"/>
    </row>
    <row r="93" spans="1:15" s="619" customFormat="1" ht="15.5">
      <c r="A93" s="637" t="s">
        <v>849</v>
      </c>
      <c r="B93" s="639"/>
      <c r="C93" s="617"/>
      <c r="D93" s="617"/>
      <c r="E93" s="640"/>
      <c r="F93" s="641"/>
      <c r="G93" s="641"/>
      <c r="H93" s="641"/>
      <c r="I93" s="641"/>
      <c r="J93" s="642">
        <f>-(H93+I93)</f>
        <v>0</v>
      </c>
      <c r="K93" s="641"/>
      <c r="L93" s="641"/>
      <c r="M93" s="642">
        <f t="shared" si="16" ref="M93">+L93+K93+J93</f>
        <v>0</v>
      </c>
      <c r="N93" s="643"/>
      <c r="O93" s="644"/>
    </row>
    <row r="94" spans="1:15" s="619" customFormat="1" ht="15.5">
      <c r="A94" s="637">
        <f>A92+1</f>
        <v>21</v>
      </c>
      <c r="B94" s="616"/>
      <c r="C94" s="617"/>
      <c r="D94" s="617" t="s">
        <v>818</v>
      </c>
      <c r="E94" s="617"/>
      <c r="F94" s="646">
        <f t="shared" si="17" ref="F94:M94">SUM(F93:F93)</f>
        <v>0</v>
      </c>
      <c r="G94" s="646">
        <f t="shared" si="17"/>
        <v>0</v>
      </c>
      <c r="H94" s="646">
        <f t="shared" si="17"/>
        <v>0</v>
      </c>
      <c r="I94" s="646">
        <f t="shared" si="17"/>
        <v>0</v>
      </c>
      <c r="J94" s="646">
        <f t="shared" si="17"/>
        <v>0</v>
      </c>
      <c r="K94" s="646">
        <f t="shared" si="17"/>
        <v>0</v>
      </c>
      <c r="L94" s="646">
        <f t="shared" si="17"/>
        <v>0</v>
      </c>
      <c r="M94" s="646">
        <f t="shared" si="17"/>
        <v>0</v>
      </c>
      <c r="N94" s="618"/>
      <c r="O94" s="617"/>
    </row>
    <row r="95" spans="1:15" s="619" customFormat="1" ht="15.5">
      <c r="A95" s="637">
        <f>A94+1</f>
        <v>22</v>
      </c>
      <c r="B95" s="616"/>
      <c r="C95" s="617" t="s">
        <v>819</v>
      </c>
      <c r="D95" s="617"/>
      <c r="E95" s="617"/>
      <c r="F95" s="642"/>
      <c r="G95" s="642"/>
      <c r="H95" s="642"/>
      <c r="I95" s="642"/>
      <c r="J95" s="642"/>
      <c r="K95" s="642"/>
      <c r="L95" s="642"/>
      <c r="M95" s="642"/>
      <c r="N95" s="618"/>
      <c r="O95" s="617"/>
    </row>
    <row r="96" spans="1:15" s="619" customFormat="1" ht="15.5">
      <c r="A96" s="637" t="s">
        <v>848</v>
      </c>
      <c r="B96" s="639"/>
      <c r="C96" s="617"/>
      <c r="D96" s="617"/>
      <c r="E96" s="640"/>
      <c r="F96" s="641"/>
      <c r="G96" s="641"/>
      <c r="H96" s="641"/>
      <c r="I96" s="641"/>
      <c r="J96" s="642">
        <f t="shared" si="18" ref="J96">-(H96+I96)</f>
        <v>0</v>
      </c>
      <c r="K96" s="641"/>
      <c r="L96" s="641"/>
      <c r="M96" s="642">
        <v>0</v>
      </c>
      <c r="N96" s="643"/>
      <c r="O96" s="644"/>
    </row>
    <row r="97" spans="1:15" s="619" customFormat="1" ht="15.5">
      <c r="A97" s="637">
        <f>A95+1</f>
        <v>23</v>
      </c>
      <c r="B97" s="616"/>
      <c r="C97" s="617"/>
      <c r="D97" s="617" t="s">
        <v>820</v>
      </c>
      <c r="E97" s="617"/>
      <c r="F97" s="646">
        <f t="shared" si="19" ref="F97:M97">SUM(F96:F96)</f>
        <v>0</v>
      </c>
      <c r="G97" s="646">
        <f t="shared" si="19"/>
        <v>0</v>
      </c>
      <c r="H97" s="646">
        <f t="shared" si="19"/>
        <v>0</v>
      </c>
      <c r="I97" s="646">
        <f t="shared" si="19"/>
        <v>0</v>
      </c>
      <c r="J97" s="646">
        <f t="shared" si="19"/>
        <v>0</v>
      </c>
      <c r="K97" s="646">
        <f t="shared" si="19"/>
        <v>0</v>
      </c>
      <c r="L97" s="646">
        <f t="shared" si="19"/>
        <v>0</v>
      </c>
      <c r="M97" s="646">
        <f t="shared" si="19"/>
        <v>0</v>
      </c>
      <c r="N97" s="618"/>
      <c r="O97" s="617"/>
    </row>
    <row r="98" spans="1:15" s="619" customFormat="1" ht="15.5">
      <c r="A98" s="637">
        <f>A97+1</f>
        <v>24</v>
      </c>
      <c r="B98" s="616"/>
      <c r="C98" s="617" t="s">
        <v>821</v>
      </c>
      <c r="D98" s="617"/>
      <c r="E98" s="617"/>
      <c r="F98" s="642"/>
      <c r="G98" s="642"/>
      <c r="H98" s="642"/>
      <c r="I98" s="642"/>
      <c r="J98" s="642"/>
      <c r="K98" s="642"/>
      <c r="L98" s="642"/>
      <c r="M98" s="642"/>
      <c r="N98" s="618"/>
      <c r="O98" s="617"/>
    </row>
    <row r="99" spans="1:15" s="619" customFormat="1" ht="15.5">
      <c r="A99" s="637" t="s">
        <v>850</v>
      </c>
      <c r="B99" s="639"/>
      <c r="C99" s="617"/>
      <c r="D99" s="617"/>
      <c r="E99" s="640"/>
      <c r="F99" s="641"/>
      <c r="G99" s="641"/>
      <c r="H99" s="641"/>
      <c r="I99" s="641"/>
      <c r="J99" s="642">
        <f t="shared" si="20" ref="J99">-(H99+I99)</f>
        <v>0</v>
      </c>
      <c r="K99" s="641"/>
      <c r="L99" s="641"/>
      <c r="M99" s="642">
        <f t="shared" si="21" ref="M99">+L99+K99+J99</f>
        <v>0</v>
      </c>
      <c r="N99" s="643"/>
      <c r="O99" s="644"/>
    </row>
    <row r="100" spans="1:15" s="619" customFormat="1" ht="15.5">
      <c r="A100" s="637">
        <f>A98+1</f>
        <v>25</v>
      </c>
      <c r="B100" s="616"/>
      <c r="C100" s="617"/>
      <c r="D100" s="617" t="s">
        <v>822</v>
      </c>
      <c r="E100" s="617"/>
      <c r="F100" s="646">
        <f t="shared" si="22" ref="F100:M100">SUM(F99:F99)</f>
        <v>0</v>
      </c>
      <c r="G100" s="646">
        <f t="shared" si="22"/>
        <v>0</v>
      </c>
      <c r="H100" s="646">
        <f t="shared" si="22"/>
        <v>0</v>
      </c>
      <c r="I100" s="646">
        <f t="shared" si="22"/>
        <v>0</v>
      </c>
      <c r="J100" s="646">
        <f t="shared" si="22"/>
        <v>0</v>
      </c>
      <c r="K100" s="646">
        <f t="shared" si="22"/>
        <v>0</v>
      </c>
      <c r="L100" s="646">
        <f t="shared" si="22"/>
        <v>0</v>
      </c>
      <c r="M100" s="646">
        <f t="shared" si="22"/>
        <v>0</v>
      </c>
      <c r="N100" s="618"/>
      <c r="O100" s="617"/>
    </row>
    <row r="101" spans="1:15" s="619" customFormat="1" ht="15.5">
      <c r="A101" s="616"/>
      <c r="B101" s="616"/>
      <c r="C101" s="619" t="s">
        <v>823</v>
      </c>
      <c r="F101" s="647"/>
      <c r="G101" s="647"/>
      <c r="H101" s="647"/>
      <c r="I101" s="617"/>
      <c r="J101" s="645"/>
      <c r="K101" s="647"/>
      <c r="L101" s="647"/>
      <c r="M101" s="645"/>
      <c r="N101" s="618"/>
      <c r="O101" s="617"/>
    </row>
    <row r="102" spans="1:15" s="619" customFormat="1" ht="15.5">
      <c r="A102" s="637">
        <f>A100+1</f>
        <v>26</v>
      </c>
      <c r="B102" s="639"/>
      <c r="C102" s="617"/>
      <c r="D102" s="617"/>
      <c r="E102" s="617" t="s">
        <v>824</v>
      </c>
      <c r="F102" s="647"/>
      <c r="G102" s="647"/>
      <c r="H102" s="647"/>
      <c r="I102" s="647"/>
      <c r="J102" s="647">
        <f>+J94+J97+J100</f>
        <v>0</v>
      </c>
      <c r="K102" s="647">
        <f>+K94+K97+K100</f>
        <v>0</v>
      </c>
      <c r="L102" s="647">
        <f>+L94+L97+L100</f>
        <v>0</v>
      </c>
      <c r="M102" s="647">
        <f>+M94+M97+M100</f>
        <v>0</v>
      </c>
      <c r="N102" s="618"/>
      <c r="O102" s="617"/>
    </row>
    <row r="103" spans="1:15" s="619" customFormat="1" ht="15.5">
      <c r="A103" s="637">
        <f>A102+1</f>
        <v>27</v>
      </c>
      <c r="B103" s="639"/>
      <c r="C103" s="617"/>
      <c r="D103" s="617"/>
      <c r="E103" s="617" t="s">
        <v>825</v>
      </c>
      <c r="F103" s="647"/>
      <c r="G103" s="647"/>
      <c r="H103" s="647"/>
      <c r="I103" s="647"/>
      <c r="J103" s="648"/>
      <c r="K103" s="648"/>
      <c r="L103" s="648"/>
      <c r="M103" s="647">
        <f>+L103+K103+J103</f>
        <v>0</v>
      </c>
      <c r="N103" s="618"/>
      <c r="O103" s="617"/>
    </row>
    <row r="104" spans="1:14" s="619" customFormat="1" ht="16" thickBot="1">
      <c r="A104" s="637">
        <f>A103+1</f>
        <v>28</v>
      </c>
      <c r="B104" s="639"/>
      <c r="E104" s="619" t="s">
        <v>826</v>
      </c>
      <c r="F104" s="650"/>
      <c r="G104" s="650"/>
      <c r="H104" s="650"/>
      <c r="I104" s="650"/>
      <c r="J104" s="651">
        <f>SUM(J102:J103)</f>
        <v>0</v>
      </c>
      <c r="K104" s="651">
        <f t="shared" si="23" ref="K104:M104">SUM(K102:K103)</f>
        <v>0</v>
      </c>
      <c r="L104" s="651">
        <f t="shared" si="23"/>
        <v>0</v>
      </c>
      <c r="M104" s="651">
        <f t="shared" si="23"/>
        <v>0</v>
      </c>
      <c r="N104" s="652"/>
    </row>
    <row r="105" spans="1:14" s="619" customFormat="1" ht="16" thickTop="1">
      <c r="A105" s="665"/>
      <c r="B105" s="665"/>
      <c r="F105" s="650"/>
      <c r="G105" s="650"/>
      <c r="H105" s="650"/>
      <c r="I105" s="650"/>
      <c r="J105" s="650"/>
      <c r="K105" s="650"/>
      <c r="L105" s="650"/>
      <c r="M105" s="650"/>
      <c r="N105" s="652"/>
    </row>
    <row r="106" spans="3:13" ht="15.5">
      <c r="C106" s="635" t="s">
        <v>827</v>
      </c>
      <c r="F106" s="642"/>
      <c r="G106" s="642"/>
      <c r="H106" s="642"/>
      <c r="I106" s="653"/>
      <c r="J106" s="642"/>
      <c r="K106" s="642"/>
      <c r="L106" s="642"/>
      <c r="M106" s="642"/>
    </row>
    <row r="107" spans="1:13" ht="15.5">
      <c r="A107" s="637">
        <f>A104+1</f>
        <v>29</v>
      </c>
      <c r="C107" s="617" t="s">
        <v>815</v>
      </c>
      <c r="F107" s="642"/>
      <c r="G107" s="642"/>
      <c r="H107" s="642"/>
      <c r="I107" s="642"/>
      <c r="J107" s="642"/>
      <c r="K107" s="642"/>
      <c r="L107" s="642"/>
      <c r="M107" s="642"/>
    </row>
    <row r="108" spans="1:36" ht="15.5">
      <c r="A108" s="637" t="s">
        <v>851</v>
      </c>
      <c r="B108" s="639"/>
      <c r="D108" s="618"/>
      <c r="E108" s="640"/>
      <c r="F108" s="641"/>
      <c r="G108" s="641"/>
      <c r="H108" s="641"/>
      <c r="I108" s="641"/>
      <c r="J108" s="642">
        <f t="shared" si="24" ref="J108">-(H108+I108)</f>
        <v>0</v>
      </c>
      <c r="K108" s="641"/>
      <c r="L108" s="641"/>
      <c r="M108" s="642">
        <f t="shared" si="25" ref="M108">+L108+K108+J108</f>
        <v>0</v>
      </c>
      <c r="N108" s="643"/>
      <c r="O108" s="644"/>
      <c r="P108" s="645"/>
      <c r="Q108" s="645"/>
      <c r="R108" s="645"/>
      <c r="S108" s="645"/>
      <c r="T108" s="645"/>
      <c r="U108" s="645"/>
      <c r="V108" s="645"/>
      <c r="W108" s="645"/>
      <c r="X108" s="645"/>
      <c r="Y108" s="645"/>
      <c r="Z108" s="645"/>
      <c r="AA108" s="645"/>
      <c r="AB108" s="645"/>
      <c r="AC108" s="645"/>
      <c r="AD108" s="645"/>
      <c r="AE108" s="645"/>
      <c r="AF108" s="645"/>
      <c r="AG108" s="645"/>
      <c r="AH108" s="645"/>
      <c r="AI108" s="645"/>
      <c r="AJ108" s="645"/>
    </row>
    <row r="109" spans="1:13" ht="15.5">
      <c r="A109" s="637">
        <f>A107+1</f>
        <v>30</v>
      </c>
      <c r="D109" s="617" t="s">
        <v>818</v>
      </c>
      <c r="F109" s="646">
        <f t="shared" si="26" ref="F109:M109">SUM(F108:F108)</f>
        <v>0</v>
      </c>
      <c r="G109" s="646">
        <f t="shared" si="26"/>
        <v>0</v>
      </c>
      <c r="H109" s="646">
        <f t="shared" si="26"/>
        <v>0</v>
      </c>
      <c r="I109" s="646">
        <f t="shared" si="26"/>
        <v>0</v>
      </c>
      <c r="J109" s="646">
        <f t="shared" si="26"/>
        <v>0</v>
      </c>
      <c r="K109" s="646">
        <f t="shared" si="26"/>
        <v>0</v>
      </c>
      <c r="L109" s="646">
        <f t="shared" si="26"/>
        <v>0</v>
      </c>
      <c r="M109" s="646">
        <f t="shared" si="26"/>
        <v>0</v>
      </c>
    </row>
    <row r="110" spans="1:13" ht="15.5">
      <c r="A110" s="637">
        <f>A109+1</f>
        <v>31</v>
      </c>
      <c r="C110" s="617" t="s">
        <v>819</v>
      </c>
      <c r="F110" s="642"/>
      <c r="G110" s="642"/>
      <c r="H110" s="642"/>
      <c r="I110" s="642"/>
      <c r="J110" s="642"/>
      <c r="K110" s="642"/>
      <c r="L110" s="642"/>
      <c r="M110" s="642"/>
    </row>
    <row r="111" spans="1:38" ht="15.5">
      <c r="A111" s="637" t="s">
        <v>852</v>
      </c>
      <c r="B111" s="639"/>
      <c r="D111" s="618"/>
      <c r="E111" s="640"/>
      <c r="F111" s="641"/>
      <c r="G111" s="641"/>
      <c r="H111" s="641"/>
      <c r="I111" s="641"/>
      <c r="J111" s="642">
        <f t="shared" si="27" ref="J111">-(H111+I111)</f>
        <v>0</v>
      </c>
      <c r="K111" s="641"/>
      <c r="L111" s="641"/>
      <c r="M111" s="642">
        <f t="shared" si="28" ref="M111">+L111+K111+J111</f>
        <v>0</v>
      </c>
      <c r="N111" s="643"/>
      <c r="O111" s="644"/>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row>
    <row r="112" spans="1:13" ht="15.5">
      <c r="A112" s="637">
        <f>A110+1</f>
        <v>32</v>
      </c>
      <c r="D112" s="617" t="s">
        <v>820</v>
      </c>
      <c r="F112" s="646">
        <f t="shared" si="29" ref="F112:M112">SUM(F111:F111)</f>
        <v>0</v>
      </c>
      <c r="G112" s="646">
        <f t="shared" si="29"/>
        <v>0</v>
      </c>
      <c r="H112" s="646">
        <f t="shared" si="29"/>
        <v>0</v>
      </c>
      <c r="I112" s="646">
        <f t="shared" si="29"/>
        <v>0</v>
      </c>
      <c r="J112" s="646">
        <f t="shared" si="29"/>
        <v>0</v>
      </c>
      <c r="K112" s="646">
        <f t="shared" si="29"/>
        <v>0</v>
      </c>
      <c r="L112" s="646">
        <f t="shared" si="29"/>
        <v>0</v>
      </c>
      <c r="M112" s="646">
        <f t="shared" si="29"/>
        <v>0</v>
      </c>
    </row>
    <row r="113" spans="3:12" ht="18" customHeight="1">
      <c r="C113" s="619" t="s">
        <v>828</v>
      </c>
      <c r="F113" s="647"/>
      <c r="G113" s="647"/>
      <c r="H113" s="647"/>
      <c r="K113" s="647"/>
      <c r="L113" s="647"/>
    </row>
    <row r="114" spans="1:13" ht="15.5">
      <c r="A114" s="637">
        <f>A112+1</f>
        <v>33</v>
      </c>
      <c r="B114" s="639"/>
      <c r="E114" s="617" t="s">
        <v>824</v>
      </c>
      <c r="F114" s="642"/>
      <c r="G114" s="642"/>
      <c r="H114" s="642"/>
      <c r="I114" s="642"/>
      <c r="J114" s="642">
        <f>+J109+J112</f>
        <v>0</v>
      </c>
      <c r="K114" s="642">
        <f>+K109+K112</f>
        <v>0</v>
      </c>
      <c r="L114" s="642">
        <f>+L109+L112</f>
        <v>0</v>
      </c>
      <c r="M114" s="642">
        <f>+M109+M112</f>
        <v>0</v>
      </c>
    </row>
    <row r="115" spans="1:13" ht="15.5">
      <c r="A115" s="637">
        <f>A114+1</f>
        <v>34</v>
      </c>
      <c r="B115" s="639"/>
      <c r="E115" s="617" t="s">
        <v>825</v>
      </c>
      <c r="F115" s="642"/>
      <c r="G115" s="642"/>
      <c r="H115" s="642"/>
      <c r="I115" s="642"/>
      <c r="J115" s="641"/>
      <c r="K115" s="641"/>
      <c r="L115" s="641"/>
      <c r="M115" s="642">
        <f>+L115+K115+J115</f>
        <v>0</v>
      </c>
    </row>
    <row r="116" spans="1:14" s="619" customFormat="1" ht="16" thickBot="1">
      <c r="A116" s="637">
        <f>A115+1</f>
        <v>35</v>
      </c>
      <c r="B116" s="639"/>
      <c r="E116" s="619" t="s">
        <v>826</v>
      </c>
      <c r="F116" s="655"/>
      <c r="G116" s="655"/>
      <c r="H116" s="655"/>
      <c r="I116" s="655"/>
      <c r="J116" s="651">
        <f>+J114+J115</f>
        <v>0</v>
      </c>
      <c r="K116" s="651">
        <f>+K114+K115</f>
        <v>0</v>
      </c>
      <c r="L116" s="651">
        <f>+L114+L115</f>
        <v>0</v>
      </c>
      <c r="M116" s="651">
        <f>+M114+M115</f>
        <v>0</v>
      </c>
      <c r="N116" s="652"/>
    </row>
    <row r="117" spans="1:14" s="619" customFormat="1" ht="16" thickTop="1">
      <c r="A117" s="616"/>
      <c r="B117" s="616"/>
      <c r="C117" s="619" t="s">
        <v>829</v>
      </c>
      <c r="F117" s="655"/>
      <c r="G117" s="655"/>
      <c r="H117" s="655"/>
      <c r="I117" s="617"/>
      <c r="J117" s="645"/>
      <c r="K117" s="650"/>
      <c r="L117" s="650"/>
      <c r="M117" s="645"/>
      <c r="N117" s="652"/>
    </row>
    <row r="118" spans="1:14" s="619" customFormat="1" ht="15.5">
      <c r="A118" s="637">
        <f>A116+1</f>
        <v>36</v>
      </c>
      <c r="B118" s="639"/>
      <c r="E118" s="617" t="s">
        <v>824</v>
      </c>
      <c r="F118" s="655"/>
      <c r="G118" s="655"/>
      <c r="H118" s="655"/>
      <c r="I118" s="655"/>
      <c r="J118" s="641">
        <f t="shared" si="30" ref="J118:M119">J114+J102</f>
        <v>0</v>
      </c>
      <c r="K118" s="641">
        <f t="shared" si="30"/>
        <v>0</v>
      </c>
      <c r="L118" s="641">
        <f t="shared" si="30"/>
        <v>0</v>
      </c>
      <c r="M118" s="641">
        <f t="shared" si="30"/>
        <v>0</v>
      </c>
      <c r="N118" s="652"/>
    </row>
    <row r="119" spans="1:14" s="619" customFormat="1" ht="15.5">
      <c r="A119" s="637">
        <f>A118+1</f>
        <v>37</v>
      </c>
      <c r="B119" s="639"/>
      <c r="E119" s="617" t="s">
        <v>825</v>
      </c>
      <c r="F119" s="655"/>
      <c r="G119" s="655"/>
      <c r="H119" s="655"/>
      <c r="I119" s="655"/>
      <c r="J119" s="641">
        <f t="shared" si="30"/>
        <v>0</v>
      </c>
      <c r="K119" s="641">
        <f t="shared" si="30"/>
        <v>0</v>
      </c>
      <c r="L119" s="641">
        <f t="shared" si="30"/>
        <v>0</v>
      </c>
      <c r="M119" s="641">
        <f t="shared" si="30"/>
        <v>0</v>
      </c>
      <c r="N119" s="652"/>
    </row>
    <row r="120" spans="1:13" ht="16" thickBot="1">
      <c r="A120" s="637">
        <f>A119+1</f>
        <v>38</v>
      </c>
      <c r="B120" s="639"/>
      <c r="C120" s="619"/>
      <c r="E120" s="619" t="s">
        <v>826</v>
      </c>
      <c r="J120" s="651">
        <f>SUM(J118:J119)</f>
        <v>0</v>
      </c>
      <c r="K120" s="651">
        <f t="shared" si="31" ref="K120">SUM(K118:K119)</f>
        <v>0</v>
      </c>
      <c r="L120" s="651">
        <f t="shared" si="32" ref="L120">SUM(L118:L119)</f>
        <v>0</v>
      </c>
      <c r="M120" s="651">
        <f t="shared" si="33" ref="M120">SUM(M118:M119)</f>
        <v>0</v>
      </c>
    </row>
    <row r="121" ht="16" thickTop="1"/>
    <row r="122" spans="15:15" ht="15.5">
      <c r="O122" s="3" t="s">
        <v>843</v>
      </c>
    </row>
    <row r="123" spans="15:15" ht="15.5">
      <c r="O123" s="463" t="s">
        <v>841</v>
      </c>
    </row>
    <row r="124" spans="15:15" ht="15.5">
      <c r="O124" s="3" t="str">
        <f>$O$3</f>
        <v>For the 12 months ended 12/31/2023</v>
      </c>
    </row>
    <row r="125" spans="3:13" ht="15.5">
      <c r="C125" s="619"/>
      <c r="E125" s="619"/>
      <c r="H125" s="642"/>
      <c r="I125" s="653"/>
      <c r="J125" s="642"/>
      <c r="M125" s="642"/>
    </row>
    <row r="126" spans="1:12" ht="15.5">
      <c r="A126" s="666" t="s">
        <v>364</v>
      </c>
      <c r="B126" s="666"/>
      <c r="C126" s="667"/>
      <c r="D126" s="667"/>
      <c r="E126" s="668"/>
      <c r="F126" s="668"/>
      <c r="G126" s="668"/>
      <c r="H126" s="669"/>
      <c r="I126" s="670"/>
      <c r="L126" s="670"/>
    </row>
    <row r="127" spans="1:12" ht="15.5">
      <c r="A127" s="671" t="s">
        <v>141</v>
      </c>
      <c r="B127" s="672" t="s">
        <v>855</v>
      </c>
      <c r="C127" s="667"/>
      <c r="D127" s="667"/>
      <c r="E127" s="673"/>
      <c r="F127" s="673"/>
      <c r="G127" s="673"/>
      <c r="H127" s="669"/>
      <c r="I127" s="670"/>
      <c r="L127" s="670"/>
    </row>
    <row r="128" spans="1:15" ht="83.4" customHeight="1">
      <c r="A128" s="671" t="s">
        <v>142</v>
      </c>
      <c r="B128" s="716" t="s">
        <v>865</v>
      </c>
      <c r="C128" s="716"/>
      <c r="D128" s="716"/>
      <c r="E128" s="716"/>
      <c r="F128" s="716"/>
      <c r="G128" s="716"/>
      <c r="H128" s="716"/>
      <c r="I128" s="716"/>
      <c r="J128" s="716"/>
      <c r="K128" s="716"/>
      <c r="L128" s="716"/>
      <c r="M128" s="716"/>
      <c r="N128" s="716"/>
      <c r="O128" s="716"/>
    </row>
    <row r="129" spans="1:12" ht="15.5">
      <c r="A129" s="671" t="s">
        <v>143</v>
      </c>
      <c r="B129" s="674" t="s">
        <v>858</v>
      </c>
      <c r="C129" s="674"/>
      <c r="D129" s="675"/>
      <c r="F129" s="675"/>
      <c r="G129" s="675"/>
      <c r="H129" s="676"/>
      <c r="I129" s="674"/>
      <c r="L129" s="674"/>
    </row>
  </sheetData>
  <mergeCells count="5">
    <mergeCell ref="F6:H6"/>
    <mergeCell ref="K6:M6"/>
    <mergeCell ref="F89:H89"/>
    <mergeCell ref="K89:M89"/>
    <mergeCell ref="B128:O128"/>
  </mergeCells>
  <pageMargins left="0.2" right="0.2" top="0.25" bottom="0.25" header="0.05" footer="0.05"/>
  <pageSetup fitToHeight="10" orientation="landscape" paperSize="7" scale="30" r:id="rId1"/>
  <rowBreaks count="2" manualBreakCount="2">
    <brk id="83" max="14" man="1"/>
    <brk id="121" max="1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P71"/>
  <sheetViews>
    <sheetView view="pageBreakPreview" zoomScale="80" zoomScaleNormal="85" zoomScaleSheetLayoutView="80" workbookViewId="0" topLeftCell="A1">
      <selection pane="topLeft" activeCell="B2" sqref="B2"/>
    </sheetView>
  </sheetViews>
  <sheetFormatPr defaultColWidth="8.91714285714286" defaultRowHeight="20.15" customHeight="1"/>
  <cols>
    <col min="1" max="1" width="5.42857142857143" style="371" customWidth="1"/>
    <col min="2" max="2" width="33.0714285714286" style="70" bestFit="1" customWidth="1"/>
    <col min="3" max="3" width="5.35714285714286" style="185" customWidth="1"/>
    <col min="4" max="4" width="3.07142857142857" style="70" bestFit="1" customWidth="1"/>
    <col min="5" max="5" width="13.5" style="76" bestFit="1" customWidth="1"/>
    <col min="6" max="6" width="14.4285714285714" style="76" customWidth="1"/>
    <col min="7" max="7" width="13.2142857142857" style="76" bestFit="1" customWidth="1"/>
    <col min="8" max="8" width="13.7142857142857" style="76" customWidth="1"/>
    <col min="9" max="9" width="13.2142857142857" style="76" bestFit="1" customWidth="1"/>
    <col min="10" max="11" width="14.3571428571429" style="70" bestFit="1" customWidth="1"/>
    <col min="12" max="12" width="15.5" style="70" customWidth="1"/>
    <col min="13" max="13" width="14.3571428571429" style="70" bestFit="1" customWidth="1"/>
    <col min="14" max="14" width="13.8571428571429" style="70" bestFit="1" customWidth="1"/>
    <col min="15" max="15" width="15.6428571428571" style="70" customWidth="1"/>
    <col min="16" max="16" width="13.8571428571429" style="70" bestFit="1" customWidth="1"/>
    <col min="17" max="16384" width="8.92857142857143" style="70"/>
  </cols>
  <sheetData>
    <row r="1" spans="1:16" ht="20.15" customHeight="1">
      <c r="A1" s="370"/>
      <c r="E1" s="433"/>
      <c r="F1" s="433"/>
      <c r="G1" s="433"/>
      <c r="H1" s="433"/>
      <c r="P1" s="3" t="s">
        <v>842</v>
      </c>
    </row>
    <row r="2" spans="1:16" s="200" customFormat="1" ht="20.15" customHeight="1">
      <c r="A2" s="371"/>
      <c r="B2" s="70"/>
      <c r="C2" s="185"/>
      <c r="D2" s="70"/>
      <c r="E2" s="431"/>
      <c r="F2" s="76"/>
      <c r="G2" s="76"/>
      <c r="H2" s="76"/>
      <c r="I2" s="76"/>
      <c r="J2" s="70"/>
      <c r="K2" s="70"/>
      <c r="L2" s="70"/>
      <c r="M2" s="70"/>
      <c r="N2" s="70"/>
      <c r="P2" s="116" t="s">
        <v>275</v>
      </c>
    </row>
    <row r="3" spans="1:16" s="200" customFormat="1" ht="20.15" customHeight="1">
      <c r="A3" s="371"/>
      <c r="B3" s="70"/>
      <c r="C3" s="185"/>
      <c r="D3" s="70"/>
      <c r="E3" s="78" t="s">
        <v>369</v>
      </c>
      <c r="F3" s="78" t="s">
        <v>370</v>
      </c>
      <c r="G3" s="78" t="s">
        <v>371</v>
      </c>
      <c r="H3" s="78" t="s">
        <v>372</v>
      </c>
      <c r="I3" s="78" t="s">
        <v>373</v>
      </c>
      <c r="J3" s="70"/>
      <c r="K3" s="78"/>
      <c r="L3" s="78"/>
      <c r="M3" s="78"/>
      <c r="N3" s="78"/>
      <c r="P3" s="3" t="str">
        <f>'Attachment H-21-A ATSI '!K4</f>
        <v>For the 12 months ended 12/31/2023</v>
      </c>
    </row>
    <row r="4" spans="1:14" s="200" customFormat="1" ht="20.15" customHeight="1">
      <c r="A4" s="371"/>
      <c r="B4" s="70"/>
      <c r="C4" s="185"/>
      <c r="D4" s="378" t="s">
        <v>363</v>
      </c>
      <c r="E4" s="76" t="s">
        <v>56</v>
      </c>
      <c r="F4" s="76" t="s">
        <v>593</v>
      </c>
      <c r="G4" s="76" t="s">
        <v>594</v>
      </c>
      <c r="H4" s="76" t="s">
        <v>595</v>
      </c>
      <c r="I4" s="76" t="s">
        <v>596</v>
      </c>
      <c r="J4" s="70"/>
      <c r="K4" s="70"/>
      <c r="L4" s="70"/>
      <c r="M4" s="70"/>
      <c r="N4" s="70"/>
    </row>
    <row r="5" spans="1:14" s="200" customFormat="1" ht="20.15" customHeight="1">
      <c r="A5" s="371"/>
      <c r="B5" s="70" t="s">
        <v>772</v>
      </c>
      <c r="C5" s="185"/>
      <c r="D5" s="378"/>
      <c r="E5" s="76"/>
      <c r="F5" s="76"/>
      <c r="G5" s="76"/>
      <c r="H5" s="76"/>
      <c r="I5" s="76"/>
      <c r="J5" s="70"/>
      <c r="K5" s="70"/>
      <c r="L5" s="70"/>
      <c r="M5" s="70"/>
      <c r="N5" s="70"/>
    </row>
    <row r="6" spans="1:14" s="200" customFormat="1" ht="20.15" customHeight="1">
      <c r="A6" s="371">
        <v>1</v>
      </c>
      <c r="B6" s="83" t="s">
        <v>375</v>
      </c>
      <c r="C6" s="185">
        <f>C7-1</f>
        <v>2022</v>
      </c>
      <c r="D6" s="378"/>
      <c r="E6" s="369"/>
      <c r="F6" s="369">
        <f>'WP03-B - ADIT Detail'!C215</f>
        <v>712139774.08000016</v>
      </c>
      <c r="G6" s="369">
        <f>'WP03-B - ADIT Detail'!C297+'WP03-B - ADIT Detail'!I297</f>
        <v>73039738.75</v>
      </c>
      <c r="H6" s="369">
        <f>'WP03-B - ADIT Detail'!C107+'WP03-B - ADIT Detail'!I107</f>
        <v>218937141.03449568</v>
      </c>
      <c r="I6" s="369"/>
      <c r="J6" s="70"/>
      <c r="K6" s="70"/>
      <c r="L6" s="70"/>
      <c r="M6" s="70"/>
      <c r="N6" s="70"/>
    </row>
    <row r="7" spans="1:14" s="200" customFormat="1" ht="20.15" customHeight="1">
      <c r="A7" s="371">
        <v>2</v>
      </c>
      <c r="B7" s="83" t="s">
        <v>375</v>
      </c>
      <c r="C7" s="183">
        <f>'WP01 Plant'!C18</f>
        <v>2023</v>
      </c>
      <c r="D7" s="378"/>
      <c r="E7" s="369"/>
      <c r="F7" s="369">
        <f>'WP03-B - ADIT Detail'!G215</f>
        <v>753453356.77999997</v>
      </c>
      <c r="G7" s="369">
        <f>'WP03-B - ADIT Detail'!G297+'WP03-B - ADIT Detail'!J297</f>
        <v>74128084.75</v>
      </c>
      <c r="H7" s="369">
        <f>'WP03-B - ADIT Detail'!G107+'WP03-B - ADIT Detail'!J107</f>
        <v>219675353.09999999</v>
      </c>
      <c r="I7" s="369"/>
      <c r="J7" s="70"/>
      <c r="K7" s="70"/>
      <c r="L7" s="70"/>
      <c r="M7" s="70"/>
      <c r="N7" s="70"/>
    </row>
    <row r="8" spans="1:14" s="200" customFormat="1" ht="20.15" customHeight="1">
      <c r="A8" s="371"/>
      <c r="B8" s="70"/>
      <c r="C8" s="185"/>
      <c r="D8" s="378"/>
      <c r="E8" s="76"/>
      <c r="F8" s="76"/>
      <c r="G8" s="76"/>
      <c r="H8" s="76"/>
      <c r="I8" s="76"/>
      <c r="J8" s="70"/>
      <c r="K8" s="70"/>
      <c r="L8" s="70"/>
      <c r="M8" s="70"/>
      <c r="N8" s="70"/>
    </row>
    <row r="9" spans="1:14" s="200" customFormat="1" ht="20.15" customHeight="1">
      <c r="A9" s="371"/>
      <c r="B9" s="83" t="s">
        <v>793</v>
      </c>
      <c r="C9" s="185"/>
      <c r="D9" s="378"/>
      <c r="E9" s="76"/>
      <c r="F9" s="76"/>
      <c r="G9" s="76"/>
      <c r="H9" s="76"/>
      <c r="I9" s="76"/>
      <c r="J9" s="70"/>
      <c r="K9" s="70"/>
      <c r="L9" s="70"/>
      <c r="M9" s="70"/>
      <c r="N9" s="70"/>
    </row>
    <row r="10" spans="1:14" s="200" customFormat="1" ht="20.15" customHeight="1">
      <c r="A10" s="371">
        <v>3</v>
      </c>
      <c r="B10" s="83" t="s">
        <v>375</v>
      </c>
      <c r="C10" s="185">
        <f>C7</f>
        <v>2023</v>
      </c>
      <c r="D10" s="70"/>
      <c r="E10" s="369"/>
      <c r="F10" s="380">
        <f>'WP03-B - ADIT Detail'!G215</f>
        <v>753453356.77999997</v>
      </c>
      <c r="G10" s="380">
        <f>'WP03-B - ADIT Detail'!G297</f>
        <v>55384006.75</v>
      </c>
      <c r="H10" s="380">
        <f>'WP03-B - ADIT Detail'!G107</f>
        <v>203271196</v>
      </c>
      <c r="I10" s="369"/>
      <c r="J10" s="379"/>
      <c r="K10" s="379"/>
      <c r="L10" s="379"/>
      <c r="M10" s="379"/>
      <c r="N10" s="379"/>
    </row>
    <row r="11" spans="1:14" s="200" customFormat="1" ht="20.15" customHeight="1">
      <c r="A11" s="371"/>
      <c r="B11" s="83"/>
      <c r="C11" s="185"/>
      <c r="D11" s="70"/>
      <c r="E11" s="380"/>
      <c r="F11" s="380"/>
      <c r="G11" s="380"/>
      <c r="H11" s="380"/>
      <c r="I11" s="380"/>
      <c r="J11" s="379"/>
      <c r="K11" s="381"/>
      <c r="L11" s="381"/>
      <c r="M11" s="381"/>
      <c r="N11" s="381"/>
    </row>
    <row r="12" spans="1:14" s="200" customFormat="1" ht="20.15" customHeight="1">
      <c r="A12" s="371"/>
      <c r="B12" s="83" t="s">
        <v>794</v>
      </c>
      <c r="C12" s="185"/>
      <c r="D12" s="70"/>
      <c r="E12" s="380"/>
      <c r="F12" s="380"/>
      <c r="G12" s="380"/>
      <c r="H12" s="380"/>
      <c r="I12" s="380"/>
      <c r="J12" s="379"/>
      <c r="K12" s="381"/>
      <c r="L12" s="381"/>
      <c r="M12" s="381"/>
      <c r="N12" s="381"/>
    </row>
    <row r="13" spans="1:14" s="200" customFormat="1" ht="20.15" customHeight="1">
      <c r="A13" s="371">
        <v>4</v>
      </c>
      <c r="B13" s="83" t="s">
        <v>375</v>
      </c>
      <c r="C13" s="185">
        <f>C14-1</f>
        <v>2022</v>
      </c>
      <c r="D13" s="70"/>
      <c r="E13" s="369"/>
      <c r="F13" s="380">
        <f>'WP03-B - ADIT Detail'!I215</f>
        <v>0</v>
      </c>
      <c r="G13" s="380">
        <f>'WP03-B - ADIT Detail'!I297</f>
        <v>20094975</v>
      </c>
      <c r="H13" s="380">
        <f>'WP03-B - ADIT Detail'!I107</f>
        <v>16015108.03449568</v>
      </c>
      <c r="I13" s="369"/>
      <c r="J13" s="381"/>
      <c r="K13" s="381"/>
      <c r="L13" s="381"/>
      <c r="M13" s="381"/>
      <c r="N13" s="381"/>
    </row>
    <row r="14" spans="1:14" s="200" customFormat="1" ht="20.15" customHeight="1">
      <c r="A14" s="371">
        <v>5</v>
      </c>
      <c r="B14" s="83" t="s">
        <v>375</v>
      </c>
      <c r="C14" s="185">
        <f>C10</f>
        <v>2023</v>
      </c>
      <c r="D14" s="70"/>
      <c r="E14" s="369"/>
      <c r="F14" s="380">
        <f>'WP03-B - ADIT Detail'!J215</f>
        <v>0</v>
      </c>
      <c r="G14" s="380">
        <f>'WP03-B - ADIT Detail'!J297</f>
        <v>18744078</v>
      </c>
      <c r="H14" s="380">
        <f>'WP03-B - ADIT Detail'!J107</f>
        <v>16404157.1</v>
      </c>
      <c r="I14" s="369"/>
      <c r="J14" s="379"/>
      <c r="K14" s="70"/>
      <c r="L14" s="70"/>
      <c r="M14" s="70"/>
      <c r="N14" s="70"/>
    </row>
    <row r="15" spans="1:14" s="200" customFormat="1" ht="20.15" customHeight="1" thickBot="1">
      <c r="A15" s="371"/>
      <c r="B15" s="83"/>
      <c r="C15" s="185"/>
      <c r="D15" s="70"/>
      <c r="E15" s="380"/>
      <c r="F15" s="380"/>
      <c r="G15" s="380"/>
      <c r="H15" s="380"/>
      <c r="I15" s="380"/>
      <c r="J15" s="381"/>
      <c r="K15" s="70"/>
      <c r="L15" s="70"/>
      <c r="M15" s="70"/>
      <c r="N15" s="70"/>
    </row>
    <row r="16" spans="1:14" s="200" customFormat="1" ht="20.15" customHeight="1">
      <c r="A16" s="372" t="s">
        <v>699</v>
      </c>
      <c r="B16" s="201"/>
      <c r="C16" s="362"/>
      <c r="D16" s="202"/>
      <c r="E16" s="382"/>
      <c r="F16" s="382"/>
      <c r="G16" s="382"/>
      <c r="H16" s="382"/>
      <c r="I16" s="382"/>
      <c r="J16" s="383"/>
      <c r="K16" s="384"/>
      <c r="L16" s="381"/>
      <c r="M16" s="381"/>
      <c r="N16" s="381"/>
    </row>
    <row r="17" spans="1:14" s="200" customFormat="1" ht="20.15" customHeight="1" thickBot="1">
      <c r="A17" s="373" t="s">
        <v>597</v>
      </c>
      <c r="B17" s="203"/>
      <c r="C17" s="363"/>
      <c r="D17" s="204"/>
      <c r="E17" s="385"/>
      <c r="F17" s="385"/>
      <c r="G17" s="385"/>
      <c r="H17" s="385"/>
      <c r="I17" s="385"/>
      <c r="J17" s="386"/>
      <c r="K17" s="387"/>
      <c r="L17" s="381"/>
      <c r="M17" s="381"/>
      <c r="N17" s="381"/>
    </row>
    <row r="18" spans="1:14" s="200" customFormat="1" ht="20.15" customHeight="1">
      <c r="A18" s="374"/>
      <c r="B18" s="70"/>
      <c r="C18" s="185"/>
      <c r="D18" s="70"/>
      <c r="E18" s="78" t="s">
        <v>376</v>
      </c>
      <c r="F18" s="78" t="s">
        <v>376</v>
      </c>
      <c r="G18" s="78" t="s">
        <v>376</v>
      </c>
      <c r="H18" s="78"/>
      <c r="I18" s="78" t="s">
        <v>376</v>
      </c>
      <c r="J18" s="70"/>
      <c r="K18" s="205" t="s">
        <v>11</v>
      </c>
      <c r="L18" s="70"/>
      <c r="M18" s="70"/>
      <c r="N18" s="70"/>
    </row>
    <row r="19" spans="1:14" s="200" customFormat="1" ht="20.15" customHeight="1">
      <c r="A19" s="374"/>
      <c r="B19" s="70"/>
      <c r="C19" s="185"/>
      <c r="D19" s="378"/>
      <c r="E19" s="76"/>
      <c r="F19" s="76" t="s">
        <v>377</v>
      </c>
      <c r="G19" s="76" t="s">
        <v>506</v>
      </c>
      <c r="H19" s="76" t="s">
        <v>547</v>
      </c>
      <c r="I19" s="76" t="s">
        <v>550</v>
      </c>
      <c r="J19" s="70"/>
      <c r="K19" s="206"/>
      <c r="L19" s="70"/>
      <c r="M19" s="70"/>
      <c r="N19" s="70"/>
    </row>
    <row r="20" spans="1:14" s="200" customFormat="1" ht="20.15" customHeight="1">
      <c r="A20" s="374"/>
      <c r="B20" s="83" t="s">
        <v>793</v>
      </c>
      <c r="C20" s="185"/>
      <c r="D20" s="378"/>
      <c r="E20" s="76"/>
      <c r="F20" s="76"/>
      <c r="G20" s="76"/>
      <c r="H20" s="76"/>
      <c r="I20" s="76"/>
      <c r="J20" s="70"/>
      <c r="K20" s="206"/>
      <c r="L20" s="70"/>
      <c r="M20" s="70"/>
      <c r="N20" s="70"/>
    </row>
    <row r="21" spans="1:14" s="200" customFormat="1" ht="20.15" customHeight="1">
      <c r="A21" s="374">
        <v>6</v>
      </c>
      <c r="B21" s="83" t="s">
        <v>375</v>
      </c>
      <c r="C21" s="185">
        <f>C10</f>
        <v>2023</v>
      </c>
      <c r="D21" s="70"/>
      <c r="E21" s="388">
        <f>-(E10)</f>
        <v>0</v>
      </c>
      <c r="F21" s="388">
        <f>-(F10-SUM(E39:M39))</f>
        <v>-996174365.96599293</v>
      </c>
      <c r="G21" s="388">
        <f>-(G10-SUM(E50:J50))</f>
        <v>-30233397.194520544</v>
      </c>
      <c r="H21" s="388">
        <f>H10-SUM(E61:K61)</f>
        <v>103984377.08445206</v>
      </c>
      <c r="I21" s="388">
        <f>-(I10)</f>
        <v>0</v>
      </c>
      <c r="J21" s="389"/>
      <c r="K21" s="390"/>
      <c r="L21" s="379"/>
      <c r="M21" s="379"/>
      <c r="N21" s="379"/>
    </row>
    <row r="22" spans="1:14" s="200" customFormat="1" ht="20.15" customHeight="1">
      <c r="A22" s="374"/>
      <c r="B22" s="83"/>
      <c r="C22" s="185"/>
      <c r="D22" s="70"/>
      <c r="E22" s="388"/>
      <c r="F22" s="388"/>
      <c r="G22" s="388"/>
      <c r="H22" s="388"/>
      <c r="I22" s="388"/>
      <c r="J22" s="391"/>
      <c r="K22" s="392"/>
      <c r="L22" s="381"/>
      <c r="M22" s="381"/>
      <c r="N22" s="381"/>
    </row>
    <row r="23" spans="1:14" s="200" customFormat="1" ht="20.15" customHeight="1">
      <c r="A23" s="374"/>
      <c r="B23" s="83" t="s">
        <v>794</v>
      </c>
      <c r="C23" s="185"/>
      <c r="D23" s="70"/>
      <c r="E23" s="388"/>
      <c r="F23" s="388"/>
      <c r="G23" s="388"/>
      <c r="H23" s="388"/>
      <c r="I23" s="388"/>
      <c r="J23" s="391"/>
      <c r="K23" s="392"/>
      <c r="L23" s="381"/>
      <c r="M23" s="381"/>
      <c r="N23" s="381"/>
    </row>
    <row r="24" spans="1:14" s="200" customFormat="1" ht="20.15" customHeight="1">
      <c r="A24" s="374">
        <v>7</v>
      </c>
      <c r="B24" s="83" t="s">
        <v>375</v>
      </c>
      <c r="C24" s="185">
        <f>C13</f>
        <v>2022</v>
      </c>
      <c r="D24" s="70"/>
      <c r="E24" s="388">
        <f>-(E13)</f>
        <v>0</v>
      </c>
      <c r="F24" s="388">
        <f>-(F13-SUM(E42:L42))</f>
        <v>0</v>
      </c>
      <c r="G24" s="388">
        <f>-(G13-SUM(E53:I53))</f>
        <v>-23351869.313395269</v>
      </c>
      <c r="H24" s="388">
        <f>H13-SUM(E64:J64)</f>
        <v>50144253.357767664</v>
      </c>
      <c r="I24" s="388">
        <f>-(I13)</f>
        <v>0</v>
      </c>
      <c r="J24" s="389"/>
      <c r="K24" s="390"/>
      <c r="L24" s="379"/>
      <c r="M24" s="379"/>
      <c r="N24" s="379"/>
    </row>
    <row r="25" spans="1:14" s="200" customFormat="1" ht="20.15" customHeight="1">
      <c r="A25" s="374">
        <v>8</v>
      </c>
      <c r="B25" s="83" t="s">
        <v>375</v>
      </c>
      <c r="C25" s="185">
        <f>C14</f>
        <v>2023</v>
      </c>
      <c r="D25" s="70"/>
      <c r="E25" s="388">
        <f>-(E14)</f>
        <v>0</v>
      </c>
      <c r="F25" s="388">
        <f>-(F14-SUM(E43:L43))</f>
        <v>0</v>
      </c>
      <c r="G25" s="388">
        <f>-(G14-SUM(E54:I54))</f>
        <v>-21348256.459238198</v>
      </c>
      <c r="H25" s="388">
        <f>H14-SUM(E65:J65)</f>
        <v>47351539.229663581</v>
      </c>
      <c r="I25" s="388">
        <f>-(I14)</f>
        <v>0</v>
      </c>
      <c r="J25" s="389"/>
      <c r="K25" s="390"/>
      <c r="L25" s="379"/>
      <c r="M25" s="379"/>
      <c r="N25" s="379"/>
    </row>
    <row r="26" spans="1:14" s="200" customFormat="1" ht="20.15" customHeight="1">
      <c r="A26" s="374"/>
      <c r="B26" s="70"/>
      <c r="C26" s="185"/>
      <c r="D26" s="70"/>
      <c r="E26" s="393"/>
      <c r="F26" s="393"/>
      <c r="G26" s="393"/>
      <c r="H26" s="393"/>
      <c r="I26" s="393"/>
      <c r="J26" s="389"/>
      <c r="K26" s="390"/>
      <c r="L26" s="379"/>
      <c r="M26" s="379"/>
      <c r="N26" s="379"/>
    </row>
    <row r="27" spans="1:14" s="200" customFormat="1" ht="20.15" customHeight="1" thickBot="1">
      <c r="A27" s="377">
        <v>9</v>
      </c>
      <c r="B27" s="207" t="s">
        <v>879</v>
      </c>
      <c r="C27" s="364"/>
      <c r="D27" s="207"/>
      <c r="E27" s="394">
        <f>E21+AVERAGE(E24:E25)</f>
        <v>0</v>
      </c>
      <c r="F27" s="394">
        <f>F21+AVERAGE(F24:F25)</f>
        <v>-996174365.96599293</v>
      </c>
      <c r="G27" s="394">
        <f t="shared" si="0" ref="G27:H27">G21+AVERAGE(G24:G25)</f>
        <v>-52583460.08083728</v>
      </c>
      <c r="H27" s="394">
        <f t="shared" si="0"/>
        <v>152732273.37816769</v>
      </c>
      <c r="I27" s="394">
        <f>I21+AVERAGE(I24:I25)</f>
        <v>0</v>
      </c>
      <c r="J27" s="394"/>
      <c r="K27" s="395">
        <f>SUM(E27:I27)</f>
        <v>-896025552.66866255</v>
      </c>
      <c r="L27" s="396"/>
      <c r="M27" s="380"/>
      <c r="N27" s="380"/>
    </row>
    <row r="32" spans="1:14" s="200" customFormat="1" ht="20.15" customHeight="1">
      <c r="A32" s="185" t="s">
        <v>364</v>
      </c>
      <c r="B32" s="70"/>
      <c r="C32" s="185"/>
      <c r="D32" s="76"/>
      <c r="E32" s="76"/>
      <c r="F32" s="76"/>
      <c r="G32" s="76"/>
      <c r="H32" s="76"/>
      <c r="I32" s="70"/>
      <c r="J32" s="70"/>
      <c r="K32" s="70"/>
      <c r="L32" s="70"/>
      <c r="M32" s="70"/>
      <c r="N32" s="70"/>
    </row>
    <row r="33" spans="1:14" s="200" customFormat="1" ht="20.15" customHeight="1">
      <c r="A33" s="371" t="s">
        <v>363</v>
      </c>
      <c r="B33" s="719" t="s">
        <v>809</v>
      </c>
      <c r="C33" s="719"/>
      <c r="D33" s="719"/>
      <c r="E33" s="719"/>
      <c r="F33" s="719"/>
      <c r="G33" s="719"/>
      <c r="H33" s="719"/>
      <c r="I33" s="719"/>
      <c r="J33" s="719"/>
      <c r="K33" s="719"/>
      <c r="L33" s="360"/>
      <c r="M33" s="360"/>
      <c r="N33" s="70"/>
    </row>
    <row r="34" spans="1:13" ht="20.15" customHeight="1">
      <c r="A34" s="371" t="s">
        <v>377</v>
      </c>
      <c r="B34" s="719" t="s">
        <v>551</v>
      </c>
      <c r="C34" s="719"/>
      <c r="D34" s="719"/>
      <c r="E34" s="719"/>
      <c r="F34" s="719"/>
      <c r="G34" s="719"/>
      <c r="H34" s="719"/>
      <c r="I34" s="719"/>
      <c r="J34" s="719"/>
      <c r="K34" s="719"/>
      <c r="L34" s="360"/>
      <c r="M34" s="360"/>
    </row>
    <row r="35" spans="2:10" ht="20.15" customHeight="1">
      <c r="B35" s="360"/>
      <c r="C35" s="365"/>
      <c r="D35" s="360"/>
      <c r="E35" s="70"/>
      <c r="F35" s="76" t="s">
        <v>538</v>
      </c>
      <c r="G35" s="360"/>
      <c r="H35" s="360"/>
      <c r="I35" s="76" t="s">
        <v>676</v>
      </c>
      <c r="J35" s="76" t="s">
        <v>545</v>
      </c>
    </row>
    <row r="36" spans="2:14" ht="20.15" customHeight="1">
      <c r="B36" s="360"/>
      <c r="C36" s="365"/>
      <c r="D36" s="360"/>
      <c r="E36" s="360" t="s">
        <v>539</v>
      </c>
      <c r="F36" s="76" t="s">
        <v>540</v>
      </c>
      <c r="G36" s="76" t="s">
        <v>541</v>
      </c>
      <c r="H36" s="360"/>
      <c r="I36" s="76" t="s">
        <v>677</v>
      </c>
      <c r="J36" s="76" t="s">
        <v>598</v>
      </c>
      <c r="K36" s="76" t="s">
        <v>578</v>
      </c>
      <c r="L36" s="76"/>
      <c r="M36" s="76"/>
      <c r="N36" s="76"/>
    </row>
    <row r="37" spans="2:16" ht="20.15" customHeight="1">
      <c r="B37" s="360"/>
      <c r="C37" s="365"/>
      <c r="D37" s="360"/>
      <c r="E37" s="174" t="s">
        <v>542</v>
      </c>
      <c r="F37" s="174" t="s">
        <v>542</v>
      </c>
      <c r="G37" s="174" t="s">
        <v>543</v>
      </c>
      <c r="H37" s="174" t="s">
        <v>544</v>
      </c>
      <c r="I37" s="174" t="s">
        <v>678</v>
      </c>
      <c r="J37" s="174" t="s">
        <v>599</v>
      </c>
      <c r="K37" s="174" t="s">
        <v>579</v>
      </c>
      <c r="L37" s="174" t="s">
        <v>600</v>
      </c>
      <c r="M37" s="174" t="s">
        <v>810</v>
      </c>
      <c r="O37" s="76" t="s">
        <v>880</v>
      </c>
      <c r="P37" s="76" t="s">
        <v>881</v>
      </c>
    </row>
    <row r="38" spans="2:16" ht="20.15" customHeight="1">
      <c r="B38" s="83" t="s">
        <v>793</v>
      </c>
      <c r="C38" s="365"/>
      <c r="D38" s="360"/>
      <c r="E38" s="174"/>
      <c r="F38" s="174"/>
      <c r="G38" s="174"/>
      <c r="H38" s="174"/>
      <c r="I38" s="174"/>
      <c r="J38" s="174"/>
      <c r="K38" s="174"/>
      <c r="L38" s="174"/>
      <c r="M38" s="174"/>
      <c r="P38" s="173"/>
    </row>
    <row r="39" spans="1:16" s="173" customFormat="1" ht="20.15" customHeight="1">
      <c r="A39" s="371">
        <v>10</v>
      </c>
      <c r="B39" s="83" t="s">
        <v>375</v>
      </c>
      <c r="C39" s="175">
        <f>C21</f>
        <v>2023</v>
      </c>
      <c r="D39" s="360"/>
      <c r="E39" s="366">
        <f t="array" ref="E39:L39">TRANSPOSE('WP03-B - ADIT Detail'!G219:G226)</f>
        <v>809.19999999999993</v>
      </c>
      <c r="F39" s="366">
        <v>0</v>
      </c>
      <c r="G39" s="366">
        <v>0</v>
      </c>
      <c r="H39" s="366">
        <v>0</v>
      </c>
      <c r="I39" s="367">
        <v>0</v>
      </c>
      <c r="J39" s="366">
        <v>-265182687.19999978</v>
      </c>
      <c r="K39" s="381">
        <v>0</v>
      </c>
      <c r="L39" s="381">
        <v>367.98000000000002</v>
      </c>
      <c r="M39" s="381">
        <f>'WP03-A - ADIT Norm'!J41</f>
        <v>22460500.834006846</v>
      </c>
      <c r="O39" s="430">
        <v>-293389158.65930009</v>
      </c>
      <c r="P39" s="430">
        <v>28206471.459300309</v>
      </c>
    </row>
    <row r="40" spans="1:3" s="0" customFormat="1" ht="20.15" customHeight="1">
      <c r="A40" s="397"/>
      <c r="B40" s="83"/>
      <c r="C40" s="397"/>
    </row>
    <row r="41" spans="1:3" s="0" customFormat="1" ht="20.15" customHeight="1">
      <c r="A41" s="397"/>
      <c r="B41" s="83" t="s">
        <v>794</v>
      </c>
      <c r="C41" s="397"/>
    </row>
    <row r="42" spans="1:12" s="0" customFormat="1" ht="20.15" customHeight="1">
      <c r="A42" s="398">
        <v>11</v>
      </c>
      <c r="B42" s="83" t="s">
        <v>375</v>
      </c>
      <c r="C42" s="175">
        <f>C13</f>
        <v>2022</v>
      </c>
      <c r="E42" s="366">
        <f t="array" ref="E42:L42">TRANSPOSE('WP03-B - ADIT Detail'!I219:I226)</f>
        <v>0</v>
      </c>
      <c r="F42" s="366">
        <v>0</v>
      </c>
      <c r="G42" s="366">
        <v>0</v>
      </c>
      <c r="H42" s="366">
        <v>0</v>
      </c>
      <c r="I42" s="366">
        <v>0</v>
      </c>
      <c r="J42" s="366">
        <v>0</v>
      </c>
      <c r="K42" s="366">
        <v>0</v>
      </c>
      <c r="L42" s="366">
        <v>0</v>
      </c>
    </row>
    <row r="43" spans="1:16" s="0" customFormat="1" ht="20.15" customHeight="1">
      <c r="A43" s="398">
        <v>12</v>
      </c>
      <c r="B43" s="83" t="s">
        <v>375</v>
      </c>
      <c r="C43" s="175">
        <f>C14</f>
        <v>2023</v>
      </c>
      <c r="E43" s="366">
        <f t="array" ref="E43:L43">TRANSPOSE('WP03-B - ADIT Detail'!J219:J226)</f>
        <v>0</v>
      </c>
      <c r="F43" s="366">
        <v>0</v>
      </c>
      <c r="G43" s="366">
        <v>0</v>
      </c>
      <c r="H43" s="366">
        <v>0</v>
      </c>
      <c r="I43" s="366">
        <v>0</v>
      </c>
      <c r="J43" s="366">
        <v>0</v>
      </c>
      <c r="K43" s="366">
        <v>0</v>
      </c>
      <c r="L43" s="366">
        <v>0</v>
      </c>
      <c r="O43" s="430"/>
      <c r="P43" s="430"/>
    </row>
    <row r="44" spans="1:3" s="0" customFormat="1" ht="20.15" customHeight="1">
      <c r="A44" s="397"/>
      <c r="C44" s="397"/>
    </row>
    <row r="45" spans="1:13" s="173" customFormat="1" ht="20.15" customHeight="1">
      <c r="A45" s="371" t="s">
        <v>506</v>
      </c>
      <c r="B45" s="719" t="s">
        <v>546</v>
      </c>
      <c r="C45" s="719"/>
      <c r="D45" s="719"/>
      <c r="E45" s="719"/>
      <c r="F45" s="719"/>
      <c r="G45" s="719"/>
      <c r="H45" s="719"/>
      <c r="I45" s="719"/>
      <c r="J45" s="719"/>
      <c r="K45" s="719"/>
      <c r="L45" s="604"/>
      <c r="M45" s="360"/>
    </row>
    <row r="46" spans="2:10" ht="20.15" customHeight="1">
      <c r="B46" s="360"/>
      <c r="C46" s="365"/>
      <c r="D46" s="360"/>
      <c r="E46" s="70"/>
      <c r="F46" s="76" t="s">
        <v>538</v>
      </c>
      <c r="G46" s="360"/>
      <c r="H46" s="76" t="s">
        <v>676</v>
      </c>
      <c r="I46" s="76" t="s">
        <v>545</v>
      </c>
      <c r="J46" s="360"/>
    </row>
    <row r="47" spans="2:10" ht="20.15" customHeight="1">
      <c r="B47" s="360"/>
      <c r="C47" s="365"/>
      <c r="D47" s="360"/>
      <c r="E47" s="360" t="s">
        <v>539</v>
      </c>
      <c r="F47" s="76" t="s">
        <v>540</v>
      </c>
      <c r="G47" s="360"/>
      <c r="H47" s="76" t="s">
        <v>677</v>
      </c>
      <c r="I47" s="76" t="s">
        <v>598</v>
      </c>
      <c r="J47" s="360"/>
    </row>
    <row r="48" spans="2:13" ht="20.15" customHeight="1">
      <c r="B48" s="360"/>
      <c r="C48" s="365"/>
      <c r="D48" s="360"/>
      <c r="E48" s="174" t="s">
        <v>542</v>
      </c>
      <c r="F48" s="174" t="s">
        <v>542</v>
      </c>
      <c r="G48" s="174" t="s">
        <v>544</v>
      </c>
      <c r="H48" s="174" t="s">
        <v>678</v>
      </c>
      <c r="I48" s="174" t="s">
        <v>599</v>
      </c>
      <c r="J48" s="174" t="s">
        <v>810</v>
      </c>
      <c r="L48" s="76" t="s">
        <v>880</v>
      </c>
      <c r="M48" s="76" t="s">
        <v>881</v>
      </c>
    </row>
    <row r="49" spans="2:13" ht="20.15" customHeight="1">
      <c r="B49" s="83" t="s">
        <v>793</v>
      </c>
      <c r="C49" s="365"/>
      <c r="D49" s="360"/>
      <c r="E49" s="174"/>
      <c r="F49" s="174"/>
      <c r="G49" s="174"/>
      <c r="H49" s="174"/>
      <c r="I49" s="174"/>
      <c r="J49" s="174"/>
      <c r="M49" s="173"/>
    </row>
    <row r="50" spans="1:13" s="173" customFormat="1" ht="20.15" customHeight="1">
      <c r="A50" s="371">
        <v>13</v>
      </c>
      <c r="B50" s="83" t="s">
        <v>375</v>
      </c>
      <c r="C50" s="175">
        <f>C39</f>
        <v>2023</v>
      </c>
      <c r="D50" s="360"/>
      <c r="E50" s="366">
        <f t="array" ref="E50:I50">TRANSPOSE('WP03-B - ADIT Detail'!G301:G305)</f>
        <v>0</v>
      </c>
      <c r="F50" s="366">
        <v>0</v>
      </c>
      <c r="G50" s="367">
        <v>0</v>
      </c>
      <c r="H50" s="366">
        <v>6767694.7599999998</v>
      </c>
      <c r="I50" s="366">
        <v>17806029.240000002</v>
      </c>
      <c r="J50" s="381">
        <f>'WP03-A - ADIT Norm'!J43</f>
        <v>576885.55547945574</v>
      </c>
      <c r="K50" s="381"/>
      <c r="L50" s="430">
        <v>-74711908.287826911</v>
      </c>
      <c r="M50" s="430">
        <v>92517937.527826905</v>
      </c>
    </row>
    <row r="51" spans="1:13" s="173" customFormat="1" ht="20.15" customHeight="1">
      <c r="A51" s="371"/>
      <c r="B51" s="83"/>
      <c r="C51" s="397"/>
      <c r="D51" s="360"/>
      <c r="E51" s="366"/>
      <c r="F51" s="366"/>
      <c r="G51" s="367"/>
      <c r="H51" s="367"/>
      <c r="I51" s="366"/>
      <c r="L51" s="368"/>
      <c r="M51"/>
    </row>
    <row r="52" spans="1:13" s="173" customFormat="1" ht="20.15" customHeight="1">
      <c r="A52" s="371"/>
      <c r="B52" s="83" t="s">
        <v>794</v>
      </c>
      <c r="C52" s="397"/>
      <c r="D52" s="360"/>
      <c r="E52" s="366"/>
      <c r="F52" s="366"/>
      <c r="G52" s="367"/>
      <c r="H52" s="367"/>
      <c r="I52" s="366"/>
      <c r="J52" s="368"/>
      <c r="L52"/>
      <c r="M52"/>
    </row>
    <row r="53" spans="1:13" s="173" customFormat="1" ht="20.15" customHeight="1">
      <c r="A53" s="371">
        <v>14</v>
      </c>
      <c r="B53" s="83" t="s">
        <v>375</v>
      </c>
      <c r="C53" s="175">
        <f>C42</f>
        <v>2022</v>
      </c>
      <c r="D53" s="360"/>
      <c r="E53" s="366">
        <f t="array" ref="E53:I53">TRANSPOSE('WP03-B - ADIT Detail'!I301:I305)</f>
        <v>0</v>
      </c>
      <c r="F53" s="366">
        <v>0</v>
      </c>
      <c r="G53" s="366">
        <v>0</v>
      </c>
      <c r="H53" s="366">
        <v>0</v>
      </c>
      <c r="I53" s="366">
        <v>-3256894.3133952692</v>
      </c>
      <c r="J53" s="368"/>
      <c r="L53"/>
      <c r="M53"/>
    </row>
    <row r="54" spans="1:13" s="173" customFormat="1" ht="20.15" customHeight="1">
      <c r="A54" s="371">
        <v>15</v>
      </c>
      <c r="B54" s="83" t="s">
        <v>375</v>
      </c>
      <c r="C54" s="175">
        <f>C43</f>
        <v>2023</v>
      </c>
      <c r="D54" s="360"/>
      <c r="E54" s="366">
        <f t="array" ref="E54:I54">TRANSPOSE('WP03-B - ADIT Detail'!J301:J305)</f>
        <v>0</v>
      </c>
      <c r="F54" s="366">
        <v>0</v>
      </c>
      <c r="G54" s="366">
        <v>0</v>
      </c>
      <c r="H54" s="366">
        <v>0</v>
      </c>
      <c r="I54" s="366">
        <v>-2604178.4592381977</v>
      </c>
      <c r="J54" s="368"/>
      <c r="L54" s="430">
        <v>-2049930.5560000006</v>
      </c>
      <c r="M54" s="430">
        <v>-554247.90323819709</v>
      </c>
    </row>
    <row r="55" spans="1:14" s="173" customFormat="1" ht="20.15" customHeight="1">
      <c r="A55" s="371"/>
      <c r="B55" s="360"/>
      <c r="C55" s="175"/>
      <c r="D55" s="360"/>
      <c r="E55" s="366"/>
      <c r="F55" s="366"/>
      <c r="G55" s="367"/>
      <c r="H55" s="367"/>
      <c r="I55" s="366"/>
      <c r="J55" s="366"/>
      <c r="K55" s="368"/>
      <c r="N55" s="70"/>
    </row>
    <row r="56" spans="1:13" s="173" customFormat="1" ht="20.15" customHeight="1">
      <c r="A56" s="371" t="s">
        <v>547</v>
      </c>
      <c r="B56" s="719" t="s">
        <v>548</v>
      </c>
      <c r="C56" s="719"/>
      <c r="D56" s="719"/>
      <c r="E56" s="719"/>
      <c r="F56" s="719"/>
      <c r="G56" s="719"/>
      <c r="H56" s="719"/>
      <c r="I56" s="719"/>
      <c r="J56" s="719"/>
      <c r="K56" s="719"/>
      <c r="L56" s="360"/>
      <c r="M56" s="360"/>
    </row>
    <row r="57" spans="1:13" s="173" customFormat="1" ht="20.15" customHeight="1">
      <c r="A57" s="371"/>
      <c r="B57" s="360"/>
      <c r="C57" s="365"/>
      <c r="D57" s="360"/>
      <c r="E57" s="360"/>
      <c r="F57" s="360"/>
      <c r="G57" s="360"/>
      <c r="H57" s="360"/>
      <c r="I57" s="76" t="s">
        <v>676</v>
      </c>
      <c r="J57" s="76" t="s">
        <v>545</v>
      </c>
      <c r="K57" s="360"/>
      <c r="L57" s="360"/>
      <c r="M57" s="360"/>
    </row>
    <row r="58" spans="1:13" s="173" customFormat="1" ht="20.15" customHeight="1">
      <c r="A58" s="371"/>
      <c r="B58" s="360"/>
      <c r="C58" s="365"/>
      <c r="D58" s="360"/>
      <c r="F58" s="76" t="s">
        <v>538</v>
      </c>
      <c r="G58" s="70"/>
      <c r="H58" s="360"/>
      <c r="I58" s="76" t="s">
        <v>677</v>
      </c>
      <c r="J58" s="360" t="s">
        <v>598</v>
      </c>
      <c r="K58" s="70"/>
      <c r="L58" s="70"/>
      <c r="M58" s="70"/>
    </row>
    <row r="59" spans="1:14" s="173" customFormat="1" ht="20.15" customHeight="1">
      <c r="A59" s="371"/>
      <c r="B59" s="360"/>
      <c r="C59" s="365"/>
      <c r="D59" s="360"/>
      <c r="E59" s="178" t="s">
        <v>539</v>
      </c>
      <c r="F59" s="177" t="s">
        <v>540</v>
      </c>
      <c r="G59" s="178" t="s">
        <v>549</v>
      </c>
      <c r="H59" s="174" t="s">
        <v>544</v>
      </c>
      <c r="I59" s="174" t="s">
        <v>678</v>
      </c>
      <c r="J59" s="174" t="s">
        <v>599</v>
      </c>
      <c r="K59" s="174" t="s">
        <v>810</v>
      </c>
      <c r="L59" s="70"/>
      <c r="M59" s="76" t="s">
        <v>880</v>
      </c>
      <c r="N59" s="76" t="s">
        <v>881</v>
      </c>
    </row>
    <row r="60" spans="1:13" s="173" customFormat="1" ht="20.15" customHeight="1">
      <c r="A60" s="371"/>
      <c r="B60" s="83" t="s">
        <v>793</v>
      </c>
      <c r="C60" s="365"/>
      <c r="D60" s="360"/>
      <c r="E60" s="178"/>
      <c r="F60" s="177"/>
      <c r="G60" s="178"/>
      <c r="H60" s="174"/>
      <c r="I60" s="174"/>
      <c r="J60" s="174"/>
      <c r="K60" s="174"/>
      <c r="L60" s="70"/>
      <c r="M60" s="70"/>
    </row>
    <row r="61" spans="1:14" s="173" customFormat="1" ht="20.15" customHeight="1">
      <c r="A61" s="371">
        <v>16</v>
      </c>
      <c r="B61" s="83" t="s">
        <v>375</v>
      </c>
      <c r="C61" s="175">
        <f>C50</f>
        <v>2023</v>
      </c>
      <c r="D61" s="360"/>
      <c r="E61" s="366">
        <f t="array" ref="E61:J61">TRANSPOSE('WP03-B - ADIT Detail'!G111:G117)</f>
        <v>819802.47999999998</v>
      </c>
      <c r="F61" s="366">
        <v>0</v>
      </c>
      <c r="G61" s="366">
        <v>0</v>
      </c>
      <c r="H61" s="367">
        <v>0</v>
      </c>
      <c r="I61" s="366">
        <v>11236097.699999999</v>
      </c>
      <c r="J61" s="366">
        <v>87175103.529999971</v>
      </c>
      <c r="K61" s="381">
        <f>'WP03-A - ADIT Norm'!J39</f>
        <v>55815.205547958612</v>
      </c>
      <c r="L61" s="366"/>
      <c r="M61" s="430">
        <v>-5126913.4938999992</v>
      </c>
      <c r="N61" s="430">
        <v>92302017.023899972</v>
      </c>
    </row>
    <row r="62" spans="1:14" s="173" customFormat="1" ht="20.15" customHeight="1">
      <c r="A62" s="371"/>
      <c r="B62" s="83"/>
      <c r="C62" s="175"/>
      <c r="D62" s="360"/>
      <c r="E62" s="366"/>
      <c r="F62" s="366"/>
      <c r="G62" s="366"/>
      <c r="H62" s="367"/>
      <c r="I62" s="366"/>
      <c r="J62" s="366"/>
      <c r="K62" s="366"/>
      <c r="L62" s="366"/>
      <c r="M62"/>
      <c r="N62"/>
    </row>
    <row r="63" spans="1:14" s="173" customFormat="1" ht="20.15" customHeight="1">
      <c r="A63" s="371"/>
      <c r="B63" s="83" t="s">
        <v>794</v>
      </c>
      <c r="C63" s="175"/>
      <c r="D63" s="360"/>
      <c r="E63" s="366"/>
      <c r="F63" s="366"/>
      <c r="G63" s="366"/>
      <c r="H63" s="367"/>
      <c r="I63" s="366"/>
      <c r="J63" s="366"/>
      <c r="K63" s="366"/>
      <c r="L63" s="366"/>
      <c r="M63"/>
      <c r="N63"/>
    </row>
    <row r="64" spans="1:14" s="173" customFormat="1" ht="20.15" customHeight="1">
      <c r="A64" s="371">
        <v>17</v>
      </c>
      <c r="B64" s="83" t="s">
        <v>375</v>
      </c>
      <c r="C64" s="175">
        <f t="shared" si="1" ref="C64:C65">C53</f>
        <v>2022</v>
      </c>
      <c r="D64" s="360"/>
      <c r="E64" s="366">
        <f t="array" ref="E64:J64">TRANSPOSE('WP03-B - ADIT Detail'!I111:I117)</f>
        <v>0</v>
      </c>
      <c r="F64" s="366">
        <v>1171</v>
      </c>
      <c r="G64" s="366">
        <v>0</v>
      </c>
      <c r="H64" s="367">
        <v>3647</v>
      </c>
      <c r="I64" s="366">
        <v>0</v>
      </c>
      <c r="J64" s="366">
        <v>-34133963.323271982</v>
      </c>
      <c r="K64" s="366"/>
      <c r="L64" s="366"/>
      <c r="M64"/>
      <c r="N64"/>
    </row>
    <row r="65" spans="1:14" s="173" customFormat="1" ht="20.15" customHeight="1">
      <c r="A65" s="371">
        <v>18</v>
      </c>
      <c r="B65" s="83" t="s">
        <v>375</v>
      </c>
      <c r="C65" s="175">
        <f t="shared" si="1"/>
        <v>2023</v>
      </c>
      <c r="D65" s="360"/>
      <c r="E65" s="366">
        <f t="array" ref="E65:J65">TRANSPOSE('WP03-B - ADIT Detail'!J111:J117)</f>
        <v>0</v>
      </c>
      <c r="F65" s="366">
        <v>12291</v>
      </c>
      <c r="G65" s="366">
        <v>0</v>
      </c>
      <c r="H65" s="367">
        <v>0</v>
      </c>
      <c r="I65" s="366">
        <v>0</v>
      </c>
      <c r="J65" s="366">
        <v>-30959673.129663579</v>
      </c>
      <c r="K65" s="366"/>
      <c r="L65" s="366"/>
      <c r="M65" s="430">
        <v>-29487023.053973269</v>
      </c>
      <c r="N65" s="430">
        <v>-1472650.0756903104</v>
      </c>
    </row>
    <row r="66" spans="1:14" s="173" customFormat="1" ht="20.15" customHeight="1">
      <c r="A66" s="371"/>
      <c r="B66" s="360"/>
      <c r="C66" s="365"/>
      <c r="D66" s="360"/>
      <c r="E66" s="175"/>
      <c r="F66" s="176"/>
      <c r="G66" s="176"/>
      <c r="H66" s="360"/>
      <c r="I66" s="360"/>
      <c r="J66" s="360"/>
      <c r="K66" s="360"/>
      <c r="L66" s="360"/>
      <c r="M66" s="360"/>
      <c r="N66" s="360"/>
    </row>
    <row r="67" spans="1:16" ht="37.75" customHeight="1">
      <c r="A67" s="375" t="s">
        <v>550</v>
      </c>
      <c r="B67" s="717" t="s">
        <v>378</v>
      </c>
      <c r="C67" s="717"/>
      <c r="D67" s="717"/>
      <c r="E67" s="717"/>
      <c r="F67" s="717"/>
      <c r="G67" s="717"/>
      <c r="H67" s="717"/>
      <c r="I67" s="717"/>
      <c r="J67" s="717"/>
      <c r="K67" s="717"/>
      <c r="L67" s="717"/>
      <c r="M67" s="717"/>
      <c r="N67" s="717"/>
      <c r="O67" s="717"/>
      <c r="P67" s="717"/>
    </row>
    <row r="68" spans="1:16" ht="24.65" customHeight="1">
      <c r="A68" s="376" t="s">
        <v>611</v>
      </c>
      <c r="B68" s="718" t="s">
        <v>857</v>
      </c>
      <c r="C68" s="718"/>
      <c r="D68" s="718"/>
      <c r="E68" s="718"/>
      <c r="F68" s="718"/>
      <c r="G68" s="718"/>
      <c r="H68" s="718"/>
      <c r="I68" s="718"/>
      <c r="J68" s="718"/>
      <c r="K68" s="718"/>
      <c r="L68" s="718"/>
      <c r="M68" s="718"/>
      <c r="N68" s="718"/>
      <c r="O68" s="718"/>
      <c r="P68" s="718"/>
    </row>
    <row r="69" spans="1:6" ht="20.15" customHeight="1">
      <c r="A69" s="376" t="s">
        <v>612</v>
      </c>
      <c r="B69" s="70" t="s">
        <v>882</v>
      </c>
      <c r="F69" s="360"/>
    </row>
    <row r="70" spans="1:16" ht="33.65" customHeight="1">
      <c r="A70" s="371" t="s">
        <v>613</v>
      </c>
      <c r="B70" s="717" t="s">
        <v>792</v>
      </c>
      <c r="C70" s="717"/>
      <c r="D70" s="717"/>
      <c r="E70" s="717"/>
      <c r="F70" s="717"/>
      <c r="G70" s="717"/>
      <c r="H70" s="717"/>
      <c r="I70" s="717"/>
      <c r="J70" s="717"/>
      <c r="K70" s="717"/>
      <c r="L70" s="717"/>
      <c r="M70" s="717"/>
      <c r="N70" s="717"/>
      <c r="O70" s="717"/>
      <c r="P70" s="717"/>
    </row>
    <row r="71" spans="2:16" ht="20.15" customHeight="1">
      <c r="B71" s="717"/>
      <c r="C71" s="717"/>
      <c r="D71" s="717"/>
      <c r="E71" s="717"/>
      <c r="F71" s="717"/>
      <c r="G71" s="717"/>
      <c r="H71" s="717"/>
      <c r="I71" s="717"/>
      <c r="J71" s="717"/>
      <c r="K71" s="717"/>
      <c r="L71" s="717"/>
      <c r="M71" s="717"/>
      <c r="N71" s="717"/>
      <c r="O71" s="717"/>
      <c r="P71" s="717"/>
    </row>
  </sheetData>
  <mergeCells count="8">
    <mergeCell ref="B71:P71"/>
    <mergeCell ref="B70:P70"/>
    <mergeCell ref="B67:P67"/>
    <mergeCell ref="B68:P68"/>
    <mergeCell ref="B33:K33"/>
    <mergeCell ref="B34:K34"/>
    <mergeCell ref="B45:K45"/>
    <mergeCell ref="B56:K56"/>
  </mergeCells>
  <pageMargins left="0.7" right="0.7" top="0.75" bottom="0.75" header="0.3" footer="0.3"/>
  <pageSetup orientation="portrait" scale="3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J55"/>
  <sheetViews>
    <sheetView view="pageBreakPreview" zoomScale="65" zoomScaleNormal="70" zoomScaleSheetLayoutView="65" workbookViewId="0" topLeftCell="A1">
      <selection pane="topLeft" activeCell="G3" sqref="G3"/>
    </sheetView>
  </sheetViews>
  <sheetFormatPr defaultColWidth="8.91714285714286" defaultRowHeight="20.15" customHeight="1"/>
  <cols>
    <col min="1" max="1" width="18.8571428571429" style="115" customWidth="1"/>
    <col min="2" max="2" width="16.8571428571429" style="117" customWidth="1"/>
    <col min="3" max="3" width="9.92857142857143" style="117" customWidth="1"/>
    <col min="4" max="4" width="16.8571428571429" style="115" customWidth="1"/>
    <col min="5" max="9" width="15.8571428571429" style="115" customWidth="1"/>
    <col min="10" max="10" width="18.8571428571429" style="115" customWidth="1"/>
    <col min="11" max="16384" width="8.92857142857143" style="115"/>
  </cols>
  <sheetData>
    <row r="1" spans="1:10" ht="16.5" customHeight="1">
      <c r="A1" s="611"/>
      <c r="B1" s="611"/>
      <c r="C1" s="611"/>
      <c r="D1" s="611"/>
      <c r="E1" s="611"/>
      <c r="J1" s="116" t="s">
        <v>463</v>
      </c>
    </row>
    <row r="2" spans="1:10" ht="16.5" customHeight="1">
      <c r="A2" s="611"/>
      <c r="B2" s="611"/>
      <c r="C2" s="611"/>
      <c r="D2" s="611"/>
      <c r="E2" s="611"/>
      <c r="G2" s="593"/>
      <c r="H2" s="593"/>
      <c r="J2" s="116" t="s">
        <v>275</v>
      </c>
    </row>
    <row r="3" spans="1:10" ht="16.5" customHeight="1">
      <c r="A3" s="611"/>
      <c r="B3" s="611"/>
      <c r="C3" s="611"/>
      <c r="D3" s="611"/>
      <c r="E3" s="611"/>
      <c r="G3" s="593"/>
      <c r="H3" s="593"/>
      <c r="J3" s="116" t="str">
        <f>'Attachment H-21-A ATSI '!K4</f>
        <v>For the 12 months ended 12/31/2023</v>
      </c>
    </row>
    <row r="4" spans="1:8" ht="20.15" customHeight="1">
      <c r="A4" s="611"/>
      <c r="B4" s="611"/>
      <c r="C4" s="611"/>
      <c r="D4" s="611"/>
      <c r="E4" s="611"/>
      <c r="G4" s="593"/>
      <c r="H4" s="593"/>
    </row>
    <row r="5" spans="2:9" ht="20.15" customHeight="1">
      <c r="B5" s="720" t="s">
        <v>477</v>
      </c>
      <c r="C5" s="720"/>
      <c r="D5" s="720"/>
      <c r="E5" s="720"/>
      <c r="F5" s="720"/>
      <c r="G5" s="720"/>
      <c r="H5" s="720"/>
      <c r="I5" s="720"/>
    </row>
    <row r="6" spans="2:9" ht="20.15" customHeight="1">
      <c r="B6" s="720"/>
      <c r="C6" s="720"/>
      <c r="D6" s="720"/>
      <c r="E6" s="720"/>
      <c r="F6" s="720"/>
      <c r="G6" s="720"/>
      <c r="H6" s="720"/>
      <c r="I6" s="720"/>
    </row>
    <row r="7" ht="20.15" customHeight="1" thickBot="1"/>
    <row r="8" spans="1:9" s="143" customFormat="1" ht="95.4" customHeight="1">
      <c r="A8" s="115"/>
      <c r="B8" s="255" t="s">
        <v>990</v>
      </c>
      <c r="C8" s="145"/>
      <c r="D8" s="255" t="s">
        <v>989</v>
      </c>
      <c r="E8" s="145"/>
      <c r="F8" s="144" t="s">
        <v>683</v>
      </c>
      <c r="H8" s="142"/>
      <c r="I8" s="142"/>
    </row>
    <row r="9" spans="2:9" ht="20.15" customHeight="1">
      <c r="B9" s="121"/>
      <c r="C9" s="119"/>
      <c r="D9" s="121"/>
      <c r="E9" s="119"/>
      <c r="F9" s="122"/>
      <c r="H9" s="120"/>
      <c r="I9" s="120"/>
    </row>
    <row r="10" spans="2:9" ht="20.15" customHeight="1" thickBot="1">
      <c r="B10" s="256">
        <v>882068959.30227852</v>
      </c>
      <c r="C10" s="125" t="s">
        <v>641</v>
      </c>
      <c r="D10" s="256">
        <v>911631032.60480011</v>
      </c>
      <c r="E10" s="125" t="s">
        <v>108</v>
      </c>
      <c r="F10" s="270">
        <f>IF(B10=0,0,B10-D10)</f>
        <v>-29562073.302521586</v>
      </c>
      <c r="H10" s="592"/>
      <c r="I10" s="120"/>
    </row>
    <row r="11" spans="2:9" ht="20.15" customHeight="1" thickBot="1">
      <c r="B11" s="126"/>
      <c r="C11" s="127"/>
      <c r="D11" s="126"/>
      <c r="E11" s="127"/>
      <c r="F11" s="126"/>
      <c r="G11" s="128"/>
      <c r="H11" s="128"/>
      <c r="I11" s="128"/>
    </row>
    <row r="12" spans="2:9" ht="20.15" customHeight="1">
      <c r="B12" s="129"/>
      <c r="C12" s="123"/>
      <c r="D12" s="124"/>
      <c r="E12" s="123"/>
      <c r="F12" s="124"/>
      <c r="G12" s="120"/>
      <c r="H12" s="120"/>
      <c r="I12" s="120"/>
    </row>
    <row r="13" spans="2:9" ht="48" customHeight="1">
      <c r="B13" s="721"/>
      <c r="C13" s="721"/>
      <c r="D13" s="131" t="s">
        <v>684</v>
      </c>
      <c r="E13" s="131" t="s">
        <v>465</v>
      </c>
      <c r="F13" s="125" t="s">
        <v>466</v>
      </c>
      <c r="G13" s="132" t="s">
        <v>467</v>
      </c>
      <c r="H13" s="131" t="s">
        <v>468</v>
      </c>
      <c r="I13" s="131" t="s">
        <v>469</v>
      </c>
    </row>
    <row r="14" spans="2:9" ht="32.15" customHeight="1">
      <c r="B14" s="722" t="s">
        <v>575</v>
      </c>
      <c r="C14" s="722"/>
      <c r="D14" s="722"/>
      <c r="E14" s="257">
        <v>0.0066050000000000015</v>
      </c>
      <c r="F14" s="124"/>
      <c r="G14" s="120"/>
      <c r="H14" s="120"/>
      <c r="I14" s="120"/>
    </row>
    <row r="15" spans="2:9" ht="20.15" customHeight="1">
      <c r="B15" s="130"/>
      <c r="C15" s="123"/>
      <c r="D15" s="120"/>
      <c r="E15" s="133"/>
      <c r="F15" s="124"/>
      <c r="G15" s="120"/>
      <c r="H15" s="120"/>
      <c r="I15" s="120"/>
    </row>
    <row r="16" spans="2:9" ht="20.15" customHeight="1">
      <c r="B16" s="258" t="s">
        <v>991</v>
      </c>
      <c r="C16" s="259"/>
      <c r="D16" s="259"/>
      <c r="E16" s="259"/>
      <c r="F16" s="259"/>
      <c r="G16" s="259"/>
      <c r="H16" s="259"/>
      <c r="I16" s="120"/>
    </row>
    <row r="17" spans="2:9" ht="20.15" customHeight="1">
      <c r="B17" s="134" t="s">
        <v>3</v>
      </c>
      <c r="C17" s="123"/>
      <c r="D17" s="123"/>
      <c r="E17" s="123" t="s">
        <v>3</v>
      </c>
      <c r="F17" s="120"/>
      <c r="G17" s="120"/>
      <c r="H17" s="120"/>
      <c r="I17" s="120"/>
    </row>
    <row r="18" spans="2:9" ht="20.15" customHeight="1">
      <c r="B18" s="146" t="s">
        <v>470</v>
      </c>
      <c r="C18" s="123"/>
      <c r="D18" s="123"/>
      <c r="E18" s="120"/>
      <c r="F18" s="120"/>
      <c r="G18" s="125" t="s">
        <v>471</v>
      </c>
      <c r="H18" s="123"/>
      <c r="I18" s="123"/>
    </row>
    <row r="19" spans="2:9" ht="20.15" customHeight="1">
      <c r="B19" s="119" t="s">
        <v>333</v>
      </c>
      <c r="C19" s="260" t="s">
        <v>953</v>
      </c>
      <c r="D19" s="135">
        <f>+F10/12</f>
        <v>-2463506.1085434654</v>
      </c>
      <c r="E19" s="264">
        <f>+E14</f>
        <v>0.0066050000000000015</v>
      </c>
      <c r="F19" s="265">
        <v>12</v>
      </c>
      <c r="G19" s="135">
        <f t="shared" si="0" ref="G19:G30">E19*D19*F19*-1</f>
        <v>195257.49416315509</v>
      </c>
      <c r="H19" s="135"/>
      <c r="I19" s="135">
        <f t="shared" si="1" ref="I19:I30">(-G19+D19)*-1</f>
        <v>2658763.6027066205</v>
      </c>
    </row>
    <row r="20" spans="2:9" ht="20.15" customHeight="1">
      <c r="B20" s="119" t="s">
        <v>334</v>
      </c>
      <c r="C20" s="260" t="s">
        <v>953</v>
      </c>
      <c r="D20" s="135">
        <f>+D19</f>
        <v>-2463506.1085434654</v>
      </c>
      <c r="E20" s="264">
        <f>+E19</f>
        <v>0.0066050000000000015</v>
      </c>
      <c r="F20" s="266">
        <f t="shared" si="2" ref="F20:F30">+F19-1</f>
        <v>11</v>
      </c>
      <c r="G20" s="135">
        <f t="shared" si="0"/>
        <v>178986.03631622551</v>
      </c>
      <c r="H20" s="135"/>
      <c r="I20" s="135">
        <f t="shared" si="1"/>
        <v>2642492.1448596907</v>
      </c>
    </row>
    <row r="21" spans="2:9" ht="20.15" customHeight="1">
      <c r="B21" s="119" t="s">
        <v>335</v>
      </c>
      <c r="C21" s="260" t="s">
        <v>953</v>
      </c>
      <c r="D21" s="135">
        <f t="shared" si="3" ref="D21:E30">+D20</f>
        <v>-2463506.1085434654</v>
      </c>
      <c r="E21" s="264">
        <f t="shared" si="3"/>
        <v>0.0066050000000000015</v>
      </c>
      <c r="F21" s="266">
        <f t="shared" si="2"/>
        <v>10</v>
      </c>
      <c r="G21" s="135">
        <f t="shared" si="0"/>
        <v>162714.57846929593</v>
      </c>
      <c r="H21" s="135"/>
      <c r="I21" s="135">
        <f t="shared" si="1"/>
        <v>2626220.6870127614</v>
      </c>
    </row>
    <row r="22" spans="2:9" ht="20.15" customHeight="1">
      <c r="B22" s="119" t="s">
        <v>336</v>
      </c>
      <c r="C22" s="260" t="s">
        <v>953</v>
      </c>
      <c r="D22" s="135">
        <f t="shared" si="3"/>
        <v>-2463506.1085434654</v>
      </c>
      <c r="E22" s="264">
        <f t="shared" si="3"/>
        <v>0.0066050000000000015</v>
      </c>
      <c r="F22" s="266">
        <f t="shared" si="2"/>
        <v>9</v>
      </c>
      <c r="G22" s="135">
        <f t="shared" si="0"/>
        <v>146443.12062236632</v>
      </c>
      <c r="H22" s="135"/>
      <c r="I22" s="135">
        <f t="shared" si="1"/>
        <v>2609949.2291658316</v>
      </c>
    </row>
    <row r="23" spans="2:9" ht="20.15" customHeight="1">
      <c r="B23" s="119" t="s">
        <v>337</v>
      </c>
      <c r="C23" s="260" t="s">
        <v>953</v>
      </c>
      <c r="D23" s="135">
        <f t="shared" si="3"/>
        <v>-2463506.1085434654</v>
      </c>
      <c r="E23" s="264">
        <f t="shared" si="3"/>
        <v>0.0066050000000000015</v>
      </c>
      <c r="F23" s="266">
        <f t="shared" si="2"/>
        <v>8</v>
      </c>
      <c r="G23" s="135">
        <f t="shared" si="0"/>
        <v>130171.66277543674</v>
      </c>
      <c r="H23" s="135"/>
      <c r="I23" s="135">
        <f t="shared" si="1"/>
        <v>2593677.7713189023</v>
      </c>
    </row>
    <row r="24" spans="2:9" ht="20.15" customHeight="1">
      <c r="B24" s="119" t="s">
        <v>353</v>
      </c>
      <c r="C24" s="260" t="s">
        <v>953</v>
      </c>
      <c r="D24" s="135">
        <f t="shared" si="3"/>
        <v>-2463506.1085434654</v>
      </c>
      <c r="E24" s="264">
        <f t="shared" si="3"/>
        <v>0.0066050000000000015</v>
      </c>
      <c r="F24" s="266">
        <f t="shared" si="2"/>
        <v>7</v>
      </c>
      <c r="G24" s="135">
        <f t="shared" si="0"/>
        <v>113900.20492850714</v>
      </c>
      <c r="H24" s="135"/>
      <c r="I24" s="135">
        <f t="shared" si="1"/>
        <v>2577406.3134719725</v>
      </c>
    </row>
    <row r="25" spans="2:9" ht="20.15" customHeight="1">
      <c r="B25" s="119" t="s">
        <v>338</v>
      </c>
      <c r="C25" s="260" t="s">
        <v>953</v>
      </c>
      <c r="D25" s="135">
        <f t="shared" si="3"/>
        <v>-2463506.1085434654</v>
      </c>
      <c r="E25" s="264">
        <f t="shared" si="3"/>
        <v>0.0066050000000000015</v>
      </c>
      <c r="F25" s="266">
        <f t="shared" si="2"/>
        <v>6</v>
      </c>
      <c r="G25" s="135">
        <f t="shared" si="0"/>
        <v>97628.747081577545</v>
      </c>
      <c r="H25" s="135"/>
      <c r="I25" s="135">
        <f t="shared" si="1"/>
        <v>2561134.8556250427</v>
      </c>
    </row>
    <row r="26" spans="2:9" ht="20.15" customHeight="1">
      <c r="B26" s="119" t="s">
        <v>339</v>
      </c>
      <c r="C26" s="260" t="s">
        <v>953</v>
      </c>
      <c r="D26" s="135">
        <f t="shared" si="3"/>
        <v>-2463506.1085434654</v>
      </c>
      <c r="E26" s="264">
        <f t="shared" si="3"/>
        <v>0.0066050000000000015</v>
      </c>
      <c r="F26" s="266">
        <f t="shared" si="2"/>
        <v>5</v>
      </c>
      <c r="G26" s="135">
        <f t="shared" si="0"/>
        <v>81357.289234647964</v>
      </c>
      <c r="H26" s="135"/>
      <c r="I26" s="135">
        <f t="shared" si="1"/>
        <v>2544863.3977781134</v>
      </c>
    </row>
    <row r="27" spans="2:9" ht="20.15" customHeight="1">
      <c r="B27" s="119" t="s">
        <v>340</v>
      </c>
      <c r="C27" s="260" t="s">
        <v>953</v>
      </c>
      <c r="D27" s="135">
        <f t="shared" si="3"/>
        <v>-2463506.1085434654</v>
      </c>
      <c r="E27" s="264">
        <f t="shared" si="3"/>
        <v>0.0066050000000000015</v>
      </c>
      <c r="F27" s="266">
        <f t="shared" si="2"/>
        <v>4</v>
      </c>
      <c r="G27" s="135">
        <f t="shared" si="0"/>
        <v>65085.831387718368</v>
      </c>
      <c r="H27" s="135"/>
      <c r="I27" s="135">
        <f t="shared" si="1"/>
        <v>2528591.9399311836</v>
      </c>
    </row>
    <row r="28" spans="2:9" ht="20.15" customHeight="1">
      <c r="B28" s="119" t="s">
        <v>342</v>
      </c>
      <c r="C28" s="260" t="s">
        <v>953</v>
      </c>
      <c r="D28" s="135">
        <f t="shared" si="3"/>
        <v>-2463506.1085434654</v>
      </c>
      <c r="E28" s="264">
        <f t="shared" si="3"/>
        <v>0.0066050000000000015</v>
      </c>
      <c r="F28" s="266">
        <f t="shared" si="2"/>
        <v>3</v>
      </c>
      <c r="G28" s="135">
        <f t="shared" si="0"/>
        <v>48814.373540788773</v>
      </c>
      <c r="H28" s="135"/>
      <c r="I28" s="135">
        <f t="shared" si="1"/>
        <v>2512320.4820842543</v>
      </c>
    </row>
    <row r="29" spans="2:9" ht="20.15" customHeight="1">
      <c r="B29" s="119" t="s">
        <v>341</v>
      </c>
      <c r="C29" s="260" t="s">
        <v>953</v>
      </c>
      <c r="D29" s="135">
        <f t="shared" si="3"/>
        <v>-2463506.1085434654</v>
      </c>
      <c r="E29" s="264">
        <f t="shared" si="3"/>
        <v>0.0066050000000000015</v>
      </c>
      <c r="F29" s="266">
        <f t="shared" si="2"/>
        <v>2</v>
      </c>
      <c r="G29" s="135">
        <f t="shared" si="0"/>
        <v>32542.915693859184</v>
      </c>
      <c r="H29" s="135"/>
      <c r="I29" s="135">
        <f t="shared" si="1"/>
        <v>2496049.0242373245</v>
      </c>
    </row>
    <row r="30" spans="2:9" ht="20.15" customHeight="1">
      <c r="B30" s="119" t="s">
        <v>332</v>
      </c>
      <c r="C30" s="260" t="s">
        <v>953</v>
      </c>
      <c r="D30" s="135">
        <f t="shared" si="3"/>
        <v>-2463506.1085434654</v>
      </c>
      <c r="E30" s="264">
        <f t="shared" si="3"/>
        <v>0.0066050000000000015</v>
      </c>
      <c r="F30" s="266">
        <f t="shared" si="2"/>
        <v>1</v>
      </c>
      <c r="G30" s="136">
        <f t="shared" si="0"/>
        <v>16271.457846929592</v>
      </c>
      <c r="H30" s="135"/>
      <c r="I30" s="135">
        <f t="shared" si="1"/>
        <v>2479777.5663903952</v>
      </c>
    </row>
    <row r="31" spans="2:9" ht="20.15" customHeight="1">
      <c r="B31" s="119"/>
      <c r="C31" s="119"/>
      <c r="D31" s="135"/>
      <c r="E31" s="264"/>
      <c r="F31" s="266"/>
      <c r="G31" s="135">
        <f>SUM(G19:G30)</f>
        <v>1269173.7120605081</v>
      </c>
      <c r="H31" s="135"/>
      <c r="I31" s="137">
        <f>SUM(I19:I30)</f>
        <v>30831247.014582094</v>
      </c>
    </row>
    <row r="32" spans="2:9" ht="20.15" customHeight="1">
      <c r="B32" s="119"/>
      <c r="C32" s="119"/>
      <c r="D32" s="135"/>
      <c r="E32" s="264"/>
      <c r="F32" s="265"/>
      <c r="G32" s="135"/>
      <c r="H32" s="135" t="s">
        <v>3</v>
      </c>
      <c r="I32" s="138"/>
    </row>
    <row r="33" spans="2:9" ht="20.15" customHeight="1">
      <c r="B33" s="119"/>
      <c r="C33" s="119"/>
      <c r="D33" s="124"/>
      <c r="E33" s="264"/>
      <c r="F33" s="265"/>
      <c r="G33" s="139" t="s">
        <v>472</v>
      </c>
      <c r="H33" s="135"/>
      <c r="I33" s="135"/>
    </row>
    <row r="34" spans="2:9" ht="37.25" customHeight="1">
      <c r="B34" s="271" t="s">
        <v>473</v>
      </c>
      <c r="C34" s="272" t="s">
        <v>954</v>
      </c>
      <c r="D34" s="273">
        <f>I31</f>
        <v>30831247.014582094</v>
      </c>
      <c r="E34" s="274">
        <f>+E30</f>
        <v>0.0066050000000000015</v>
      </c>
      <c r="F34" s="275">
        <v>12</v>
      </c>
      <c r="G34" s="276">
        <f>+F34*E34*D34</f>
        <v>2443684.6383757778</v>
      </c>
      <c r="H34" s="276"/>
      <c r="I34" s="277">
        <f>+D34+G34</f>
        <v>33274931.652957872</v>
      </c>
    </row>
    <row r="35" spans="2:9" ht="20.15" customHeight="1">
      <c r="B35" s="119"/>
      <c r="C35" s="119"/>
      <c r="D35" s="124"/>
      <c r="E35" s="264"/>
      <c r="F35" s="119"/>
      <c r="G35" s="135"/>
      <c r="H35" s="135"/>
      <c r="I35" s="135"/>
    </row>
    <row r="36" spans="2:9" ht="20.15" customHeight="1">
      <c r="B36" s="140" t="s">
        <v>685</v>
      </c>
      <c r="C36" s="119"/>
      <c r="D36" s="135"/>
      <c r="E36" s="264"/>
      <c r="F36" s="119"/>
      <c r="G36" s="139" t="s">
        <v>471</v>
      </c>
      <c r="H36" s="135"/>
      <c r="I36" s="135"/>
    </row>
    <row r="37" spans="2:9" ht="20.15" customHeight="1">
      <c r="B37" s="119" t="s">
        <v>333</v>
      </c>
      <c r="C37" s="260" t="s">
        <v>992</v>
      </c>
      <c r="D37" s="267">
        <f>-I34</f>
        <v>-33274931.652957872</v>
      </c>
      <c r="E37" s="264">
        <f>+E30</f>
        <v>0.0066050000000000015</v>
      </c>
      <c r="F37" s="119"/>
      <c r="G37" s="135">
        <f t="shared" si="4" ref="G37:G48">-E37*D37</f>
        <v>219780.92356778678</v>
      </c>
      <c r="H37" s="135">
        <f>PMT(E37,12,I$34)</f>
        <v>-2893395.6530228406</v>
      </c>
      <c r="I37" s="135">
        <f t="shared" si="5" ref="I37:I48">(+D37+D37*E37-H37)*-1</f>
        <v>30601316.923502818</v>
      </c>
    </row>
    <row r="38" spans="2:9" ht="20.15" customHeight="1">
      <c r="B38" s="119" t="s">
        <v>334</v>
      </c>
      <c r="C38" s="260" t="s">
        <v>992</v>
      </c>
      <c r="D38" s="124">
        <f>-I37</f>
        <v>-30601316.923502818</v>
      </c>
      <c r="E38" s="264">
        <f>+E37</f>
        <v>0.0066050000000000015</v>
      </c>
      <c r="F38" s="119"/>
      <c r="G38" s="135">
        <f t="shared" si="4"/>
        <v>202121.69827973616</v>
      </c>
      <c r="H38" s="135">
        <f>H37</f>
        <v>-2893395.6530228406</v>
      </c>
      <c r="I38" s="135">
        <f t="shared" si="5"/>
        <v>27910042.968759712</v>
      </c>
    </row>
    <row r="39" spans="2:9" ht="20.15" customHeight="1">
      <c r="B39" s="119" t="s">
        <v>335</v>
      </c>
      <c r="C39" s="260" t="s">
        <v>992</v>
      </c>
      <c r="D39" s="124">
        <f t="shared" si="6" ref="D39:D48">-I38</f>
        <v>-27910042.968759712</v>
      </c>
      <c r="E39" s="264">
        <f t="shared" si="7" ref="E39:E48">+E38</f>
        <v>0.0066050000000000015</v>
      </c>
      <c r="F39" s="119"/>
      <c r="G39" s="135">
        <f t="shared" si="4"/>
        <v>184345.83380865795</v>
      </c>
      <c r="H39" s="135">
        <f t="shared" si="8" ref="H39:H48">H38</f>
        <v>-2893395.6530228406</v>
      </c>
      <c r="I39" s="135">
        <f t="shared" si="5"/>
        <v>25200993.149545528</v>
      </c>
    </row>
    <row r="40" spans="2:9" ht="20.15" customHeight="1">
      <c r="B40" s="119" t="s">
        <v>336</v>
      </c>
      <c r="C40" s="260" t="s">
        <v>992</v>
      </c>
      <c r="D40" s="124">
        <f t="shared" si="6"/>
        <v>-25200993.149545528</v>
      </c>
      <c r="E40" s="264">
        <f t="shared" si="7"/>
        <v>0.0066050000000000015</v>
      </c>
      <c r="F40" s="119"/>
      <c r="G40" s="135">
        <f t="shared" si="4"/>
        <v>166452.55975274826</v>
      </c>
      <c r="H40" s="135">
        <f t="shared" si="8"/>
        <v>-2893395.6530228406</v>
      </c>
      <c r="I40" s="135">
        <f t="shared" si="5"/>
        <v>22474050.056275435</v>
      </c>
    </row>
    <row r="41" spans="2:9" ht="20.15" customHeight="1">
      <c r="B41" s="119" t="s">
        <v>337</v>
      </c>
      <c r="C41" s="260" t="s">
        <v>992</v>
      </c>
      <c r="D41" s="124">
        <f t="shared" si="6"/>
        <v>-22474050.056275435</v>
      </c>
      <c r="E41" s="264">
        <f t="shared" si="7"/>
        <v>0.0066050000000000015</v>
      </c>
      <c r="F41" s="119"/>
      <c r="G41" s="135">
        <f t="shared" si="4"/>
        <v>148441.10062169927</v>
      </c>
      <c r="H41" s="135">
        <f t="shared" si="8"/>
        <v>-2893395.6530228406</v>
      </c>
      <c r="I41" s="135">
        <f t="shared" si="5"/>
        <v>19729095.503874294</v>
      </c>
    </row>
    <row r="42" spans="2:9" ht="20.15" customHeight="1">
      <c r="B42" s="119" t="s">
        <v>353</v>
      </c>
      <c r="C42" s="260" t="s">
        <v>992</v>
      </c>
      <c r="D42" s="124">
        <f t="shared" si="6"/>
        <v>-19729095.503874294</v>
      </c>
      <c r="E42" s="264">
        <f t="shared" si="7"/>
        <v>0.0066050000000000015</v>
      </c>
      <c r="F42" s="119"/>
      <c r="G42" s="135">
        <f t="shared" si="4"/>
        <v>130310.67580308975</v>
      </c>
      <c r="H42" s="135">
        <f t="shared" si="8"/>
        <v>-2893395.6530228406</v>
      </c>
      <c r="I42" s="135">
        <f t="shared" si="5"/>
        <v>16966010.526654545</v>
      </c>
    </row>
    <row r="43" spans="2:9" ht="20.15" customHeight="1">
      <c r="B43" s="119" t="s">
        <v>338</v>
      </c>
      <c r="C43" s="260" t="s">
        <v>992</v>
      </c>
      <c r="D43" s="124">
        <f t="shared" si="6"/>
        <v>-16966010.526654545</v>
      </c>
      <c r="E43" s="264">
        <f t="shared" si="7"/>
        <v>0.0066050000000000015</v>
      </c>
      <c r="F43" s="119"/>
      <c r="G43" s="135">
        <f t="shared" si="4"/>
        <v>112060.49952855329</v>
      </c>
      <c r="H43" s="135">
        <f t="shared" si="8"/>
        <v>-2893395.6530228406</v>
      </c>
      <c r="I43" s="135">
        <f t="shared" si="5"/>
        <v>14184675.373160258</v>
      </c>
    </row>
    <row r="44" spans="2:9" ht="20.15" customHeight="1">
      <c r="B44" s="119" t="s">
        <v>339</v>
      </c>
      <c r="C44" s="260" t="s">
        <v>992</v>
      </c>
      <c r="D44" s="124">
        <f t="shared" si="6"/>
        <v>-14184675.373160258</v>
      </c>
      <c r="E44" s="264">
        <f t="shared" si="7"/>
        <v>0.0066050000000000015</v>
      </c>
      <c r="F44" s="119"/>
      <c r="G44" s="135">
        <f t="shared" si="4"/>
        <v>93689.78083972352</v>
      </c>
      <c r="H44" s="135">
        <f t="shared" si="8"/>
        <v>-2893395.6530228406</v>
      </c>
      <c r="I44" s="135">
        <f t="shared" si="5"/>
        <v>11384969.50097714</v>
      </c>
    </row>
    <row r="45" spans="2:9" ht="20.15" customHeight="1">
      <c r="B45" s="119" t="s">
        <v>340</v>
      </c>
      <c r="C45" s="260" t="s">
        <v>992</v>
      </c>
      <c r="D45" s="124">
        <f t="shared" si="6"/>
        <v>-11384969.50097714</v>
      </c>
      <c r="E45" s="264">
        <f t="shared" si="7"/>
        <v>0.0066050000000000015</v>
      </c>
      <c r="F45" s="119"/>
      <c r="G45" s="135">
        <f t="shared" si="4"/>
        <v>75197.723553954027</v>
      </c>
      <c r="H45" s="135">
        <f t="shared" si="8"/>
        <v>-2893395.6530228406</v>
      </c>
      <c r="I45" s="135">
        <f t="shared" si="5"/>
        <v>8566771.571508253</v>
      </c>
    </row>
    <row r="46" spans="2:9" ht="20.15" customHeight="1">
      <c r="B46" s="119" t="s">
        <v>342</v>
      </c>
      <c r="C46" s="260" t="s">
        <v>992</v>
      </c>
      <c r="D46" s="124">
        <f t="shared" si="6"/>
        <v>-8566771.571508253</v>
      </c>
      <c r="E46" s="264">
        <f t="shared" si="7"/>
        <v>0.0066050000000000015</v>
      </c>
      <c r="F46" s="119"/>
      <c r="G46" s="135">
        <f t="shared" si="4"/>
        <v>56583.526229812021</v>
      </c>
      <c r="H46" s="135">
        <f t="shared" si="8"/>
        <v>-2893395.6530228406</v>
      </c>
      <c r="I46" s="135">
        <f t="shared" si="5"/>
        <v>5729959.4447152242</v>
      </c>
    </row>
    <row r="47" spans="2:9" ht="20.15" customHeight="1">
      <c r="B47" s="119" t="s">
        <v>341</v>
      </c>
      <c r="C47" s="260" t="s">
        <v>992</v>
      </c>
      <c r="D47" s="124">
        <f t="shared" si="6"/>
        <v>-5729959.4447152242</v>
      </c>
      <c r="E47" s="264">
        <f t="shared" si="7"/>
        <v>0.0066050000000000015</v>
      </c>
      <c r="F47" s="119"/>
      <c r="G47" s="135">
        <f t="shared" si="4"/>
        <v>37846.382132344064</v>
      </c>
      <c r="H47" s="135">
        <f t="shared" si="8"/>
        <v>-2893395.6530228406</v>
      </c>
      <c r="I47" s="135">
        <f t="shared" si="5"/>
        <v>2874410.1738247275</v>
      </c>
    </row>
    <row r="48" spans="2:9" ht="20.15" customHeight="1">
      <c r="B48" s="119" t="s">
        <v>332</v>
      </c>
      <c r="C48" s="260" t="s">
        <v>992</v>
      </c>
      <c r="D48" s="124">
        <f t="shared" si="6"/>
        <v>-2874410.1738247275</v>
      </c>
      <c r="E48" s="264">
        <f t="shared" si="7"/>
        <v>0.0066050000000000015</v>
      </c>
      <c r="F48" s="119"/>
      <c r="G48" s="136">
        <f t="shared" si="4"/>
        <v>18985.479198112331</v>
      </c>
      <c r="H48" s="135">
        <f t="shared" si="8"/>
        <v>-2893395.6530228406</v>
      </c>
      <c r="I48" s="135">
        <f t="shared" si="5"/>
        <v>-9.3132257461547852E-10</v>
      </c>
    </row>
    <row r="49" spans="2:9" ht="20.15" customHeight="1">
      <c r="B49" s="119"/>
      <c r="C49" s="119"/>
      <c r="D49" s="124"/>
      <c r="E49" s="264"/>
      <c r="F49" s="119"/>
      <c r="G49" s="135">
        <f>SUM(G37:G48)</f>
        <v>1445816.1833162175</v>
      </c>
      <c r="H49" s="135"/>
      <c r="I49" s="135"/>
    </row>
    <row r="50" spans="2:9" ht="20.15" customHeight="1">
      <c r="B50" s="138"/>
      <c r="C50" s="138"/>
      <c r="D50" s="138"/>
      <c r="E50" s="138"/>
      <c r="F50" s="138"/>
      <c r="G50" s="138"/>
      <c r="H50" s="138"/>
      <c r="I50" s="138"/>
    </row>
    <row r="51" spans="2:9" ht="20.15" customHeight="1">
      <c r="B51" s="119" t="s">
        <v>476</v>
      </c>
      <c r="C51" s="138"/>
      <c r="D51" s="138"/>
      <c r="E51" s="138"/>
      <c r="F51" s="138"/>
      <c r="G51" s="138"/>
      <c r="H51" s="141">
        <f>SUM(H37:H48)*-1</f>
        <v>34720747.836274087</v>
      </c>
      <c r="I51" s="138"/>
    </row>
    <row r="52" spans="2:9" ht="20.15" customHeight="1">
      <c r="B52" s="119" t="s">
        <v>686</v>
      </c>
      <c r="C52" s="138"/>
      <c r="D52" s="138"/>
      <c r="E52" s="138"/>
      <c r="F52" s="138"/>
      <c r="G52" s="138"/>
      <c r="H52" s="278">
        <f>+F10</f>
        <v>-29562073.302521586</v>
      </c>
      <c r="I52" s="138"/>
    </row>
    <row r="53" spans="2:9" ht="20.15" customHeight="1">
      <c r="B53" s="119" t="s">
        <v>474</v>
      </c>
      <c r="C53" s="138"/>
      <c r="D53" s="138"/>
      <c r="E53" s="138"/>
      <c r="F53" s="138"/>
      <c r="G53" s="138"/>
      <c r="H53" s="141">
        <f>H51+H52</f>
        <v>5158674.533752501</v>
      </c>
      <c r="I53" s="138"/>
    </row>
    <row r="55" spans="1:10" ht="32.15" customHeight="1">
      <c r="A55" s="189" t="s">
        <v>576</v>
      </c>
      <c r="B55" s="699" t="s">
        <v>577</v>
      </c>
      <c r="C55" s="699"/>
      <c r="D55" s="699"/>
      <c r="E55" s="699"/>
      <c r="F55" s="699"/>
      <c r="G55" s="699"/>
      <c r="H55" s="699"/>
      <c r="I55" s="699"/>
      <c r="J55" s="699"/>
    </row>
  </sheetData>
  <mergeCells count="5">
    <mergeCell ref="B55:J55"/>
    <mergeCell ref="B5:I5"/>
    <mergeCell ref="B6:I6"/>
    <mergeCell ref="B13:C13"/>
    <mergeCell ref="B14:D14"/>
  </mergeCells>
  <printOptions horizontalCentered="1"/>
  <pageMargins left="0.7" right="0.7" top="0.75" bottom="0.75" header="0.3" footer="0.3"/>
  <pageSetup fitToHeight="0" fitToWidth="0" orientation="portrait" scale="45"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8"/>
  <sheetViews>
    <sheetView view="pageBreakPreview" zoomScale="85" zoomScaleNormal="85" zoomScaleSheetLayoutView="85" workbookViewId="0" topLeftCell="A1">
      <selection pane="topLeft" activeCell="E1" sqref="E1"/>
    </sheetView>
  </sheetViews>
  <sheetFormatPr defaultColWidth="8.91714285714286" defaultRowHeight="20.15" customHeight="1"/>
  <cols>
    <col min="1" max="1" width="2.85714285714286" style="76" customWidth="1"/>
    <col min="2" max="2" width="10.8571428571429" style="70" customWidth="1"/>
    <col min="3" max="3" width="8.92857142857143" style="70"/>
    <col min="4" max="4" width="2.85714285714286" style="70" customWidth="1"/>
    <col min="5" max="10" width="12.8571428571429" style="76" customWidth="1"/>
    <col min="11" max="11" width="5.85714285714286" style="76" customWidth="1"/>
    <col min="12" max="12" width="13.8571428571429" style="70" customWidth="1"/>
    <col min="13" max="16384" width="8.92857142857143" style="70"/>
  </cols>
  <sheetData>
    <row r="1" spans="1:8" ht="20.15" customHeight="1">
      <c r="A1" s="79" t="str">
        <f ca="1">RIGHT(CELL("filename",D2),LEN(CELL("filename",D2))-FIND("]",CELL("filename",D2)))</f>
        <v>WP01 Plant</v>
      </c>
      <c r="F1" s="612"/>
      <c r="G1" s="612"/>
      <c r="H1" s="612"/>
    </row>
    <row r="2" spans="6:8" ht="20.15" customHeight="1">
      <c r="F2" s="612"/>
      <c r="G2" s="612"/>
      <c r="H2" s="612"/>
    </row>
    <row r="3" spans="5:12" ht="20.15" customHeight="1">
      <c r="E3" s="78" t="s">
        <v>354</v>
      </c>
      <c r="F3" s="78" t="s">
        <v>33</v>
      </c>
      <c r="G3" s="78" t="s">
        <v>355</v>
      </c>
      <c r="H3" s="78" t="s">
        <v>356</v>
      </c>
      <c r="I3" s="78" t="s">
        <v>357</v>
      </c>
      <c r="J3" s="78" t="s">
        <v>358</v>
      </c>
      <c r="K3" s="70"/>
      <c r="L3" s="78" t="s">
        <v>11</v>
      </c>
    </row>
    <row r="4" spans="5:11" ht="20.15" customHeight="1">
      <c r="E4" s="78"/>
      <c r="F4" s="78"/>
      <c r="G4" s="78"/>
      <c r="H4" s="78"/>
      <c r="I4" s="78"/>
      <c r="J4" s="78"/>
      <c r="K4" s="70"/>
    </row>
    <row r="5" spans="4:11" ht="20.15" customHeight="1">
      <c r="D5" s="74" t="s">
        <v>363</v>
      </c>
      <c r="E5" s="77" t="s">
        <v>171</v>
      </c>
      <c r="F5" s="77" t="s">
        <v>359</v>
      </c>
      <c r="G5" s="77" t="s">
        <v>172</v>
      </c>
      <c r="H5" s="77" t="s">
        <v>361</v>
      </c>
      <c r="I5" s="77" t="s">
        <v>360</v>
      </c>
      <c r="J5" s="80">
        <v>356.10000000000002</v>
      </c>
      <c r="K5" s="70"/>
    </row>
    <row r="6" spans="1:12" ht="20.15" customHeight="1">
      <c r="A6" s="80">
        <v>1</v>
      </c>
      <c r="B6" s="70" t="s">
        <v>332</v>
      </c>
      <c r="C6" s="183">
        <f>'Appendix C-RRCA'!C11</f>
        <v>2022</v>
      </c>
      <c r="E6" s="154"/>
      <c r="F6" s="154">
        <v>5597417626.9000015</v>
      </c>
      <c r="G6" s="154"/>
      <c r="H6" s="154">
        <v>229584158.00999993</v>
      </c>
      <c r="I6" s="154">
        <v>125457438.37999995</v>
      </c>
      <c r="J6" s="154"/>
      <c r="K6" s="155"/>
      <c r="L6" s="155">
        <f t="shared" si="0" ref="L6:L18">SUM(E6:J6)</f>
        <v>5952459223.2900019</v>
      </c>
    </row>
    <row r="7" spans="1:12" ht="20.15" customHeight="1">
      <c r="A7" s="80">
        <v>2</v>
      </c>
      <c r="B7" s="70" t="s">
        <v>333</v>
      </c>
      <c r="C7" s="73">
        <f>C6+1</f>
        <v>2023</v>
      </c>
      <c r="E7" s="154"/>
      <c r="F7" s="154">
        <v>5603834312.9000015</v>
      </c>
      <c r="G7" s="154"/>
      <c r="H7" s="154">
        <v>233240697.00999993</v>
      </c>
      <c r="I7" s="154">
        <v>124365128.72999994</v>
      </c>
      <c r="J7" s="154"/>
      <c r="K7" s="155"/>
      <c r="L7" s="155">
        <f t="shared" si="0"/>
        <v>5961440138.6400013</v>
      </c>
    </row>
    <row r="8" spans="1:12" ht="20.15" customHeight="1">
      <c r="A8" s="80">
        <v>3</v>
      </c>
      <c r="B8" s="70" t="s">
        <v>334</v>
      </c>
      <c r="C8" s="73">
        <f>C7</f>
        <v>2023</v>
      </c>
      <c r="E8" s="154"/>
      <c r="F8" s="154">
        <v>5612260132.9000015</v>
      </c>
      <c r="G8" s="154"/>
      <c r="H8" s="154">
        <v>232975059.00999993</v>
      </c>
      <c r="I8" s="154">
        <v>125485942.86999995</v>
      </c>
      <c r="J8" s="154"/>
      <c r="K8" s="155"/>
      <c r="L8" s="155">
        <f>SUM(E8:J8)</f>
        <v>5970721134.7800016</v>
      </c>
    </row>
    <row r="9" spans="1:12" ht="20.15" customHeight="1">
      <c r="A9" s="80">
        <v>4</v>
      </c>
      <c r="B9" s="70" t="s">
        <v>335</v>
      </c>
      <c r="C9" s="73">
        <f t="shared" si="1" ref="C9:C18">C8</f>
        <v>2023</v>
      </c>
      <c r="E9" s="154"/>
      <c r="F9" s="154">
        <v>5638828588.6600018</v>
      </c>
      <c r="G9" s="154"/>
      <c r="H9" s="154">
        <v>233633856.00999993</v>
      </c>
      <c r="I9" s="154">
        <v>126083025.77999994</v>
      </c>
      <c r="J9" s="154"/>
      <c r="K9" s="155"/>
      <c r="L9" s="155">
        <f t="shared" si="0"/>
        <v>5998545470.4500017</v>
      </c>
    </row>
    <row r="10" spans="1:12" ht="20.15" customHeight="1">
      <c r="A10" s="80">
        <v>5</v>
      </c>
      <c r="B10" s="70" t="s">
        <v>336</v>
      </c>
      <c r="C10" s="73">
        <f t="shared" si="1"/>
        <v>2023</v>
      </c>
      <c r="E10" s="154"/>
      <c r="F10" s="154">
        <v>5643178368.6600018</v>
      </c>
      <c r="G10" s="154"/>
      <c r="H10" s="154">
        <v>233555473.00999993</v>
      </c>
      <c r="I10" s="154">
        <v>126220605.43999994</v>
      </c>
      <c r="J10" s="154"/>
      <c r="K10" s="155"/>
      <c r="L10" s="155">
        <f t="shared" si="0"/>
        <v>6002954447.1100016</v>
      </c>
    </row>
    <row r="11" spans="1:12" ht="20.15" customHeight="1">
      <c r="A11" s="80">
        <v>6</v>
      </c>
      <c r="B11" s="70" t="s">
        <v>337</v>
      </c>
      <c r="C11" s="73">
        <f t="shared" si="1"/>
        <v>2023</v>
      </c>
      <c r="E11" s="154"/>
      <c r="F11" s="154">
        <v>5703100533.6600018</v>
      </c>
      <c r="G11" s="154"/>
      <c r="H11" s="154">
        <v>234513457.00999993</v>
      </c>
      <c r="I11" s="154">
        <v>126705143.32999994</v>
      </c>
      <c r="J11" s="154"/>
      <c r="K11" s="155"/>
      <c r="L11" s="155">
        <f t="shared" si="0"/>
        <v>6064319134.0000019</v>
      </c>
    </row>
    <row r="12" spans="1:12" ht="20.15" customHeight="1">
      <c r="A12" s="80">
        <v>7</v>
      </c>
      <c r="B12" s="70" t="s">
        <v>353</v>
      </c>
      <c r="C12" s="73">
        <f t="shared" si="1"/>
        <v>2023</v>
      </c>
      <c r="E12" s="154"/>
      <c r="F12" s="154">
        <v>5737935872.6600018</v>
      </c>
      <c r="G12" s="154"/>
      <c r="H12" s="154">
        <v>236300084.62999994</v>
      </c>
      <c r="I12" s="154">
        <v>132769288.12999994</v>
      </c>
      <c r="J12" s="154"/>
      <c r="K12" s="155"/>
      <c r="L12" s="155">
        <f t="shared" si="0"/>
        <v>6107005245.420002</v>
      </c>
    </row>
    <row r="13" spans="1:12" ht="20.15" customHeight="1">
      <c r="A13" s="80">
        <v>8</v>
      </c>
      <c r="B13" s="70" t="s">
        <v>338</v>
      </c>
      <c r="C13" s="73">
        <f t="shared" si="1"/>
        <v>2023</v>
      </c>
      <c r="E13" s="154"/>
      <c r="F13" s="154">
        <v>5755812258.6600018</v>
      </c>
      <c r="G13" s="154"/>
      <c r="H13" s="154">
        <v>232595537.62999994</v>
      </c>
      <c r="I13" s="154">
        <v>132852895.61999993</v>
      </c>
      <c r="J13" s="154"/>
      <c r="K13" s="155"/>
      <c r="L13" s="155">
        <f t="shared" si="0"/>
        <v>6121260691.9100018</v>
      </c>
    </row>
    <row r="14" spans="1:12" ht="20.15" customHeight="1">
      <c r="A14" s="80">
        <v>9</v>
      </c>
      <c r="B14" s="70" t="s">
        <v>339</v>
      </c>
      <c r="C14" s="73">
        <f t="shared" si="1"/>
        <v>2023</v>
      </c>
      <c r="E14" s="154"/>
      <c r="F14" s="154">
        <v>5802869965.2400017</v>
      </c>
      <c r="G14" s="154"/>
      <c r="H14" s="154">
        <v>235529578.62999994</v>
      </c>
      <c r="I14" s="154">
        <v>132999490.16999993</v>
      </c>
      <c r="J14" s="154"/>
      <c r="K14" s="155"/>
      <c r="L14" s="155">
        <f t="shared" si="0"/>
        <v>6171399034.0400019</v>
      </c>
    </row>
    <row r="15" spans="1:12" ht="20.15" customHeight="1">
      <c r="A15" s="80">
        <v>10</v>
      </c>
      <c r="B15" s="70" t="s">
        <v>340</v>
      </c>
      <c r="C15" s="73">
        <f t="shared" si="1"/>
        <v>2023</v>
      </c>
      <c r="E15" s="154"/>
      <c r="F15" s="154">
        <v>5819802438.1000013</v>
      </c>
      <c r="G15" s="154"/>
      <c r="H15" s="154">
        <v>241789022.85999992</v>
      </c>
      <c r="I15" s="154">
        <v>133675090.55999993</v>
      </c>
      <c r="J15" s="154"/>
      <c r="K15" s="155"/>
      <c r="L15" s="155">
        <f t="shared" si="0"/>
        <v>6195266551.5200005</v>
      </c>
    </row>
    <row r="16" spans="1:12" ht="20.15" customHeight="1">
      <c r="A16" s="80">
        <v>11</v>
      </c>
      <c r="B16" s="70" t="s">
        <v>342</v>
      </c>
      <c r="C16" s="73">
        <f t="shared" si="1"/>
        <v>2023</v>
      </c>
      <c r="E16" s="154"/>
      <c r="F16" s="154">
        <v>5840905510.7800016</v>
      </c>
      <c r="G16" s="154"/>
      <c r="H16" s="154">
        <v>243331553.85999992</v>
      </c>
      <c r="I16" s="154">
        <v>133430021.69999993</v>
      </c>
      <c r="J16" s="154"/>
      <c r="K16" s="155"/>
      <c r="L16" s="155">
        <f t="shared" si="0"/>
        <v>6217667086.3400011</v>
      </c>
    </row>
    <row r="17" spans="1:12" ht="20.15" customHeight="1">
      <c r="A17" s="80">
        <v>12</v>
      </c>
      <c r="B17" s="70" t="s">
        <v>341</v>
      </c>
      <c r="C17" s="73">
        <f t="shared" si="1"/>
        <v>2023</v>
      </c>
      <c r="E17" s="154"/>
      <c r="F17" s="154">
        <v>5879143245.3200016</v>
      </c>
      <c r="G17" s="154"/>
      <c r="H17" s="154">
        <v>243838890.85999992</v>
      </c>
      <c r="I17" s="154">
        <v>134173578.36999993</v>
      </c>
      <c r="J17" s="154"/>
      <c r="K17" s="155"/>
      <c r="L17" s="155">
        <f t="shared" si="0"/>
        <v>6257155714.5500011</v>
      </c>
    </row>
    <row r="18" spans="1:12" ht="20.15" customHeight="1">
      <c r="A18" s="80">
        <v>13</v>
      </c>
      <c r="B18" s="70" t="s">
        <v>332</v>
      </c>
      <c r="C18" s="73">
        <f t="shared" si="1"/>
        <v>2023</v>
      </c>
      <c r="E18" s="154"/>
      <c r="F18" s="154">
        <v>5956752020.8400021</v>
      </c>
      <c r="G18" s="154"/>
      <c r="H18" s="154">
        <v>267193013.78999993</v>
      </c>
      <c r="I18" s="154">
        <v>141958047.97999993</v>
      </c>
      <c r="J18" s="154"/>
      <c r="K18" s="155"/>
      <c r="L18" s="155">
        <f t="shared" si="0"/>
        <v>6365903082.6100016</v>
      </c>
    </row>
    <row r="19" spans="5:12" ht="20.15" customHeight="1">
      <c r="E19" s="156"/>
      <c r="F19" s="156"/>
      <c r="G19" s="156"/>
      <c r="H19" s="156"/>
      <c r="I19" s="156"/>
      <c r="J19" s="156"/>
      <c r="K19" s="155"/>
      <c r="L19" s="155"/>
    </row>
    <row r="20" spans="1:12" ht="20.15" customHeight="1">
      <c r="A20" s="80">
        <v>14</v>
      </c>
      <c r="B20" s="70" t="s">
        <v>362</v>
      </c>
      <c r="E20" s="156">
        <f>SUM(E6:E18)/13</f>
        <v>0</v>
      </c>
      <c r="F20" s="156">
        <f t="shared" si="2" ref="F20:L20">SUM(F6:F18)/13</f>
        <v>5737833913.483078</v>
      </c>
      <c r="G20" s="156">
        <f t="shared" si="2"/>
        <v>0</v>
      </c>
      <c r="H20" s="156">
        <f t="shared" si="2"/>
        <v>238313875.56307691</v>
      </c>
      <c r="I20" s="156">
        <f t="shared" si="2"/>
        <v>130475053.61999992</v>
      </c>
      <c r="J20" s="156">
        <f t="shared" si="2"/>
        <v>0</v>
      </c>
      <c r="K20" s="156"/>
      <c r="L20" s="156">
        <f t="shared" si="2"/>
        <v>6106622842.6661549</v>
      </c>
    </row>
    <row r="23" spans="2:11" ht="20.15" customHeight="1">
      <c r="B23" s="90" t="s">
        <v>480</v>
      </c>
      <c r="C23" s="91"/>
      <c r="D23" s="91"/>
      <c r="E23" s="92"/>
      <c r="F23" s="92"/>
      <c r="G23" s="93"/>
      <c r="H23" s="599"/>
      <c r="I23" s="600"/>
      <c r="J23" s="600"/>
      <c r="K23" s="70"/>
    </row>
    <row r="24" spans="2:11" ht="20.15" customHeight="1">
      <c r="B24" s="94"/>
      <c r="E24" s="70"/>
      <c r="F24" s="78" t="s">
        <v>33</v>
      </c>
      <c r="G24" s="95"/>
      <c r="H24" s="599"/>
      <c r="I24" s="600"/>
      <c r="J24" s="600"/>
      <c r="K24" s="70"/>
    </row>
    <row r="25" spans="2:11" ht="20.15" customHeight="1">
      <c r="B25" s="94"/>
      <c r="E25" s="70"/>
      <c r="F25" s="78"/>
      <c r="G25" s="95"/>
      <c r="H25" s="599"/>
      <c r="I25" s="600"/>
      <c r="J25" s="600"/>
      <c r="K25" s="70"/>
    </row>
    <row r="26" spans="2:11" ht="20.15" customHeight="1">
      <c r="B26" s="94"/>
      <c r="D26" s="74" t="s">
        <v>363</v>
      </c>
      <c r="E26" s="70"/>
      <c r="F26" s="77" t="s">
        <v>406</v>
      </c>
      <c r="G26" s="95"/>
      <c r="H26" s="599"/>
      <c r="I26" s="600"/>
      <c r="J26" s="600"/>
      <c r="K26" s="70"/>
    </row>
    <row r="27" spans="1:11" ht="20.15" customHeight="1">
      <c r="A27" s="80">
        <v>15</v>
      </c>
      <c r="B27" s="94" t="s">
        <v>332</v>
      </c>
      <c r="C27" s="73">
        <f>C6</f>
        <v>2022</v>
      </c>
      <c r="E27" s="70"/>
      <c r="F27" s="157">
        <v>1831146.0800000001</v>
      </c>
      <c r="G27" s="95"/>
      <c r="H27" s="70"/>
      <c r="I27" s="70"/>
      <c r="J27" s="70"/>
      <c r="K27" s="70"/>
    </row>
    <row r="28" spans="1:11" ht="20.15" customHeight="1">
      <c r="A28" s="80">
        <v>16</v>
      </c>
      <c r="B28" s="94" t="s">
        <v>333</v>
      </c>
      <c r="C28" s="73">
        <f>C27+1</f>
        <v>2023</v>
      </c>
      <c r="E28" s="70"/>
      <c r="F28" s="157">
        <v>1831146.0800000001</v>
      </c>
      <c r="G28" s="95"/>
      <c r="H28" s="70"/>
      <c r="I28" s="70"/>
      <c r="J28" s="70"/>
      <c r="K28" s="70"/>
    </row>
    <row r="29" spans="1:11" ht="20.15" customHeight="1">
      <c r="A29" s="80">
        <v>17</v>
      </c>
      <c r="B29" s="94" t="s">
        <v>334</v>
      </c>
      <c r="C29" s="73">
        <f>C28</f>
        <v>2023</v>
      </c>
      <c r="E29" s="70"/>
      <c r="F29" s="157">
        <v>1831146.0800000001</v>
      </c>
      <c r="G29" s="95"/>
      <c r="H29" s="70"/>
      <c r="I29" s="70"/>
      <c r="J29" s="70"/>
      <c r="K29" s="70"/>
    </row>
    <row r="30" spans="1:11" ht="20.15" customHeight="1">
      <c r="A30" s="80">
        <v>18</v>
      </c>
      <c r="B30" s="94" t="s">
        <v>335</v>
      </c>
      <c r="C30" s="73">
        <f t="shared" si="3" ref="C30:C39">C29</f>
        <v>2023</v>
      </c>
      <c r="E30" s="70"/>
      <c r="F30" s="157">
        <v>1831146.0800000001</v>
      </c>
      <c r="G30" s="95"/>
      <c r="H30" s="70"/>
      <c r="I30" s="70"/>
      <c r="J30" s="70"/>
      <c r="K30" s="70"/>
    </row>
    <row r="31" spans="1:11" ht="20.15" customHeight="1">
      <c r="A31" s="80">
        <v>19</v>
      </c>
      <c r="B31" s="94" t="s">
        <v>336</v>
      </c>
      <c r="C31" s="73">
        <f t="shared" si="3"/>
        <v>2023</v>
      </c>
      <c r="E31" s="70"/>
      <c r="F31" s="157">
        <v>1831146.0800000001</v>
      </c>
      <c r="G31" s="95"/>
      <c r="H31" s="70"/>
      <c r="I31" s="70"/>
      <c r="J31" s="70"/>
      <c r="K31" s="70"/>
    </row>
    <row r="32" spans="1:11" ht="20.15" customHeight="1">
      <c r="A32" s="80">
        <v>20</v>
      </c>
      <c r="B32" s="94" t="s">
        <v>337</v>
      </c>
      <c r="C32" s="73">
        <f t="shared" si="3"/>
        <v>2023</v>
      </c>
      <c r="E32" s="70"/>
      <c r="F32" s="157">
        <v>1831146.0800000001</v>
      </c>
      <c r="G32" s="95"/>
      <c r="H32" s="70"/>
      <c r="I32" s="70"/>
      <c r="J32" s="70"/>
      <c r="K32" s="70"/>
    </row>
    <row r="33" spans="1:11" ht="20.15" customHeight="1">
      <c r="A33" s="80">
        <v>21</v>
      </c>
      <c r="B33" s="94" t="s">
        <v>353</v>
      </c>
      <c r="C33" s="73">
        <f t="shared" si="3"/>
        <v>2023</v>
      </c>
      <c r="E33" s="70"/>
      <c r="F33" s="157">
        <v>1831146.0800000001</v>
      </c>
      <c r="G33" s="95"/>
      <c r="H33" s="70"/>
      <c r="I33" s="70"/>
      <c r="J33" s="70"/>
      <c r="K33" s="70"/>
    </row>
    <row r="34" spans="1:11" ht="20.15" customHeight="1">
      <c r="A34" s="80">
        <v>22</v>
      </c>
      <c r="B34" s="94" t="s">
        <v>338</v>
      </c>
      <c r="C34" s="73">
        <f t="shared" si="3"/>
        <v>2023</v>
      </c>
      <c r="E34" s="70"/>
      <c r="F34" s="157">
        <v>1831146.0800000001</v>
      </c>
      <c r="G34" s="95"/>
      <c r="H34" s="70"/>
      <c r="I34" s="70"/>
      <c r="J34" s="70"/>
      <c r="K34" s="70"/>
    </row>
    <row r="35" spans="1:11" ht="20.15" customHeight="1">
      <c r="A35" s="80">
        <v>23</v>
      </c>
      <c r="B35" s="94" t="s">
        <v>339</v>
      </c>
      <c r="C35" s="73">
        <f t="shared" si="3"/>
        <v>2023</v>
      </c>
      <c r="E35" s="70"/>
      <c r="F35" s="157">
        <v>1831146.0800000001</v>
      </c>
      <c r="G35" s="95"/>
      <c r="H35" s="70"/>
      <c r="I35" s="70"/>
      <c r="J35" s="70"/>
      <c r="K35" s="70"/>
    </row>
    <row r="36" spans="1:11" ht="20.15" customHeight="1">
      <c r="A36" s="80">
        <v>24</v>
      </c>
      <c r="B36" s="94" t="s">
        <v>340</v>
      </c>
      <c r="C36" s="73">
        <f t="shared" si="3"/>
        <v>2023</v>
      </c>
      <c r="E36" s="70"/>
      <c r="F36" s="157">
        <v>1831146.0800000001</v>
      </c>
      <c r="G36" s="95"/>
      <c r="H36" s="70"/>
      <c r="I36" s="70"/>
      <c r="J36" s="70"/>
      <c r="K36" s="70"/>
    </row>
    <row r="37" spans="1:11" ht="20.15" customHeight="1">
      <c r="A37" s="80">
        <v>25</v>
      </c>
      <c r="B37" s="94" t="s">
        <v>342</v>
      </c>
      <c r="C37" s="73">
        <f t="shared" si="3"/>
        <v>2023</v>
      </c>
      <c r="E37" s="70"/>
      <c r="F37" s="157">
        <v>1831146.0800000001</v>
      </c>
      <c r="G37" s="95"/>
      <c r="H37" s="70"/>
      <c r="I37" s="70"/>
      <c r="J37" s="70"/>
      <c r="K37" s="70"/>
    </row>
    <row r="38" spans="1:11" ht="20.15" customHeight="1">
      <c r="A38" s="80">
        <v>26</v>
      </c>
      <c r="B38" s="94" t="s">
        <v>341</v>
      </c>
      <c r="C38" s="73">
        <f t="shared" si="3"/>
        <v>2023</v>
      </c>
      <c r="E38" s="70"/>
      <c r="F38" s="157">
        <v>1831146.0800000001</v>
      </c>
      <c r="G38" s="95"/>
      <c r="H38" s="70"/>
      <c r="I38" s="70"/>
      <c r="J38" s="70"/>
      <c r="K38" s="70"/>
    </row>
    <row r="39" spans="1:11" ht="20.15" customHeight="1">
      <c r="A39" s="80">
        <v>27</v>
      </c>
      <c r="B39" s="94" t="s">
        <v>332</v>
      </c>
      <c r="C39" s="73">
        <f t="shared" si="3"/>
        <v>2023</v>
      </c>
      <c r="E39" s="70"/>
      <c r="F39" s="157">
        <v>1831146.0800000001</v>
      </c>
      <c r="G39" s="95"/>
      <c r="H39" s="70"/>
      <c r="I39" s="70"/>
      <c r="J39" s="70"/>
      <c r="K39" s="70"/>
    </row>
    <row r="40" spans="2:11" ht="20.15" customHeight="1">
      <c r="B40" s="94"/>
      <c r="E40" s="70"/>
      <c r="F40" s="158"/>
      <c r="G40" s="95"/>
      <c r="H40" s="70"/>
      <c r="I40" s="70"/>
      <c r="J40" s="70"/>
      <c r="K40" s="70"/>
    </row>
    <row r="41" spans="1:11" ht="20.15" customHeight="1">
      <c r="A41" s="80">
        <v>28</v>
      </c>
      <c r="B41" s="96" t="s">
        <v>362</v>
      </c>
      <c r="C41" s="97"/>
      <c r="D41" s="97"/>
      <c r="E41" s="97"/>
      <c r="F41" s="159">
        <f>SUM(F27:F39)/13</f>
        <v>1831146.0799999998</v>
      </c>
      <c r="G41" s="98"/>
      <c r="H41" s="70"/>
      <c r="I41" s="70"/>
      <c r="J41" s="70"/>
      <c r="K41" s="70"/>
    </row>
    <row r="47" spans="1:1" ht="20.15" customHeight="1">
      <c r="A47" s="70" t="s">
        <v>364</v>
      </c>
    </row>
    <row r="48" spans="1:2" ht="20.15" customHeight="1">
      <c r="A48" s="76" t="s">
        <v>363</v>
      </c>
      <c r="B48" s="70" t="s">
        <v>365</v>
      </c>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fitToHeight="0" fitToWidth="0" orientation="portrait"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48"/>
  <sheetViews>
    <sheetView view="pageBreakPreview" zoomScale="85" zoomScaleNormal="85" zoomScaleSheetLayoutView="85" workbookViewId="0" topLeftCell="A1">
      <selection pane="topLeft" activeCell="G2" sqref="G2"/>
    </sheetView>
  </sheetViews>
  <sheetFormatPr defaultColWidth="8.91714285714286" defaultRowHeight="20.15" customHeight="1"/>
  <cols>
    <col min="1" max="1" width="2.85714285714286" style="76" customWidth="1"/>
    <col min="2" max="2" width="10.8571428571429" style="70" customWidth="1"/>
    <col min="3" max="3" width="8.92857142857143" style="70"/>
    <col min="4" max="4" width="2.85714285714286" style="70" customWidth="1"/>
    <col min="5" max="10" width="12.8571428571429" style="76" customWidth="1"/>
    <col min="11" max="11" width="5.85714285714286" style="76" customWidth="1"/>
    <col min="12" max="12" width="13.6428571428571" style="70" customWidth="1"/>
    <col min="13" max="16384" width="8.92857142857143" style="70"/>
  </cols>
  <sheetData>
    <row r="1" spans="1:8" ht="20.15" customHeight="1">
      <c r="A1" s="79" t="str">
        <f ca="1">RIGHT(CELL("filename",D2),LEN(CELL("filename",D2))-FIND("]",CELL("filename",D2)))</f>
        <v>WP02 Accum Depr</v>
      </c>
      <c r="F1" s="612"/>
      <c r="G1" s="612"/>
      <c r="H1" s="612"/>
    </row>
    <row r="2" spans="6:8" ht="20.15" customHeight="1">
      <c r="F2" s="612"/>
      <c r="G2" s="612"/>
      <c r="H2" s="612"/>
    </row>
    <row r="3" spans="5:12" ht="20.15" customHeight="1">
      <c r="E3" s="78" t="s">
        <v>354</v>
      </c>
      <c r="F3" s="78" t="s">
        <v>33</v>
      </c>
      <c r="G3" s="78" t="s">
        <v>355</v>
      </c>
      <c r="H3" s="78" t="s">
        <v>356</v>
      </c>
      <c r="I3" s="78" t="s">
        <v>357</v>
      </c>
      <c r="J3" s="78" t="s">
        <v>358</v>
      </c>
      <c r="K3" s="70"/>
      <c r="L3" s="78" t="s">
        <v>11</v>
      </c>
    </row>
    <row r="4" spans="5:11" ht="20.15" customHeight="1">
      <c r="E4" s="78"/>
      <c r="F4" s="78"/>
      <c r="G4" s="78"/>
      <c r="H4" s="78"/>
      <c r="I4" s="78"/>
      <c r="J4" s="78"/>
      <c r="K4" s="70"/>
    </row>
    <row r="5" spans="4:11" ht="20.15" customHeight="1">
      <c r="D5" s="74" t="s">
        <v>363</v>
      </c>
      <c r="E5" s="77" t="s">
        <v>50</v>
      </c>
      <c r="F5" s="77" t="s">
        <v>366</v>
      </c>
      <c r="G5" s="77" t="s">
        <v>51</v>
      </c>
      <c r="H5" s="77" t="s">
        <v>368</v>
      </c>
      <c r="I5" s="77" t="s">
        <v>367</v>
      </c>
      <c r="J5" s="80">
        <v>356.10000000000002</v>
      </c>
      <c r="K5" s="70"/>
    </row>
    <row r="6" spans="1:12" ht="20.15" customHeight="1">
      <c r="A6" s="80">
        <v>1</v>
      </c>
      <c r="B6" s="70" t="s">
        <v>332</v>
      </c>
      <c r="C6" s="183">
        <f>'WP01 Plant'!C6</f>
        <v>2022</v>
      </c>
      <c r="E6" s="154"/>
      <c r="F6" s="154">
        <v>1263775833.4400001</v>
      </c>
      <c r="G6" s="154"/>
      <c r="H6" s="154">
        <v>59046935.689999998</v>
      </c>
      <c r="I6" s="154">
        <v>75441715.799999997</v>
      </c>
      <c r="J6" s="154"/>
      <c r="K6" s="155"/>
      <c r="L6" s="155">
        <f t="shared" si="0" ref="L6:L18">SUM(E6:J6)</f>
        <v>1398264484.9300001</v>
      </c>
    </row>
    <row r="7" spans="1:12" ht="20.15" customHeight="1">
      <c r="A7" s="80">
        <v>2</v>
      </c>
      <c r="B7" s="70" t="s">
        <v>333</v>
      </c>
      <c r="C7" s="73">
        <f>C6+1</f>
        <v>2023</v>
      </c>
      <c r="E7" s="154"/>
      <c r="F7" s="154">
        <v>1272788900.6700001</v>
      </c>
      <c r="G7" s="154"/>
      <c r="H7" s="154">
        <v>61870218.020000003</v>
      </c>
      <c r="I7" s="154">
        <v>76755270.510000005</v>
      </c>
      <c r="J7" s="154"/>
      <c r="K7" s="155"/>
      <c r="L7" s="155">
        <f t="shared" si="0"/>
        <v>1411414389.2</v>
      </c>
    </row>
    <row r="8" spans="1:12" ht="20.15" customHeight="1">
      <c r="A8" s="80">
        <v>3</v>
      </c>
      <c r="B8" s="70" t="s">
        <v>334</v>
      </c>
      <c r="C8" s="73">
        <f>C7</f>
        <v>2023</v>
      </c>
      <c r="E8" s="154"/>
      <c r="F8" s="154">
        <v>1278595110.5699999</v>
      </c>
      <c r="G8" s="154"/>
      <c r="H8" s="154">
        <v>63086578.090000004</v>
      </c>
      <c r="I8" s="154">
        <v>78081157.790000007</v>
      </c>
      <c r="J8" s="154"/>
      <c r="K8" s="155"/>
      <c r="L8" s="155">
        <f t="shared" si="0"/>
        <v>1419762846.4499998</v>
      </c>
    </row>
    <row r="9" spans="1:12" ht="20.15" customHeight="1">
      <c r="A9" s="80">
        <v>4</v>
      </c>
      <c r="B9" s="70" t="s">
        <v>335</v>
      </c>
      <c r="C9" s="73">
        <f t="shared" si="1" ref="C9:C18">C8</f>
        <v>2023</v>
      </c>
      <c r="E9" s="154"/>
      <c r="F9" s="154">
        <v>1282894353.45</v>
      </c>
      <c r="G9" s="154"/>
      <c r="H9" s="154">
        <v>64292775.219999999</v>
      </c>
      <c r="I9" s="154">
        <v>79405431.680000007</v>
      </c>
      <c r="J9" s="154"/>
      <c r="K9" s="155"/>
      <c r="L9" s="155">
        <f t="shared" si="0"/>
        <v>1426592560.3500001</v>
      </c>
    </row>
    <row r="10" spans="1:12" ht="20.15" customHeight="1">
      <c r="A10" s="80">
        <v>5</v>
      </c>
      <c r="B10" s="70" t="s">
        <v>336</v>
      </c>
      <c r="C10" s="73">
        <f t="shared" si="1"/>
        <v>2023</v>
      </c>
      <c r="E10" s="154"/>
      <c r="F10" s="154">
        <v>1290315860.6099999</v>
      </c>
      <c r="G10" s="154"/>
      <c r="H10" s="154">
        <v>65499873.289999999</v>
      </c>
      <c r="I10" s="154">
        <v>80758771.670000002</v>
      </c>
      <c r="J10" s="154"/>
      <c r="K10" s="155"/>
      <c r="L10" s="155">
        <f t="shared" si="0"/>
        <v>1436574505.5699999</v>
      </c>
    </row>
    <row r="11" spans="1:12" ht="20.15" customHeight="1">
      <c r="A11" s="80">
        <v>6</v>
      </c>
      <c r="B11" s="70" t="s">
        <v>337</v>
      </c>
      <c r="C11" s="73">
        <f t="shared" si="1"/>
        <v>2023</v>
      </c>
      <c r="E11" s="154"/>
      <c r="F11" s="154">
        <v>1296022247.5899999</v>
      </c>
      <c r="G11" s="154"/>
      <c r="H11" s="154">
        <v>66709274.479999997</v>
      </c>
      <c r="I11" s="154">
        <v>82112410.120000005</v>
      </c>
      <c r="J11" s="154"/>
      <c r="K11" s="155"/>
      <c r="L11" s="155">
        <f t="shared" si="0"/>
        <v>1444843932.1900001</v>
      </c>
    </row>
    <row r="12" spans="1:12" ht="20.15" customHeight="1">
      <c r="A12" s="80">
        <v>7</v>
      </c>
      <c r="B12" s="70" t="s">
        <v>353</v>
      </c>
      <c r="C12" s="73">
        <f t="shared" si="1"/>
        <v>2023</v>
      </c>
      <c r="E12" s="154"/>
      <c r="F12" s="154">
        <v>1305556084.01</v>
      </c>
      <c r="G12" s="154"/>
      <c r="H12" s="154">
        <v>67925481.609999999</v>
      </c>
      <c r="I12" s="154">
        <v>83492060.189999998</v>
      </c>
      <c r="J12" s="154"/>
      <c r="K12" s="155"/>
      <c r="L12" s="155">
        <f t="shared" si="0"/>
        <v>1456973625.8099999</v>
      </c>
    </row>
    <row r="13" spans="1:12" ht="20.15" customHeight="1">
      <c r="A13" s="80">
        <v>8</v>
      </c>
      <c r="B13" s="70" t="s">
        <v>338</v>
      </c>
      <c r="C13" s="73">
        <f t="shared" si="1"/>
        <v>2023</v>
      </c>
      <c r="E13" s="154"/>
      <c r="F13" s="154">
        <v>1311897176.52</v>
      </c>
      <c r="G13" s="154"/>
      <c r="H13" s="154">
        <v>66318568.829999998</v>
      </c>
      <c r="I13" s="154">
        <v>84649055.579999998</v>
      </c>
      <c r="J13" s="154"/>
      <c r="K13" s="155"/>
      <c r="L13" s="155">
        <f t="shared" si="0"/>
        <v>1462864800.9299998</v>
      </c>
    </row>
    <row r="14" spans="1:12" ht="20.15" customHeight="1">
      <c r="A14" s="80">
        <v>9</v>
      </c>
      <c r="B14" s="70" t="s">
        <v>339</v>
      </c>
      <c r="C14" s="73">
        <f t="shared" si="1"/>
        <v>2023</v>
      </c>
      <c r="E14" s="154"/>
      <c r="F14" s="154">
        <v>1321148545.78</v>
      </c>
      <c r="G14" s="154"/>
      <c r="H14" s="154">
        <v>67409283.030000001</v>
      </c>
      <c r="I14" s="154">
        <v>85829152.079999998</v>
      </c>
      <c r="J14" s="154"/>
      <c r="K14" s="155"/>
      <c r="L14" s="155">
        <f t="shared" si="0"/>
        <v>1474386980.8899999</v>
      </c>
    </row>
    <row r="15" spans="1:12" ht="20.15" customHeight="1">
      <c r="A15" s="80">
        <v>10</v>
      </c>
      <c r="B15" s="70" t="s">
        <v>340</v>
      </c>
      <c r="C15" s="73">
        <f t="shared" si="1"/>
        <v>2023</v>
      </c>
      <c r="E15" s="154"/>
      <c r="F15" s="154">
        <v>1324905405.0699999</v>
      </c>
      <c r="G15" s="154"/>
      <c r="H15" s="154">
        <v>68602245.079999998</v>
      </c>
      <c r="I15" s="154">
        <v>87012007.390000001</v>
      </c>
      <c r="J15" s="154"/>
      <c r="K15" s="155"/>
      <c r="L15" s="155">
        <f t="shared" si="0"/>
        <v>1480519657.54</v>
      </c>
    </row>
    <row r="16" spans="1:12" ht="20.15" customHeight="1">
      <c r="A16" s="80">
        <v>11</v>
      </c>
      <c r="B16" s="70" t="s">
        <v>342</v>
      </c>
      <c r="C16" s="73">
        <f t="shared" si="1"/>
        <v>2023</v>
      </c>
      <c r="E16" s="154"/>
      <c r="F16" s="154">
        <v>1329533809.5358334</v>
      </c>
      <c r="G16" s="154"/>
      <c r="H16" s="154">
        <v>69784602.099999994</v>
      </c>
      <c r="I16" s="154">
        <v>88180665.577999994</v>
      </c>
      <c r="J16" s="154"/>
      <c r="K16" s="155"/>
      <c r="L16" s="155">
        <f t="shared" si="0"/>
        <v>1487499077.2138333</v>
      </c>
    </row>
    <row r="17" spans="1:12" ht="20.15" customHeight="1">
      <c r="A17" s="80">
        <v>12</v>
      </c>
      <c r="B17" s="70" t="s">
        <v>341</v>
      </c>
      <c r="C17" s="73">
        <f t="shared" si="1"/>
        <v>2023</v>
      </c>
      <c r="E17" s="154"/>
      <c r="F17" s="154">
        <v>1331131758.8775001</v>
      </c>
      <c r="G17" s="154"/>
      <c r="H17" s="154">
        <v>70957638.450000003</v>
      </c>
      <c r="I17" s="154">
        <v>89346880.480000004</v>
      </c>
      <c r="J17" s="154"/>
      <c r="K17" s="155"/>
      <c r="L17" s="155">
        <f t="shared" si="0"/>
        <v>1491436277.8075001</v>
      </c>
    </row>
    <row r="18" spans="1:12" ht="20.15" customHeight="1">
      <c r="A18" s="80">
        <v>13</v>
      </c>
      <c r="B18" s="70" t="s">
        <v>332</v>
      </c>
      <c r="C18" s="73">
        <f t="shared" si="1"/>
        <v>2023</v>
      </c>
      <c r="E18" s="154"/>
      <c r="F18" s="154">
        <v>1335838928.5891666</v>
      </c>
      <c r="G18" s="154"/>
      <c r="H18" s="154">
        <v>72171989.25</v>
      </c>
      <c r="I18" s="154">
        <v>81614305.810000002</v>
      </c>
      <c r="J18" s="154"/>
      <c r="K18" s="155"/>
      <c r="L18" s="155">
        <f t="shared" si="0"/>
        <v>1489625223.6491666</v>
      </c>
    </row>
    <row r="19" spans="5:12" ht="20.15" customHeight="1">
      <c r="E19" s="156"/>
      <c r="F19" s="156"/>
      <c r="G19" s="156"/>
      <c r="H19" s="156"/>
      <c r="I19" s="156"/>
      <c r="J19" s="156"/>
      <c r="K19" s="155"/>
      <c r="L19" s="155"/>
    </row>
    <row r="20" spans="1:12" ht="20.15" customHeight="1">
      <c r="A20" s="80">
        <v>14</v>
      </c>
      <c r="B20" s="70" t="s">
        <v>362</v>
      </c>
      <c r="E20" s="156">
        <f>SUM(E6:E18)/13</f>
        <v>0</v>
      </c>
      <c r="F20" s="156">
        <f t="shared" si="2" ref="F20:L20">SUM(F6:F18)/13</f>
        <v>1303415693.4394231</v>
      </c>
      <c r="G20" s="156">
        <f t="shared" si="2"/>
        <v>0</v>
      </c>
      <c r="H20" s="156">
        <f t="shared" si="2"/>
        <v>66436574.087692313</v>
      </c>
      <c r="I20" s="156">
        <f t="shared" si="2"/>
        <v>82513760.359846145</v>
      </c>
      <c r="J20" s="156">
        <f t="shared" si="2"/>
        <v>0</v>
      </c>
      <c r="K20" s="156"/>
      <c r="L20" s="156">
        <f t="shared" si="2"/>
        <v>1452366027.8869615</v>
      </c>
    </row>
    <row r="22" spans="8:10" ht="20.15" customHeight="1">
      <c r="H22" s="599"/>
      <c r="I22" s="600"/>
      <c r="J22" s="600"/>
    </row>
    <row r="23" spans="2:13" ht="20.15" customHeight="1">
      <c r="B23" s="90" t="s">
        <v>408</v>
      </c>
      <c r="C23" s="91"/>
      <c r="D23" s="91"/>
      <c r="E23" s="92"/>
      <c r="F23" s="92"/>
      <c r="G23" s="92"/>
      <c r="H23" s="599"/>
      <c r="I23" s="600"/>
      <c r="J23" s="600"/>
      <c r="K23" s="113"/>
      <c r="L23" s="114"/>
      <c r="M23" s="114"/>
    </row>
    <row r="24" spans="2:11" ht="20.15" customHeight="1">
      <c r="B24" s="94"/>
      <c r="E24" s="70"/>
      <c r="F24" s="78" t="s">
        <v>33</v>
      </c>
      <c r="G24" s="95"/>
      <c r="H24" s="599"/>
      <c r="I24" s="600"/>
      <c r="J24" s="600"/>
      <c r="K24" s="70"/>
    </row>
    <row r="25" spans="2:11" ht="20.15" customHeight="1">
      <c r="B25" s="94"/>
      <c r="E25" s="70"/>
      <c r="F25" s="78"/>
      <c r="G25" s="95"/>
      <c r="H25" s="599"/>
      <c r="I25" s="600"/>
      <c r="J25" s="600"/>
      <c r="K25" s="70"/>
    </row>
    <row r="26" spans="2:11" ht="20.15" customHeight="1">
      <c r="B26" s="94"/>
      <c r="D26" s="74" t="s">
        <v>363</v>
      </c>
      <c r="E26" s="70"/>
      <c r="F26" s="77" t="s">
        <v>407</v>
      </c>
      <c r="G26" s="95"/>
      <c r="H26" s="70"/>
      <c r="I26" s="70"/>
      <c r="J26" s="70"/>
      <c r="K26" s="70"/>
    </row>
    <row r="27" spans="1:11" ht="20.15" customHeight="1">
      <c r="A27" s="80">
        <v>15</v>
      </c>
      <c r="B27" s="94" t="s">
        <v>332</v>
      </c>
      <c r="C27" s="183">
        <f>C6</f>
        <v>2022</v>
      </c>
      <c r="E27" s="70"/>
      <c r="F27" s="157">
        <v>1828487</v>
      </c>
      <c r="G27" s="95"/>
      <c r="H27" s="70"/>
      <c r="I27" s="70"/>
      <c r="J27" s="70"/>
      <c r="K27" s="70"/>
    </row>
    <row r="28" spans="1:11" ht="20.15" customHeight="1">
      <c r="A28" s="80">
        <v>16</v>
      </c>
      <c r="B28" s="94" t="s">
        <v>333</v>
      </c>
      <c r="C28" s="73">
        <f>C27+1</f>
        <v>2023</v>
      </c>
      <c r="E28" s="70"/>
      <c r="F28" s="157">
        <v>1828524</v>
      </c>
      <c r="G28" s="95"/>
      <c r="H28" s="70"/>
      <c r="I28" s="70"/>
      <c r="J28" s="70"/>
      <c r="K28" s="70"/>
    </row>
    <row r="29" spans="1:11" ht="20.15" customHeight="1">
      <c r="A29" s="80">
        <v>17</v>
      </c>
      <c r="B29" s="94" t="s">
        <v>334</v>
      </c>
      <c r="C29" s="73">
        <f>C28</f>
        <v>2023</v>
      </c>
      <c r="E29" s="70"/>
      <c r="F29" s="157">
        <v>1828560</v>
      </c>
      <c r="G29" s="95"/>
      <c r="H29" s="70"/>
      <c r="I29" s="70"/>
      <c r="J29" s="70"/>
      <c r="K29" s="70"/>
    </row>
    <row r="30" spans="1:11" ht="20.15" customHeight="1">
      <c r="A30" s="80">
        <v>18</v>
      </c>
      <c r="B30" s="94" t="s">
        <v>335</v>
      </c>
      <c r="C30" s="73">
        <f t="shared" si="3" ref="C30:C39">C29</f>
        <v>2023</v>
      </c>
      <c r="E30" s="70"/>
      <c r="F30" s="157">
        <v>1828597</v>
      </c>
      <c r="G30" s="95"/>
      <c r="H30" s="70"/>
      <c r="I30" s="70"/>
      <c r="J30" s="70"/>
      <c r="K30" s="70"/>
    </row>
    <row r="31" spans="1:11" ht="20.15" customHeight="1">
      <c r="A31" s="80">
        <v>19</v>
      </c>
      <c r="B31" s="94" t="s">
        <v>336</v>
      </c>
      <c r="C31" s="73">
        <f t="shared" si="3"/>
        <v>2023</v>
      </c>
      <c r="E31" s="70"/>
      <c r="F31" s="157">
        <v>1828634</v>
      </c>
      <c r="G31" s="95"/>
      <c r="H31" s="70"/>
      <c r="I31" s="70"/>
      <c r="J31" s="70"/>
      <c r="K31" s="70"/>
    </row>
    <row r="32" spans="1:11" ht="20.15" customHeight="1">
      <c r="A32" s="80">
        <v>20</v>
      </c>
      <c r="B32" s="94" t="s">
        <v>337</v>
      </c>
      <c r="C32" s="73">
        <f t="shared" si="3"/>
        <v>2023</v>
      </c>
      <c r="E32" s="70"/>
      <c r="F32" s="157">
        <v>1828671</v>
      </c>
      <c r="G32" s="95"/>
      <c r="H32" s="70"/>
      <c r="I32" s="70"/>
      <c r="J32" s="70"/>
      <c r="K32" s="70"/>
    </row>
    <row r="33" spans="1:11" ht="20.15" customHeight="1">
      <c r="A33" s="80">
        <v>21</v>
      </c>
      <c r="B33" s="94" t="s">
        <v>353</v>
      </c>
      <c r="C33" s="73">
        <f t="shared" si="3"/>
        <v>2023</v>
      </c>
      <c r="E33" s="70"/>
      <c r="F33" s="157">
        <v>1828707</v>
      </c>
      <c r="G33" s="95"/>
      <c r="H33" s="70"/>
      <c r="I33" s="70"/>
      <c r="J33" s="70"/>
      <c r="K33" s="70"/>
    </row>
    <row r="34" spans="1:11" ht="20.15" customHeight="1">
      <c r="A34" s="80">
        <v>22</v>
      </c>
      <c r="B34" s="94" t="s">
        <v>338</v>
      </c>
      <c r="C34" s="73">
        <f t="shared" si="3"/>
        <v>2023</v>
      </c>
      <c r="E34" s="70"/>
      <c r="F34" s="157">
        <v>1828744</v>
      </c>
      <c r="G34" s="95"/>
      <c r="H34" s="70"/>
      <c r="I34" s="70"/>
      <c r="J34" s="70"/>
      <c r="K34" s="70"/>
    </row>
    <row r="35" spans="1:11" ht="20.15" customHeight="1">
      <c r="A35" s="80">
        <v>23</v>
      </c>
      <c r="B35" s="94" t="s">
        <v>339</v>
      </c>
      <c r="C35" s="73">
        <f t="shared" si="3"/>
        <v>2023</v>
      </c>
      <c r="E35" s="70"/>
      <c r="F35" s="157">
        <v>1828781</v>
      </c>
      <c r="G35" s="95"/>
      <c r="H35" s="70"/>
      <c r="I35" s="70"/>
      <c r="J35" s="70"/>
      <c r="K35" s="70"/>
    </row>
    <row r="36" spans="1:11" ht="20.15" customHeight="1">
      <c r="A36" s="80">
        <v>24</v>
      </c>
      <c r="B36" s="94" t="s">
        <v>340</v>
      </c>
      <c r="C36" s="73">
        <f t="shared" si="3"/>
        <v>2023</v>
      </c>
      <c r="E36" s="70"/>
      <c r="F36" s="157">
        <v>1828817</v>
      </c>
      <c r="G36" s="95"/>
      <c r="H36" s="70"/>
      <c r="I36" s="70"/>
      <c r="J36" s="70"/>
      <c r="K36" s="70"/>
    </row>
    <row r="37" spans="1:11" ht="20.15" customHeight="1">
      <c r="A37" s="80">
        <v>25</v>
      </c>
      <c r="B37" s="94" t="s">
        <v>342</v>
      </c>
      <c r="C37" s="73">
        <f t="shared" si="3"/>
        <v>2023</v>
      </c>
      <c r="E37" s="70"/>
      <c r="F37" s="157">
        <v>1828854</v>
      </c>
      <c r="G37" s="95"/>
      <c r="H37" s="70"/>
      <c r="I37" s="70"/>
      <c r="J37" s="70"/>
      <c r="K37" s="70"/>
    </row>
    <row r="38" spans="1:11" ht="20.15" customHeight="1">
      <c r="A38" s="80">
        <v>26</v>
      </c>
      <c r="B38" s="94" t="s">
        <v>341</v>
      </c>
      <c r="C38" s="73">
        <f t="shared" si="3"/>
        <v>2023</v>
      </c>
      <c r="E38" s="70"/>
      <c r="F38" s="157">
        <v>1828891</v>
      </c>
      <c r="G38" s="95"/>
      <c r="H38" s="70"/>
      <c r="I38" s="70"/>
      <c r="J38" s="70"/>
      <c r="K38" s="70"/>
    </row>
    <row r="39" spans="1:11" ht="20.15" customHeight="1">
      <c r="A39" s="80">
        <v>27</v>
      </c>
      <c r="B39" s="94" t="s">
        <v>332</v>
      </c>
      <c r="C39" s="73">
        <f t="shared" si="3"/>
        <v>2023</v>
      </c>
      <c r="E39" s="70"/>
      <c r="F39" s="157">
        <v>1828927</v>
      </c>
      <c r="G39" s="95"/>
      <c r="H39" s="70"/>
      <c r="I39" s="70"/>
      <c r="J39" s="70"/>
      <c r="K39" s="70"/>
    </row>
    <row r="40" spans="2:11" ht="20.15" customHeight="1">
      <c r="B40" s="94"/>
      <c r="E40" s="70"/>
      <c r="F40" s="158"/>
      <c r="G40" s="95"/>
      <c r="H40" s="70"/>
      <c r="I40" s="70"/>
      <c r="J40" s="70"/>
      <c r="K40" s="70"/>
    </row>
    <row r="41" spans="1:11" ht="20.15" customHeight="1">
      <c r="A41" s="80">
        <v>28</v>
      </c>
      <c r="B41" s="96" t="s">
        <v>362</v>
      </c>
      <c r="C41" s="97"/>
      <c r="D41" s="97"/>
      <c r="E41" s="97"/>
      <c r="F41" s="159">
        <f>SUM(F27:F39)/13</f>
        <v>1828707.2307692308</v>
      </c>
      <c r="G41" s="98"/>
      <c r="H41" s="70"/>
      <c r="I41" s="70"/>
      <c r="J41" s="70"/>
      <c r="K41" s="70"/>
    </row>
    <row r="47" spans="1:1" ht="20.15" customHeight="1">
      <c r="A47" s="70" t="s">
        <v>364</v>
      </c>
    </row>
    <row r="48" spans="1:2" ht="20.15" customHeight="1">
      <c r="A48" s="76" t="s">
        <v>363</v>
      </c>
      <c r="B48" s="70" t="s">
        <v>365</v>
      </c>
    </row>
  </sheetData>
  <customSheetViews>
    <customSheetView guid="{e1861f40-ebd5-44ae-868b-fde0ed504d72}" scale="85" topLeftCell="A1">
      <selection pane="topLeft" activeCell="E9" sqref="E9"/>
      <pageMargins left="0.7" right="0.7" top="0.75" bottom="0.75" header="0.3" footer="0.3"/>
      <pageSetup fitToHeight="0" fitToWidth="0" orientation="portrait" scale="55" r:id="rId2"/>
    </customSheetView>
  </customSheetViews>
  <pageMargins left="0.7" right="0.7" top="0.75" bottom="0.75" header="0.3" footer="0.3"/>
  <pageSetup fitToHeight="0" fitToWidth="0" orientation="portrait" scale="6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F8872B-F487-45C1-97FA-96ECF46DB23D}">
  <sheetPr codeName="Sheet20"/>
  <dimension ref="A1:M54"/>
  <sheetViews>
    <sheetView view="pageBreakPreview" zoomScale="80" zoomScaleNormal="85" zoomScaleSheetLayoutView="80" workbookViewId="0" topLeftCell="A1">
      <selection pane="topLeft" activeCell="C2" sqref="C2"/>
    </sheetView>
  </sheetViews>
  <sheetFormatPr defaultColWidth="8.91714285714286" defaultRowHeight="14.5"/>
  <cols>
    <col min="1" max="1" width="8.92857142857143" style="322"/>
    <col min="2" max="2" width="9" style="322" customWidth="1"/>
    <col min="3" max="3" width="27.1428571428571" style="322" customWidth="1"/>
    <col min="4" max="4" width="3.07142857142857" style="322" customWidth="1"/>
    <col min="5" max="5" width="14.9285714285714" style="322" customWidth="1"/>
    <col min="6" max="6" width="15.3571428571429" style="322" customWidth="1"/>
    <col min="7" max="8" width="13.8571428571429" style="322" customWidth="1"/>
    <col min="9" max="9" width="13.5" style="322" customWidth="1"/>
    <col min="10" max="10" width="16.5" style="322" customWidth="1"/>
    <col min="11" max="11" width="17.1428571428571" style="322" customWidth="1"/>
    <col min="12" max="12" width="12.9285714285714" style="322" customWidth="1"/>
    <col min="13" max="13" width="15.3571428571429" style="322" customWidth="1"/>
    <col min="14" max="16384" width="8.92857142857143" style="322"/>
  </cols>
  <sheetData>
    <row r="1" spans="1:13" ht="15.5">
      <c r="A1" s="79" t="str">
        <f ca="1">RIGHT(CELL("filename",D2),LEN(CELL("filename",D2))-FIND("]",CELL("filename",D2)))</f>
        <v>WP03-A - ADIT Norm</v>
      </c>
      <c r="E1" s="433"/>
      <c r="F1" s="613"/>
      <c r="G1" s="613"/>
      <c r="H1" s="613"/>
      <c r="I1" s="613"/>
      <c r="M1" s="3"/>
    </row>
    <row r="2" spans="6:13" ht="15.5">
      <c r="F2" s="613"/>
      <c r="G2" s="613"/>
      <c r="H2" s="613"/>
      <c r="I2" s="613"/>
      <c r="M2" s="116"/>
    </row>
    <row r="3" spans="6:13" ht="15.5">
      <c r="F3" s="613"/>
      <c r="G3" s="613"/>
      <c r="H3" s="613"/>
      <c r="I3" s="613"/>
      <c r="M3" s="3"/>
    </row>
    <row r="4" spans="3:3" ht="15.5">
      <c r="C4" s="79"/>
    </row>
    <row r="5" spans="3:12" ht="15" thickBot="1">
      <c r="C5" s="323" t="s">
        <v>141</v>
      </c>
      <c r="D5" s="324"/>
      <c r="E5" s="323" t="s">
        <v>142</v>
      </c>
      <c r="F5" s="323" t="s">
        <v>143</v>
      </c>
      <c r="G5" s="323" t="s">
        <v>144</v>
      </c>
      <c r="H5" s="323" t="s">
        <v>145</v>
      </c>
      <c r="I5" s="323" t="s">
        <v>146</v>
      </c>
      <c r="J5" s="323" t="s">
        <v>147</v>
      </c>
      <c r="K5" s="323" t="s">
        <v>149</v>
      </c>
      <c r="L5" s="323" t="s">
        <v>150</v>
      </c>
    </row>
    <row r="6" spans="1:12" ht="15" thickBot="1">
      <c r="A6" s="325" t="s">
        <v>5</v>
      </c>
      <c r="B6" s="325"/>
      <c r="C6" s="326"/>
      <c r="D6" s="327"/>
      <c r="E6" s="723" t="str">
        <f>'Appendix G(3) - ADIT'!C10&amp;" Quarterly Activity and Balances"</f>
        <v>2023 Quarterly Activity and Balances</v>
      </c>
      <c r="F6" s="723"/>
      <c r="G6" s="723"/>
      <c r="H6" s="723"/>
      <c r="I6" s="723"/>
      <c r="J6" s="723"/>
      <c r="K6" s="723"/>
      <c r="L6" s="724"/>
    </row>
    <row r="7" spans="3:12" ht="14.5">
      <c r="C7" s="328"/>
      <c r="E7" s="329"/>
      <c r="F7" s="329"/>
      <c r="G7" s="329"/>
      <c r="H7" s="329"/>
      <c r="I7" s="329"/>
      <c r="J7" s="329"/>
      <c r="K7" s="329"/>
      <c r="L7" s="330"/>
    </row>
    <row r="8" spans="3:12" ht="29">
      <c r="C8" s="331" t="s">
        <v>744</v>
      </c>
      <c r="D8" s="332"/>
      <c r="E8" s="333" t="s">
        <v>740</v>
      </c>
      <c r="F8" s="334" t="s">
        <v>745</v>
      </c>
      <c r="G8" s="333" t="s">
        <v>741</v>
      </c>
      <c r="H8" s="334" t="s">
        <v>746</v>
      </c>
      <c r="I8" s="333" t="s">
        <v>742</v>
      </c>
      <c r="J8" s="334" t="s">
        <v>747</v>
      </c>
      <c r="K8" s="333" t="s">
        <v>743</v>
      </c>
      <c r="L8" s="335" t="s">
        <v>748</v>
      </c>
    </row>
    <row r="9" spans="1:12" ht="14.5">
      <c r="A9" s="323">
        <v>1</v>
      </c>
      <c r="B9" s="602" t="s">
        <v>1139</v>
      </c>
      <c r="C9" s="337">
        <f>'WP03-B - ADIT Detail'!C120</f>
        <v>103950147.86999999</v>
      </c>
      <c r="D9" s="324"/>
      <c r="E9" s="324">
        <f>F9-C9</f>
        <v>22511.105000004172</v>
      </c>
      <c r="F9" s="324">
        <f>'WP03-B - ADIT Detail'!D120</f>
        <v>103972658.97499999</v>
      </c>
      <c r="G9" s="324">
        <f>H9-F9</f>
        <v>22511.105000004172</v>
      </c>
      <c r="H9" s="324">
        <f>'WP03-B - ADIT Detail'!E120</f>
        <v>103995170.08</v>
      </c>
      <c r="I9" s="324">
        <f>J9-H9</f>
        <v>22511.105000004172</v>
      </c>
      <c r="J9" s="324">
        <f>'WP03-B - ADIT Detail'!F120</f>
        <v>104017681.185</v>
      </c>
      <c r="K9" s="324">
        <f>L9-J9</f>
        <v>22511.105000019073</v>
      </c>
      <c r="L9" s="336">
        <f>'WP03-B - ADIT Detail'!G120</f>
        <v>104040192.29000002</v>
      </c>
    </row>
    <row r="10" spans="3:12" ht="14.5">
      <c r="C10" s="337"/>
      <c r="D10" s="324"/>
      <c r="E10" s="324"/>
      <c r="F10" s="324"/>
      <c r="G10" s="324"/>
      <c r="H10" s="324"/>
      <c r="I10" s="324"/>
      <c r="J10" s="324"/>
      <c r="K10" s="324"/>
      <c r="L10" s="336"/>
    </row>
    <row r="11" spans="3:12" ht="29">
      <c r="C11" s="338" t="str">
        <f>C8</f>
        <v>Beginning 190 (including adjustments)</v>
      </c>
      <c r="D11" s="324"/>
      <c r="E11" s="339" t="s">
        <v>749</v>
      </c>
      <c r="F11" s="324"/>
      <c r="G11" s="339" t="s">
        <v>750</v>
      </c>
      <c r="H11" s="324"/>
      <c r="I11" s="339" t="s">
        <v>751</v>
      </c>
      <c r="J11" s="324"/>
      <c r="K11" s="339" t="s">
        <v>752</v>
      </c>
      <c r="L11" s="336"/>
    </row>
    <row r="12" spans="1:13" ht="14.5">
      <c r="A12" s="323">
        <v>2</v>
      </c>
      <c r="B12" s="420" t="s">
        <v>1139</v>
      </c>
      <c r="C12" s="340">
        <f>C9</f>
        <v>103950147.86999999</v>
      </c>
      <c r="D12" s="324"/>
      <c r="E12" s="339">
        <f>(276/365)*E9</f>
        <v>17022.095835619595</v>
      </c>
      <c r="F12" s="324"/>
      <c r="G12" s="339">
        <f>(185/365)*G9</f>
        <v>11409.738150687046</v>
      </c>
      <c r="H12" s="324"/>
      <c r="I12" s="339">
        <f>(93/365)*I9</f>
        <v>5735.7062054805156</v>
      </c>
      <c r="J12" s="324"/>
      <c r="K12" s="339">
        <f>(1/365)*K9</f>
        <v>61.67426027402486</v>
      </c>
      <c r="L12" s="336"/>
      <c r="M12" s="399"/>
    </row>
    <row r="13" spans="3:13" ht="14.5">
      <c r="C13" s="340"/>
      <c r="D13" s="324"/>
      <c r="E13" s="339"/>
      <c r="F13" s="324"/>
      <c r="G13" s="339"/>
      <c r="H13" s="324"/>
      <c r="I13" s="339"/>
      <c r="J13" s="324"/>
      <c r="K13" s="339"/>
      <c r="L13" s="336"/>
      <c r="M13" s="400"/>
    </row>
    <row r="14" spans="3:13" ht="29">
      <c r="C14" s="338" t="s">
        <v>753</v>
      </c>
      <c r="D14" s="324"/>
      <c r="E14" s="333" t="s">
        <v>740</v>
      </c>
      <c r="F14" s="334" t="s">
        <v>745</v>
      </c>
      <c r="G14" s="333" t="s">
        <v>741</v>
      </c>
      <c r="H14" s="334" t="s">
        <v>746</v>
      </c>
      <c r="I14" s="333" t="s">
        <v>742</v>
      </c>
      <c r="J14" s="334" t="s">
        <v>747</v>
      </c>
      <c r="K14" s="333" t="s">
        <v>743</v>
      </c>
      <c r="L14" s="335" t="s">
        <v>748</v>
      </c>
      <c r="M14" s="400"/>
    </row>
    <row r="15" spans="1:13" ht="14.5">
      <c r="A15" s="323">
        <v>3</v>
      </c>
      <c r="B15" s="420" t="s">
        <v>1139</v>
      </c>
      <c r="C15" s="337">
        <f>'WP03-B - ADIT Detail'!C230</f>
        <v>982400246.67000008</v>
      </c>
      <c r="D15" s="324"/>
      <c r="E15" s="324">
        <f>F15-C15</f>
        <v>9058655.0324995518</v>
      </c>
      <c r="F15" s="324">
        <f>'WP03-B - ADIT Detail'!D230</f>
        <v>991458901.70249963</v>
      </c>
      <c r="G15" s="324">
        <f>H15-F15</f>
        <v>9058655.0324997902</v>
      </c>
      <c r="H15" s="324">
        <f>'WP03-B - ADIT Detail'!E230</f>
        <v>1000517556.7349994</v>
      </c>
      <c r="I15" s="324">
        <f>J15-H15</f>
        <v>9058655.0325007439</v>
      </c>
      <c r="J15" s="324">
        <f>'WP03-B - ADIT Detail'!F230</f>
        <v>1009576211.7675002</v>
      </c>
      <c r="K15" s="324">
        <f>L15-J15</f>
        <v>9058655.0324995518</v>
      </c>
      <c r="L15" s="336">
        <f>'WP03-B - ADIT Detail'!G230</f>
        <v>1018634866.7999997</v>
      </c>
      <c r="M15" s="400"/>
    </row>
    <row r="16" spans="3:13" ht="14.5">
      <c r="C16" s="337"/>
      <c r="D16" s="324"/>
      <c r="E16" s="324"/>
      <c r="F16" s="324"/>
      <c r="G16" s="324"/>
      <c r="H16" s="324"/>
      <c r="I16" s="324"/>
      <c r="J16" s="324"/>
      <c r="K16" s="324"/>
      <c r="L16" s="336"/>
      <c r="M16" s="400"/>
    </row>
    <row r="17" spans="3:13" ht="29">
      <c r="C17" s="338" t="str">
        <f>C14</f>
        <v xml:space="preserve">Beginning 282 (including adjustments) </v>
      </c>
      <c r="D17" s="324"/>
      <c r="E17" s="339" t="s">
        <v>749</v>
      </c>
      <c r="F17" s="324"/>
      <c r="G17" s="339" t="s">
        <v>750</v>
      </c>
      <c r="H17" s="324"/>
      <c r="I17" s="339" t="s">
        <v>751</v>
      </c>
      <c r="J17" s="324"/>
      <c r="K17" s="339" t="s">
        <v>752</v>
      </c>
      <c r="L17" s="336"/>
      <c r="M17" s="400"/>
    </row>
    <row r="18" spans="1:13" ht="14.5">
      <c r="A18" s="323">
        <v>4</v>
      </c>
      <c r="B18" s="420" t="s">
        <v>1139</v>
      </c>
      <c r="C18" s="340">
        <f>C15</f>
        <v>982400246.67000008</v>
      </c>
      <c r="D18" s="324"/>
      <c r="E18" s="339">
        <f>(276/365)*E15</f>
        <v>6849832.298547606</v>
      </c>
      <c r="F18" s="324"/>
      <c r="G18" s="339">
        <f>(185/365)*G15</f>
        <v>4591373.0986642772</v>
      </c>
      <c r="H18" s="324"/>
      <c r="I18" s="339">
        <f>(93/365)*I15</f>
        <v>2308095.6658152579</v>
      </c>
      <c r="J18" s="324"/>
      <c r="K18" s="339">
        <f>(1/365)*K15</f>
        <v>24818.232965752199</v>
      </c>
      <c r="L18" s="336"/>
      <c r="M18" s="399"/>
    </row>
    <row r="19" spans="3:13" ht="14.5">
      <c r="C19" s="340"/>
      <c r="D19" s="324"/>
      <c r="E19" s="339"/>
      <c r="F19" s="324"/>
      <c r="G19" s="339"/>
      <c r="H19" s="324"/>
      <c r="I19" s="339"/>
      <c r="J19" s="324"/>
      <c r="K19" s="339"/>
      <c r="L19" s="336"/>
      <c r="M19" s="400"/>
    </row>
    <row r="20" spans="3:13" ht="29">
      <c r="C20" s="338" t="s">
        <v>754</v>
      </c>
      <c r="D20" s="324"/>
      <c r="E20" s="333" t="s">
        <v>740</v>
      </c>
      <c r="F20" s="334" t="s">
        <v>745</v>
      </c>
      <c r="G20" s="333" t="s">
        <v>741</v>
      </c>
      <c r="H20" s="334" t="s">
        <v>746</v>
      </c>
      <c r="I20" s="333" t="s">
        <v>742</v>
      </c>
      <c r="J20" s="334" t="s">
        <v>747</v>
      </c>
      <c r="K20" s="333" t="s">
        <v>743</v>
      </c>
      <c r="L20" s="335" t="s">
        <v>748</v>
      </c>
      <c r="M20" s="400"/>
    </row>
    <row r="21" spans="1:13" ht="14.5">
      <c r="A21" s="323">
        <v>5</v>
      </c>
      <c r="B21" s="420" t="s">
        <v>1139</v>
      </c>
      <c r="C21" s="337">
        <f>'WP03-B - ADIT Detail'!C309</f>
        <v>29879616.550000001</v>
      </c>
      <c r="D21" s="324"/>
      <c r="E21" s="324">
        <f>F21-C21</f>
        <v>232666.55000000075</v>
      </c>
      <c r="F21" s="324">
        <f>'WP03-B - ADIT Detail'!D309</f>
        <v>30112283.100000001</v>
      </c>
      <c r="G21" s="324">
        <f>H21-F21</f>
        <v>232666.54999999702</v>
      </c>
      <c r="H21" s="324">
        <f>'WP03-B - ADIT Detail'!E309</f>
        <v>30344949.649999999</v>
      </c>
      <c r="I21" s="324">
        <f>J21-H21</f>
        <v>232666.54999999702</v>
      </c>
      <c r="J21" s="324">
        <f>'WP03-B - ADIT Detail'!F309</f>
        <v>30577616.199999996</v>
      </c>
      <c r="K21" s="324">
        <f>L21-J21</f>
        <v>232666.55000000447</v>
      </c>
      <c r="L21" s="336">
        <f>'WP03-B - ADIT Detail'!G309</f>
        <v>30810282.75</v>
      </c>
      <c r="M21" s="400"/>
    </row>
    <row r="22" spans="3:13" ht="14.5">
      <c r="C22" s="337"/>
      <c r="D22" s="324"/>
      <c r="E22" s="324"/>
      <c r="F22" s="324"/>
      <c r="G22" s="324"/>
      <c r="H22" s="324"/>
      <c r="I22" s="324"/>
      <c r="J22" s="324"/>
      <c r="K22" s="324"/>
      <c r="L22" s="336"/>
      <c r="M22" s="400"/>
    </row>
    <row r="23" spans="2:13" ht="30.65" customHeight="1">
      <c r="B23" s="341"/>
      <c r="C23" s="338" t="str">
        <f>C20</f>
        <v xml:space="preserve">Beginning 283 (Including adjustments) </v>
      </c>
      <c r="D23" s="324"/>
      <c r="E23" s="339" t="s">
        <v>749</v>
      </c>
      <c r="F23" s="324"/>
      <c r="G23" s="339" t="s">
        <v>750</v>
      </c>
      <c r="H23" s="324"/>
      <c r="I23" s="339" t="s">
        <v>751</v>
      </c>
      <c r="J23" s="324"/>
      <c r="K23" s="339" t="s">
        <v>752</v>
      </c>
      <c r="L23" s="336"/>
      <c r="M23" s="400"/>
    </row>
    <row r="24" spans="1:13" ht="15" thickBot="1">
      <c r="A24" s="323">
        <v>6</v>
      </c>
      <c r="B24" s="420" t="s">
        <v>1139</v>
      </c>
      <c r="C24" s="342">
        <f>C21</f>
        <v>29879616.550000001</v>
      </c>
      <c r="D24" s="343"/>
      <c r="E24" s="344">
        <f>(276/365)*E21</f>
        <v>175934.15835616496</v>
      </c>
      <c r="F24" s="343"/>
      <c r="G24" s="344">
        <f>(185/365)*G21</f>
        <v>117926.88150684781</v>
      </c>
      <c r="H24" s="343"/>
      <c r="I24" s="344">
        <f>(93/365)*I21</f>
        <v>59282.162054793764</v>
      </c>
      <c r="J24" s="343"/>
      <c r="K24" s="344">
        <f>(1/365)*K21</f>
        <v>637.44260273973828</v>
      </c>
      <c r="L24" s="345"/>
      <c r="M24" s="399"/>
    </row>
    <row r="26" spans="3:11" ht="14.5">
      <c r="C26" s="346"/>
      <c r="E26" s="347"/>
      <c r="G26" s="347"/>
      <c r="I26" s="347"/>
      <c r="K26" s="347"/>
    </row>
    <row r="27" spans="3:12" ht="14.5">
      <c r="C27" s="339"/>
      <c r="D27" s="324"/>
      <c r="E27" s="339"/>
      <c r="F27" s="324"/>
      <c r="G27" s="339"/>
      <c r="H27" s="324"/>
      <c r="I27" s="339"/>
      <c r="J27" s="324"/>
      <c r="K27" s="339"/>
      <c r="L27" s="324"/>
    </row>
    <row r="29" spans="5:12" ht="14.5">
      <c r="E29" s="324"/>
      <c r="G29" s="324"/>
      <c r="I29" s="324"/>
      <c r="K29" s="324"/>
      <c r="L29" s="324"/>
    </row>
    <row r="30" spans="10:10" ht="14.5">
      <c r="J30" s="603"/>
    </row>
    <row r="31" spans="5:13" ht="15.5">
      <c r="E31" s="348"/>
      <c r="M31" s="3"/>
    </row>
    <row r="32" spans="5:13" ht="15.5">
      <c r="E32" s="348"/>
      <c r="M32" s="3"/>
    </row>
    <row r="33" spans="5:13" ht="15.5">
      <c r="E33" s="348"/>
      <c r="G33" s="725" t="s">
        <v>1138</v>
      </c>
      <c r="H33" s="726"/>
      <c r="M33" s="3"/>
    </row>
    <row r="35" spans="5:13" ht="14.5">
      <c r="E35" s="323" t="s">
        <v>151</v>
      </c>
      <c r="F35" s="323" t="s">
        <v>152</v>
      </c>
      <c r="G35" s="323" t="s">
        <v>156</v>
      </c>
      <c r="H35" s="323" t="s">
        <v>157</v>
      </c>
      <c r="I35" s="323" t="s">
        <v>158</v>
      </c>
      <c r="J35" s="323" t="s">
        <v>159</v>
      </c>
      <c r="K35" s="323" t="s">
        <v>161</v>
      </c>
      <c r="L35" s="323"/>
      <c r="M35" s="323"/>
    </row>
    <row r="36" spans="5:13" ht="42.9" customHeight="1">
      <c r="E36" s="323"/>
      <c r="F36" s="333" t="s">
        <v>755</v>
      </c>
      <c r="G36" s="401" t="s">
        <v>770</v>
      </c>
      <c r="H36" s="323" t="s">
        <v>756</v>
      </c>
      <c r="I36" s="323"/>
      <c r="J36" s="323" t="s">
        <v>757</v>
      </c>
      <c r="K36" s="333" t="s">
        <v>758</v>
      </c>
      <c r="L36" s="323"/>
      <c r="M36" s="323"/>
    </row>
    <row r="37" spans="1:11" ht="61.5" customHeight="1">
      <c r="A37" s="325" t="s">
        <v>5</v>
      </c>
      <c r="B37" s="325"/>
      <c r="C37" s="349" t="s">
        <v>759</v>
      </c>
      <c r="E37" s="350" t="s">
        <v>760</v>
      </c>
      <c r="F37" s="351" t="s">
        <v>761</v>
      </c>
      <c r="G37" s="352" t="s">
        <v>762</v>
      </c>
      <c r="H37" s="352" t="s">
        <v>763</v>
      </c>
      <c r="I37" s="352" t="s">
        <v>764</v>
      </c>
      <c r="J37" s="352" t="s">
        <v>765</v>
      </c>
      <c r="K37" s="352" t="s">
        <v>795</v>
      </c>
    </row>
    <row r="39" spans="1:13" ht="14.5">
      <c r="A39" s="323">
        <v>7</v>
      </c>
      <c r="B39" s="420" t="s">
        <v>1139</v>
      </c>
      <c r="C39" s="322" t="s">
        <v>766</v>
      </c>
      <c r="E39" s="417">
        <f>'Appendix G(3) - ADIT'!H10</f>
        <v>203271196</v>
      </c>
      <c r="F39" s="356">
        <f>E9+G9+I9+K9</f>
        <v>90044.42000003159</v>
      </c>
      <c r="G39" s="356">
        <f>(C12+E12+G12+I12+K12)</f>
        <v>103984377.08445206</v>
      </c>
      <c r="H39" s="354">
        <f>E39-G39</f>
        <v>99286818.915547937</v>
      </c>
      <c r="I39" s="353">
        <v>99231003.709999979</v>
      </c>
      <c r="J39" s="355">
        <f>H39-I39</f>
        <v>55815.205547958612</v>
      </c>
      <c r="K39" s="355">
        <f>E39-I39-J39</f>
        <v>103984377.08445206</v>
      </c>
      <c r="L39" s="357"/>
      <c r="M39" s="357"/>
    </row>
    <row r="40" spans="6:11" ht="14.5">
      <c r="F40" s="356"/>
      <c r="G40" s="356"/>
      <c r="H40" s="354"/>
      <c r="I40" s="356"/>
      <c r="J40" s="354"/>
      <c r="K40" s="354"/>
    </row>
    <row r="41" spans="1:13" ht="14.5">
      <c r="A41" s="323">
        <v>8</v>
      </c>
      <c r="B41" s="420" t="s">
        <v>1139</v>
      </c>
      <c r="C41" s="322" t="s">
        <v>767</v>
      </c>
      <c r="E41" s="417">
        <f>'Appendix G(3) - ADIT'!F10</f>
        <v>753453356.77999997</v>
      </c>
      <c r="F41" s="356">
        <f>E15+G15+I15+K15</f>
        <v>36234620.129999638</v>
      </c>
      <c r="G41" s="356">
        <f>(C18+E18+G18+I18+K18)</f>
        <v>996174365.96599293</v>
      </c>
      <c r="H41" s="354">
        <f>E41-G41</f>
        <v>-242721009.18599296</v>
      </c>
      <c r="I41" s="353">
        <v>-265181510.0199998</v>
      </c>
      <c r="J41" s="355">
        <f>H41-I41</f>
        <v>22460500.834006846</v>
      </c>
      <c r="K41" s="355">
        <f>-E41+I41+J41</f>
        <v>-996174365.96599293</v>
      </c>
      <c r="L41" s="357"/>
      <c r="M41" s="357"/>
    </row>
    <row r="42" spans="1:11" ht="14.5">
      <c r="A42" s="323"/>
      <c r="B42" s="323"/>
      <c r="F42" s="356"/>
      <c r="G42" s="356"/>
      <c r="H42" s="354"/>
      <c r="I42" s="356"/>
      <c r="J42" s="354"/>
      <c r="K42" s="354"/>
    </row>
    <row r="43" spans="1:13" ht="14.5">
      <c r="A43" s="323">
        <v>9</v>
      </c>
      <c r="B43" s="420" t="s">
        <v>1139</v>
      </c>
      <c r="C43" s="322" t="s">
        <v>768</v>
      </c>
      <c r="E43" s="417">
        <f>'Appendix G(3) - ADIT'!G10</f>
        <v>55384006.75</v>
      </c>
      <c r="F43" s="356">
        <f>E21+G21+I21+K21</f>
        <v>930666.19999999925</v>
      </c>
      <c r="G43" s="356">
        <f>(C24+E24+G24+I24+K24)</f>
        <v>30233397.194520544</v>
      </c>
      <c r="H43" s="354">
        <f>E43-G43</f>
        <v>25150609.555479456</v>
      </c>
      <c r="I43" s="353">
        <v>24573724</v>
      </c>
      <c r="J43" s="355">
        <f>H43-I43</f>
        <v>576885.55547945574</v>
      </c>
      <c r="K43" s="355">
        <f>-E43+I43+J43</f>
        <v>-30233397.194520544</v>
      </c>
      <c r="L43" s="357"/>
      <c r="M43" s="357"/>
    </row>
    <row r="44" spans="1:11" ht="14.5">
      <c r="A44" s="323"/>
      <c r="B44" s="323"/>
      <c r="H44" s="354"/>
      <c r="I44" s="356"/>
      <c r="J44" s="354"/>
      <c r="K44" s="354"/>
    </row>
    <row r="45" spans="1:11" ht="14.5">
      <c r="A45" s="323">
        <v>10</v>
      </c>
      <c r="B45" s="420" t="s">
        <v>1139</v>
      </c>
      <c r="C45" s="419" t="s">
        <v>796</v>
      </c>
      <c r="E45" s="354">
        <f>E39-E41-E43</f>
        <v>-605566167.52999997</v>
      </c>
      <c r="F45" s="354">
        <f>F39-F41-F43</f>
        <v>-37075241.909999609</v>
      </c>
      <c r="G45" s="354">
        <f>G39-G41-G43</f>
        <v>-922423386.07606149</v>
      </c>
      <c r="H45" s="354">
        <f>H39-H41-H43</f>
        <v>316857218.54606146</v>
      </c>
      <c r="I45" s="354">
        <f>I39+I41+I43</f>
        <v>-141376782.30999982</v>
      </c>
      <c r="J45" s="354">
        <f>J39+J41+J43</f>
        <v>23093201.59503426</v>
      </c>
      <c r="K45" s="354">
        <f>K39+K41+K43</f>
        <v>-922423386.07606149</v>
      </c>
    </row>
    <row r="46" spans="1:7" ht="14.5">
      <c r="A46" s="323"/>
      <c r="B46" s="323"/>
      <c r="E46" s="357"/>
      <c r="F46" s="357"/>
      <c r="G46" s="357"/>
    </row>
    <row r="47" spans="1:11" ht="14.5">
      <c r="A47" s="323"/>
      <c r="B47" s="323"/>
      <c r="E47" s="357"/>
      <c r="F47" s="357"/>
      <c r="G47" s="357"/>
      <c r="I47" s="358"/>
      <c r="J47" s="358"/>
      <c r="K47" s="358"/>
    </row>
    <row r="48" spans="1:11" ht="14.5">
      <c r="A48" s="323"/>
      <c r="B48" s="323"/>
      <c r="E48" s="357"/>
      <c r="F48" s="357"/>
      <c r="G48" s="357"/>
      <c r="I48" s="358"/>
      <c r="J48" s="358"/>
      <c r="K48" s="358"/>
    </row>
    <row r="49" spans="1:13" ht="14.5">
      <c r="A49" s="323"/>
      <c r="B49" s="323"/>
      <c r="E49" s="357"/>
      <c r="F49" s="357"/>
      <c r="G49" s="357"/>
      <c r="I49" s="358"/>
      <c r="J49" s="358"/>
      <c r="K49" s="358"/>
      <c r="M49" s="354"/>
    </row>
    <row r="50" spans="1:11" ht="14.5">
      <c r="A50" s="359" t="s">
        <v>769</v>
      </c>
      <c r="D50" s="357"/>
      <c r="E50" s="357"/>
      <c r="F50" s="357"/>
      <c r="I50" s="358"/>
      <c r="J50" s="358"/>
      <c r="K50" s="358"/>
    </row>
    <row r="51" spans="1:11" s="475" customFormat="1" ht="14.4" customHeight="1">
      <c r="A51" s="473" t="s">
        <v>1167</v>
      </c>
      <c r="B51" s="473"/>
      <c r="C51" s="474"/>
      <c r="D51" s="474"/>
      <c r="E51" s="474"/>
      <c r="F51" s="474"/>
      <c r="I51" s="476"/>
      <c r="J51" s="476"/>
      <c r="K51" s="476"/>
    </row>
    <row r="52" spans="1:1" s="475" customFormat="1" ht="14.5">
      <c r="A52" s="473" t="s">
        <v>1168</v>
      </c>
    </row>
    <row r="53" spans="1:1" ht="14.5">
      <c r="A53" s="323"/>
    </row>
    <row r="54" spans="1:1" ht="14.5">
      <c r="A54" s="323"/>
    </row>
  </sheetData>
  <mergeCells count="2">
    <mergeCell ref="E6:L6"/>
    <mergeCell ref="G33:H33"/>
  </mergeCells>
  <pageMargins left="0.7" right="0.7" top="0.75" bottom="0.75" header="0.3" footer="0.3"/>
  <pageSetup orientation="landscape" scale="50" r:id="rId1"/>
  <colBreaks count="1" manualBreakCount="1">
    <brk id="13" max="36"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99374C-A56F-4186-BB58-1B99A330AB76}">
  <sheetPr codeName="Sheet21"/>
  <dimension ref="A1:N313"/>
  <sheetViews>
    <sheetView view="pageBreakPreview" zoomScale="80" zoomScaleNormal="100" zoomScaleSheetLayoutView="80" workbookViewId="0" topLeftCell="A1">
      <pane ySplit="8" topLeftCell="A9" activePane="bottomLeft" state="frozen"/>
      <selection pane="topLeft" activeCell="C30" sqref="C30"/>
      <selection pane="bottomLeft" activeCell="I3" sqref="I3"/>
    </sheetView>
  </sheetViews>
  <sheetFormatPr defaultColWidth="8.68714285714286" defaultRowHeight="14.5"/>
  <cols>
    <col min="1" max="1" width="6.42857142857143" style="405" customWidth="1"/>
    <col min="2" max="2" width="59.3571428571429" style="402" customWidth="1"/>
    <col min="3" max="5" width="12.2142857142857" style="409" bestFit="1" customWidth="1"/>
    <col min="6" max="6" width="12.3571428571429" style="409" bestFit="1" customWidth="1"/>
    <col min="7" max="7" width="12.2142857142857" style="409" bestFit="1" customWidth="1"/>
    <col min="8" max="8" width="3.35714285714286" style="402" customWidth="1"/>
    <col min="9" max="10" width="12.7142857142857" style="402" customWidth="1"/>
    <col min="11" max="16384" width="8.71428571428571" style="402"/>
  </cols>
  <sheetData>
    <row r="1" spans="1:10" ht="15.5">
      <c r="A1" s="79" t="str">
        <f ca="1">RIGHT(CELL("filename",D2),LEN(CELL("filename",D2))-FIND("]",CELL("filename",D2)))</f>
        <v>WP03-B - ADIT Detail</v>
      </c>
      <c r="C1" s="434"/>
      <c r="D1" s="433"/>
      <c r="E1" s="433"/>
      <c r="F1" s="434"/>
      <c r="G1" s="434"/>
      <c r="J1" s="3"/>
    </row>
    <row r="2" spans="3:10" ht="15.5">
      <c r="C2" s="434"/>
      <c r="D2" s="433"/>
      <c r="E2" s="433"/>
      <c r="F2" s="434"/>
      <c r="G2" s="434"/>
      <c r="J2" s="116"/>
    </row>
    <row r="3" spans="3:10" ht="15.5">
      <c r="C3" s="613"/>
      <c r="D3" s="613"/>
      <c r="E3" s="613"/>
      <c r="F3" s="613"/>
      <c r="G3" s="613"/>
      <c r="J3" s="3"/>
    </row>
    <row r="4" spans="1:7" ht="15.5">
      <c r="A4" s="370"/>
      <c r="C4" s="613"/>
      <c r="D4" s="613"/>
      <c r="E4" s="613"/>
      <c r="F4" s="613"/>
      <c r="G4" s="613"/>
    </row>
    <row r="5" spans="3:10" ht="14.5">
      <c r="C5" s="727" t="s">
        <v>797</v>
      </c>
      <c r="D5" s="727"/>
      <c r="E5" s="727"/>
      <c r="F5" s="727"/>
      <c r="G5" s="727"/>
      <c r="I5" s="727" t="s">
        <v>798</v>
      </c>
      <c r="J5" s="727"/>
    </row>
    <row r="6" spans="1:10" s="412" customFormat="1" ht="14.5">
      <c r="A6" s="405"/>
      <c r="B6" s="412" t="s">
        <v>363</v>
      </c>
      <c r="C6" s="413" t="s">
        <v>377</v>
      </c>
      <c r="D6" s="413" t="s">
        <v>506</v>
      </c>
      <c r="E6" s="413" t="s">
        <v>547</v>
      </c>
      <c r="F6" s="413" t="s">
        <v>550</v>
      </c>
      <c r="G6" s="413" t="s">
        <v>611</v>
      </c>
      <c r="I6" s="413" t="s">
        <v>612</v>
      </c>
      <c r="J6" s="413" t="s">
        <v>613</v>
      </c>
    </row>
    <row r="7" spans="3:10" s="404" customFormat="1" ht="14.5">
      <c r="C7" s="588">
        <f>'Appendix G(3) - ADIT'!C6</f>
        <v>2022</v>
      </c>
      <c r="D7" s="411">
        <f>C7+1</f>
        <v>2023</v>
      </c>
      <c r="E7" s="411">
        <f>D7</f>
        <v>2023</v>
      </c>
      <c r="F7" s="411">
        <f t="shared" si="0" ref="F7:G7">E7</f>
        <v>2023</v>
      </c>
      <c r="G7" s="411">
        <f t="shared" si="0"/>
        <v>2023</v>
      </c>
      <c r="I7" s="411">
        <f>C7</f>
        <v>2022</v>
      </c>
      <c r="J7" s="411">
        <f>I7+1</f>
        <v>2023</v>
      </c>
    </row>
    <row r="8" spans="1:10" s="403" customFormat="1" ht="29">
      <c r="A8" s="404" t="s">
        <v>5</v>
      </c>
      <c r="B8" s="403" t="s">
        <v>788</v>
      </c>
      <c r="C8" s="410" t="s">
        <v>773</v>
      </c>
      <c r="D8" s="410" t="s">
        <v>774</v>
      </c>
      <c r="E8" s="410" t="s">
        <v>775</v>
      </c>
      <c r="F8" s="410" t="s">
        <v>776</v>
      </c>
      <c r="G8" s="410" t="s">
        <v>777</v>
      </c>
      <c r="I8" s="410" t="s">
        <v>773</v>
      </c>
      <c r="J8" s="410" t="s">
        <v>777</v>
      </c>
    </row>
    <row r="9" spans="1:10" ht="14.5">
      <c r="A9" s="405">
        <v>1</v>
      </c>
      <c r="B9" s="403" t="s">
        <v>782</v>
      </c>
      <c r="I9" s="409"/>
      <c r="J9" s="409"/>
    </row>
    <row r="10" spans="9:10" ht="14.5">
      <c r="I10" s="409"/>
      <c r="J10" s="409"/>
    </row>
    <row r="11" spans="1:10" ht="14.5">
      <c r="A11" s="407">
        <v>1.01</v>
      </c>
      <c r="B11" s="406" t="s">
        <v>994</v>
      </c>
      <c r="C11" s="414">
        <v>186251</v>
      </c>
      <c r="D11" s="414">
        <v>170523.25</v>
      </c>
      <c r="E11" s="414">
        <v>154795.5</v>
      </c>
      <c r="F11" s="414">
        <v>139067.75</v>
      </c>
      <c r="G11" s="414">
        <v>123340</v>
      </c>
      <c r="I11" s="414"/>
      <c r="J11" s="414"/>
    </row>
    <row r="12" spans="1:10" ht="14.5">
      <c r="A12" s="407">
        <f>A11+0.01</f>
        <v>1.02</v>
      </c>
      <c r="B12" s="406" t="s">
        <v>997</v>
      </c>
      <c r="C12" s="414">
        <v>7</v>
      </c>
      <c r="D12" s="414">
        <v>6.25</v>
      </c>
      <c r="E12" s="414">
        <v>5.5</v>
      </c>
      <c r="F12" s="414">
        <v>4.75</v>
      </c>
      <c r="G12" s="414">
        <v>4</v>
      </c>
      <c r="I12" s="414"/>
      <c r="J12" s="414"/>
    </row>
    <row r="13" spans="1:10" ht="14.5">
      <c r="A13" s="407">
        <f t="shared" si="1" ref="A13:A75">A12+0.01</f>
        <v>1.03</v>
      </c>
      <c r="B13" s="406" t="s">
        <v>998</v>
      </c>
      <c r="C13" s="414">
        <v>13345070</v>
      </c>
      <c r="D13" s="414">
        <v>13251159.25</v>
      </c>
      <c r="E13" s="414">
        <v>13157248.5</v>
      </c>
      <c r="F13" s="414">
        <v>13063337.75</v>
      </c>
      <c r="G13" s="414">
        <v>12969427</v>
      </c>
      <c r="I13" s="414"/>
      <c r="J13" s="414"/>
    </row>
    <row r="14" spans="1:10" ht="14.5">
      <c r="A14" s="407">
        <f t="shared" si="1"/>
        <v>1.04</v>
      </c>
      <c r="B14" s="406" t="s">
        <v>996</v>
      </c>
      <c r="C14" s="414">
        <v>229</v>
      </c>
      <c r="D14" s="414">
        <v>171.75</v>
      </c>
      <c r="E14" s="414">
        <v>114.5</v>
      </c>
      <c r="F14" s="414">
        <v>57.25</v>
      </c>
      <c r="G14" s="414">
        <v>0</v>
      </c>
      <c r="I14" s="414"/>
      <c r="J14" s="414"/>
    </row>
    <row r="15" spans="1:10" ht="14.5">
      <c r="A15" s="407">
        <f>A14+0.01</f>
        <v>1.05</v>
      </c>
      <c r="B15" s="406" t="s">
        <v>1001</v>
      </c>
      <c r="C15" s="414">
        <v>1361</v>
      </c>
      <c r="D15" s="414">
        <v>1350.75</v>
      </c>
      <c r="E15" s="414">
        <v>1340.5</v>
      </c>
      <c r="F15" s="414">
        <v>1330.25</v>
      </c>
      <c r="G15" s="414">
        <v>1320</v>
      </c>
      <c r="I15" s="414"/>
      <c r="J15" s="414"/>
    </row>
    <row r="16" spans="1:10" ht="14.5">
      <c r="A16" s="407">
        <f t="shared" si="1"/>
        <v>1.0600000000000001</v>
      </c>
      <c r="B16" s="406" t="s">
        <v>999</v>
      </c>
      <c r="C16" s="414">
        <v>240102</v>
      </c>
      <c r="D16" s="414">
        <v>238999.25</v>
      </c>
      <c r="E16" s="414">
        <v>237896.5</v>
      </c>
      <c r="F16" s="414">
        <v>236793.75</v>
      </c>
      <c r="G16" s="414">
        <v>235691</v>
      </c>
      <c r="I16" s="414"/>
      <c r="J16" s="414"/>
    </row>
    <row r="17" spans="1:10" ht="14.5">
      <c r="A17" s="407">
        <f t="shared" si="1"/>
        <v>1.0700000000000001</v>
      </c>
      <c r="B17" s="406" t="s">
        <v>1104</v>
      </c>
      <c r="C17" s="414"/>
      <c r="D17" s="414"/>
      <c r="E17" s="414"/>
      <c r="F17" s="414"/>
      <c r="G17" s="595"/>
      <c r="I17" s="414">
        <v>0</v>
      </c>
      <c r="J17" s="414">
        <v>9392379</v>
      </c>
    </row>
    <row r="18" spans="1:10" ht="14.5">
      <c r="A18" s="407">
        <f t="shared" si="1"/>
        <v>1.0800000000000001</v>
      </c>
      <c r="B18" s="406" t="s">
        <v>1002</v>
      </c>
      <c r="C18" s="414">
        <v>70158307</v>
      </c>
      <c r="D18" s="414">
        <v>70167277.75</v>
      </c>
      <c r="E18" s="414">
        <v>70176248.5</v>
      </c>
      <c r="F18" s="414">
        <v>70185219.25</v>
      </c>
      <c r="G18" s="414">
        <v>70194190</v>
      </c>
      <c r="I18" s="414"/>
      <c r="J18" s="414"/>
    </row>
    <row r="19" spans="1:10" ht="14.5">
      <c r="A19" s="407">
        <f t="shared" si="1"/>
        <v>1.0900000000000001</v>
      </c>
      <c r="B19" s="406" t="s">
        <v>1003</v>
      </c>
      <c r="C19" s="414">
        <v>887486</v>
      </c>
      <c r="D19" s="414">
        <v>890985.5</v>
      </c>
      <c r="E19" s="414">
        <v>894485</v>
      </c>
      <c r="F19" s="414">
        <v>897984.5</v>
      </c>
      <c r="G19" s="414">
        <v>901484</v>
      </c>
      <c r="I19" s="414"/>
      <c r="J19" s="414"/>
    </row>
    <row r="20" spans="1:10" ht="14.5">
      <c r="A20" s="407">
        <f t="shared" si="1"/>
        <v>1.1000000000000001</v>
      </c>
      <c r="B20" s="406" t="s">
        <v>1004</v>
      </c>
      <c r="C20" s="414">
        <v>85099</v>
      </c>
      <c r="D20" s="414">
        <v>63824.25</v>
      </c>
      <c r="E20" s="414">
        <v>42549.5</v>
      </c>
      <c r="F20" s="414">
        <v>21274.75</v>
      </c>
      <c r="G20" s="414">
        <v>0</v>
      </c>
      <c r="I20" s="414"/>
      <c r="J20" s="414"/>
    </row>
    <row r="21" spans="1:10" ht="14.5">
      <c r="A21" s="407">
        <f t="shared" si="1"/>
        <v>1.1100000000000001</v>
      </c>
      <c r="B21" s="406" t="s">
        <v>1005</v>
      </c>
      <c r="C21" s="414">
        <v>5996</v>
      </c>
      <c r="D21" s="414">
        <v>5995.25</v>
      </c>
      <c r="E21" s="414">
        <v>5994.5</v>
      </c>
      <c r="F21" s="414">
        <v>5993.75</v>
      </c>
      <c r="G21" s="414">
        <v>5993</v>
      </c>
      <c r="I21" s="414"/>
      <c r="J21" s="414"/>
    </row>
    <row r="22" spans="1:10" ht="14.5">
      <c r="A22" s="407">
        <f t="shared" si="1"/>
        <v>1.1200000000000001</v>
      </c>
      <c r="B22" s="406" t="s">
        <v>1006</v>
      </c>
      <c r="C22" s="414">
        <v>811375</v>
      </c>
      <c r="D22" s="414">
        <v>804485.75</v>
      </c>
      <c r="E22" s="414">
        <v>797596.5</v>
      </c>
      <c r="F22" s="414">
        <v>790707.25</v>
      </c>
      <c r="G22" s="414">
        <v>783818</v>
      </c>
      <c r="I22" s="414"/>
      <c r="J22" s="414"/>
    </row>
    <row r="23" spans="1:10" ht="14.5">
      <c r="A23" s="407">
        <f t="shared" si="1"/>
        <v>1.1300000000000001</v>
      </c>
      <c r="B23" s="406" t="s">
        <v>1007</v>
      </c>
      <c r="C23" s="414">
        <v>1816216</v>
      </c>
      <c r="D23" s="414">
        <v>1816892</v>
      </c>
      <c r="E23" s="414">
        <v>1817568</v>
      </c>
      <c r="F23" s="414">
        <v>1818244</v>
      </c>
      <c r="G23" s="414">
        <v>1818920</v>
      </c>
      <c r="I23" s="414"/>
      <c r="J23" s="414"/>
    </row>
    <row r="24" spans="1:10" ht="14.5">
      <c r="A24" s="407">
        <f t="shared" si="1"/>
        <v>1.1400000000000001</v>
      </c>
      <c r="B24" s="406" t="s">
        <v>1009</v>
      </c>
      <c r="C24" s="414">
        <v>14162</v>
      </c>
      <c r="D24" s="414">
        <v>14034</v>
      </c>
      <c r="E24" s="414">
        <v>13906</v>
      </c>
      <c r="F24" s="414">
        <v>13778</v>
      </c>
      <c r="G24" s="414">
        <v>13650</v>
      </c>
      <c r="I24" s="414"/>
      <c r="J24" s="414"/>
    </row>
    <row r="25" spans="1:10" ht="14.5">
      <c r="A25" s="407">
        <f t="shared" si="1"/>
        <v>1.1500000000000001</v>
      </c>
      <c r="B25" s="406" t="s">
        <v>1010</v>
      </c>
      <c r="C25" s="414">
        <v>33066</v>
      </c>
      <c r="D25" s="414">
        <v>33186.25</v>
      </c>
      <c r="E25" s="414">
        <v>33306.5</v>
      </c>
      <c r="F25" s="414">
        <v>33426.75</v>
      </c>
      <c r="G25" s="414">
        <v>33547</v>
      </c>
      <c r="I25" s="414"/>
      <c r="J25" s="414"/>
    </row>
    <row r="26" spans="1:10" ht="14.5">
      <c r="A26" s="407">
        <f t="shared" si="1"/>
        <v>1.1600000000000001</v>
      </c>
      <c r="B26" s="406" t="s">
        <v>1013</v>
      </c>
      <c r="C26" s="414">
        <v>25</v>
      </c>
      <c r="D26" s="414">
        <v>18.75</v>
      </c>
      <c r="E26" s="414">
        <v>12.5</v>
      </c>
      <c r="F26" s="414">
        <v>6.25</v>
      </c>
      <c r="G26" s="414">
        <v>0</v>
      </c>
      <c r="I26" s="414"/>
      <c r="J26" s="414"/>
    </row>
    <row r="27" spans="1:10" ht="14.5">
      <c r="A27" s="407">
        <f t="shared" si="1"/>
        <v>1.1700000000000002</v>
      </c>
      <c r="B27" s="406" t="s">
        <v>1014</v>
      </c>
      <c r="C27" s="414">
        <v>396</v>
      </c>
      <c r="D27" s="414">
        <v>1283.25</v>
      </c>
      <c r="E27" s="414">
        <v>2170.5</v>
      </c>
      <c r="F27" s="414">
        <v>3057.75</v>
      </c>
      <c r="G27" s="414">
        <v>3945</v>
      </c>
      <c r="I27" s="414"/>
      <c r="J27" s="414"/>
    </row>
    <row r="28" spans="1:10" ht="14.5">
      <c r="A28" s="407">
        <f t="shared" si="1"/>
        <v>1.1800000000000002</v>
      </c>
      <c r="B28" s="406" t="s">
        <v>1015</v>
      </c>
      <c r="C28" s="414">
        <v>47</v>
      </c>
      <c r="D28" s="414">
        <v>46</v>
      </c>
      <c r="E28" s="414">
        <v>45</v>
      </c>
      <c r="F28" s="414">
        <v>44</v>
      </c>
      <c r="G28" s="414">
        <v>43</v>
      </c>
      <c r="I28" s="414"/>
      <c r="J28" s="414"/>
    </row>
    <row r="29" spans="1:10" ht="14.5">
      <c r="A29" s="407">
        <f t="shared" si="1"/>
        <v>1.1900000000000002</v>
      </c>
      <c r="B29" s="406" t="s">
        <v>1016</v>
      </c>
      <c r="C29" s="414">
        <v>148</v>
      </c>
      <c r="D29" s="414">
        <v>148.25</v>
      </c>
      <c r="E29" s="414">
        <v>148.5</v>
      </c>
      <c r="F29" s="414">
        <v>148.75</v>
      </c>
      <c r="G29" s="414">
        <v>149</v>
      </c>
      <c r="I29" s="414"/>
      <c r="J29" s="414"/>
    </row>
    <row r="30" spans="1:10" ht="14.5">
      <c r="A30" s="407">
        <f t="shared" si="1"/>
        <v>1.2000000000000002</v>
      </c>
      <c r="B30" s="406" t="s">
        <v>1020</v>
      </c>
      <c r="C30" s="414">
        <v>7368132</v>
      </c>
      <c r="D30" s="414">
        <v>7564010</v>
      </c>
      <c r="E30" s="414">
        <v>7759888</v>
      </c>
      <c r="F30" s="414">
        <v>7955766</v>
      </c>
      <c r="G30" s="414">
        <v>8151644</v>
      </c>
      <c r="I30" s="414"/>
      <c r="J30" s="414"/>
    </row>
    <row r="31" spans="1:10" ht="14.5">
      <c r="A31" s="407">
        <f t="shared" si="1"/>
        <v>1.2100000000000002</v>
      </c>
      <c r="B31" s="406" t="s">
        <v>1023</v>
      </c>
      <c r="C31" s="414">
        <v>269551</v>
      </c>
      <c r="D31" s="414">
        <v>276475</v>
      </c>
      <c r="E31" s="414">
        <v>283399</v>
      </c>
      <c r="F31" s="414">
        <v>290323</v>
      </c>
      <c r="G31" s="414">
        <v>297247</v>
      </c>
      <c r="I31" s="414"/>
      <c r="J31" s="414"/>
    </row>
    <row r="32" spans="1:10" ht="14.5">
      <c r="A32" s="407">
        <f t="shared" si="1"/>
        <v>1.2200000000000002</v>
      </c>
      <c r="B32" s="406" t="s">
        <v>1026</v>
      </c>
      <c r="C32" s="414">
        <v>165709</v>
      </c>
      <c r="D32" s="414">
        <v>172853.5</v>
      </c>
      <c r="E32" s="414">
        <v>179998</v>
      </c>
      <c r="F32" s="414">
        <v>187142.5</v>
      </c>
      <c r="G32" s="414">
        <v>194287</v>
      </c>
      <c r="I32" s="414"/>
      <c r="J32" s="414"/>
    </row>
    <row r="33" spans="1:10" ht="14.5">
      <c r="A33" s="407">
        <f t="shared" si="1"/>
        <v>1.2300000000000002</v>
      </c>
      <c r="B33" s="406" t="s">
        <v>1027</v>
      </c>
      <c r="C33" s="414">
        <v>106</v>
      </c>
      <c r="D33" s="414">
        <v>101.75</v>
      </c>
      <c r="E33" s="414">
        <v>97.5</v>
      </c>
      <c r="F33" s="414">
        <v>93.25</v>
      </c>
      <c r="G33" s="414">
        <v>89</v>
      </c>
      <c r="I33" s="414"/>
      <c r="J33" s="414"/>
    </row>
    <row r="34" spans="1:10" ht="14.5">
      <c r="A34" s="407">
        <f t="shared" si="1"/>
        <v>1.2400000000000002</v>
      </c>
      <c r="B34" s="406" t="s">
        <v>1028</v>
      </c>
      <c r="C34" s="414">
        <v>2</v>
      </c>
      <c r="D34" s="414">
        <v>1.75</v>
      </c>
      <c r="E34" s="414">
        <v>1.5</v>
      </c>
      <c r="F34" s="414">
        <v>1.25</v>
      </c>
      <c r="G34" s="414">
        <v>1</v>
      </c>
      <c r="I34" s="414"/>
      <c r="J34" s="414"/>
    </row>
    <row r="35" spans="1:10" ht="14.5">
      <c r="A35" s="407">
        <f t="shared" si="1"/>
        <v>1.2500000000000002</v>
      </c>
      <c r="B35" s="406" t="s">
        <v>936</v>
      </c>
      <c r="C35" s="414">
        <v>768216</v>
      </c>
      <c r="D35" s="414">
        <v>781112.75</v>
      </c>
      <c r="E35" s="414">
        <v>794009.5</v>
      </c>
      <c r="F35" s="414">
        <v>806906.25</v>
      </c>
      <c r="G35" s="414">
        <v>819803</v>
      </c>
      <c r="I35" s="414"/>
      <c r="J35" s="414"/>
    </row>
    <row r="36" spans="1:10" ht="14.5">
      <c r="A36" s="407">
        <f t="shared" si="1"/>
        <v>1.2600000000000002</v>
      </c>
      <c r="B36" s="406" t="s">
        <v>1030</v>
      </c>
      <c r="C36" s="414">
        <v>331507</v>
      </c>
      <c r="D36" s="414">
        <v>327910.25</v>
      </c>
      <c r="E36" s="414">
        <v>324313.5</v>
      </c>
      <c r="F36" s="414">
        <v>320716.75</v>
      </c>
      <c r="G36" s="414">
        <v>317120</v>
      </c>
      <c r="I36" s="414"/>
      <c r="J36" s="414"/>
    </row>
    <row r="37" spans="1:10" ht="14.5">
      <c r="A37" s="407">
        <f t="shared" si="1"/>
        <v>1.2700000000000002</v>
      </c>
      <c r="B37" s="406" t="s">
        <v>1031</v>
      </c>
      <c r="C37" s="414">
        <v>6228</v>
      </c>
      <c r="D37" s="414">
        <v>6267.75</v>
      </c>
      <c r="E37" s="414">
        <v>6307.5</v>
      </c>
      <c r="F37" s="414">
        <v>6347.25</v>
      </c>
      <c r="G37" s="414">
        <v>6387</v>
      </c>
      <c r="I37" s="414"/>
      <c r="J37" s="414"/>
    </row>
    <row r="38" spans="1:10" ht="14.5">
      <c r="A38" s="407">
        <f t="shared" si="1"/>
        <v>1.2800000000000002</v>
      </c>
      <c r="B38" s="406" t="s">
        <v>1032</v>
      </c>
      <c r="C38" s="414">
        <v>4072</v>
      </c>
      <c r="D38" s="414">
        <v>3346.5</v>
      </c>
      <c r="E38" s="414">
        <v>2621</v>
      </c>
      <c r="F38" s="414">
        <v>1895.5</v>
      </c>
      <c r="G38" s="414">
        <v>1170</v>
      </c>
      <c r="I38" s="414"/>
      <c r="J38" s="414"/>
    </row>
    <row r="39" spans="1:10" ht="14.5">
      <c r="A39" s="407">
        <f t="shared" si="1"/>
        <v>1.2900000000000003</v>
      </c>
      <c r="B39" s="406" t="s">
        <v>1033</v>
      </c>
      <c r="C39" s="414">
        <v>31</v>
      </c>
      <c r="D39" s="414">
        <v>30.75</v>
      </c>
      <c r="E39" s="414">
        <v>30.5</v>
      </c>
      <c r="F39" s="414">
        <v>30.25</v>
      </c>
      <c r="G39" s="414">
        <v>30</v>
      </c>
      <c r="I39" s="414"/>
      <c r="J39" s="414"/>
    </row>
    <row r="40" spans="1:10" ht="14.5">
      <c r="A40" s="407">
        <f t="shared" si="1"/>
        <v>1.3000000000000003</v>
      </c>
      <c r="B40" s="406" t="s">
        <v>1034</v>
      </c>
      <c r="C40" s="414">
        <v>17492</v>
      </c>
      <c r="D40" s="414">
        <v>16986</v>
      </c>
      <c r="E40" s="414">
        <v>16480</v>
      </c>
      <c r="F40" s="414">
        <v>15974</v>
      </c>
      <c r="G40" s="414">
        <v>15468</v>
      </c>
      <c r="I40" s="414"/>
      <c r="J40" s="414"/>
    </row>
    <row r="41" spans="1:10" ht="14.5">
      <c r="A41" s="407">
        <f t="shared" si="1"/>
        <v>1.3100000000000003</v>
      </c>
      <c r="B41" s="406" t="s">
        <v>1035</v>
      </c>
      <c r="C41" s="414">
        <v>1439</v>
      </c>
      <c r="D41" s="414">
        <v>1410</v>
      </c>
      <c r="E41" s="414">
        <v>1381</v>
      </c>
      <c r="F41" s="414">
        <v>1352</v>
      </c>
      <c r="G41" s="414">
        <v>1323</v>
      </c>
      <c r="I41" s="414"/>
      <c r="J41" s="414"/>
    </row>
    <row r="42" spans="1:10" ht="14.5">
      <c r="A42" s="407">
        <f t="shared" si="1"/>
        <v>1.3200000000000003</v>
      </c>
      <c r="B42" s="406" t="s">
        <v>1036</v>
      </c>
      <c r="C42" s="414">
        <v>528</v>
      </c>
      <c r="D42" s="414">
        <v>659.75</v>
      </c>
      <c r="E42" s="414">
        <v>791.5</v>
      </c>
      <c r="F42" s="414">
        <v>923.25</v>
      </c>
      <c r="G42" s="414">
        <v>1055</v>
      </c>
      <c r="I42" s="414"/>
      <c r="J42" s="414"/>
    </row>
    <row r="43" spans="1:10" ht="14.5">
      <c r="A43" s="407">
        <f t="shared" si="1"/>
        <v>1.3300000000000003</v>
      </c>
      <c r="B43" s="406" t="s">
        <v>1037</v>
      </c>
      <c r="C43" s="414">
        <v>5</v>
      </c>
      <c r="D43" s="414">
        <v>4.75</v>
      </c>
      <c r="E43" s="414">
        <v>4.5</v>
      </c>
      <c r="F43" s="414">
        <v>4.25</v>
      </c>
      <c r="G43" s="414">
        <v>4</v>
      </c>
      <c r="I43" s="414"/>
      <c r="J43" s="414"/>
    </row>
    <row r="44" spans="1:10" ht="14.5">
      <c r="A44" s="407">
        <f t="shared" si="1"/>
        <v>1.3400000000000003</v>
      </c>
      <c r="B44" s="406" t="s">
        <v>937</v>
      </c>
      <c r="C44" s="414"/>
      <c r="D44" s="414"/>
      <c r="E44" s="414"/>
      <c r="F44" s="414"/>
      <c r="G44" s="414"/>
      <c r="I44" s="414">
        <v>1171</v>
      </c>
      <c r="J44" s="414">
        <v>10985</v>
      </c>
    </row>
    <row r="45" spans="1:10" ht="14.5">
      <c r="A45" s="407">
        <f t="shared" si="1"/>
        <v>1.3500000000000003</v>
      </c>
      <c r="B45" s="406" t="s">
        <v>1105</v>
      </c>
      <c r="C45" s="414">
        <v>4742519</v>
      </c>
      <c r="D45" s="414">
        <v>4605201.5</v>
      </c>
      <c r="E45" s="414">
        <v>4467884</v>
      </c>
      <c r="F45" s="414">
        <v>4330566.5</v>
      </c>
      <c r="G45" s="414">
        <v>4193249</v>
      </c>
      <c r="I45" s="414"/>
      <c r="J45" s="414"/>
    </row>
    <row r="46" spans="1:10" ht="14.5">
      <c r="A46" s="407">
        <f t="shared" si="1"/>
        <v>1.3600000000000003</v>
      </c>
      <c r="B46" s="406" t="s">
        <v>1106</v>
      </c>
      <c r="C46" s="414">
        <v>6256419</v>
      </c>
      <c r="D46" s="414">
        <v>6292407</v>
      </c>
      <c r="E46" s="414">
        <v>6328395</v>
      </c>
      <c r="F46" s="414">
        <v>6364383</v>
      </c>
      <c r="G46" s="414">
        <v>6400371</v>
      </c>
      <c r="I46" s="414"/>
      <c r="J46" s="414"/>
    </row>
    <row r="47" spans="1:10" ht="14.5">
      <c r="A47" s="407">
        <f t="shared" si="1"/>
        <v>1.3700000000000003</v>
      </c>
      <c r="B47" s="406" t="s">
        <v>1107</v>
      </c>
      <c r="C47" s="414">
        <v>174309</v>
      </c>
      <c r="D47" s="414">
        <v>168958</v>
      </c>
      <c r="E47" s="414">
        <v>163607</v>
      </c>
      <c r="F47" s="414">
        <v>158256</v>
      </c>
      <c r="G47" s="414">
        <v>152905</v>
      </c>
      <c r="I47" s="414"/>
      <c r="J47" s="414"/>
    </row>
    <row r="48" spans="1:10" ht="14.5">
      <c r="A48" s="407">
        <f t="shared" si="1"/>
        <v>1.3800000000000003</v>
      </c>
      <c r="B48" s="406" t="s">
        <v>1108</v>
      </c>
      <c r="C48" s="414">
        <v>229866</v>
      </c>
      <c r="D48" s="414">
        <v>230943</v>
      </c>
      <c r="E48" s="414">
        <v>232020</v>
      </c>
      <c r="F48" s="414">
        <v>233097</v>
      </c>
      <c r="G48" s="414">
        <v>234174</v>
      </c>
      <c r="I48" s="414"/>
      <c r="J48" s="414"/>
    </row>
    <row r="49" spans="1:10" ht="14.5">
      <c r="A49" s="407">
        <f t="shared" si="1"/>
        <v>1.3900000000000003</v>
      </c>
      <c r="B49" s="406" t="s">
        <v>1109</v>
      </c>
      <c r="C49" s="414">
        <v>127186</v>
      </c>
      <c r="D49" s="414">
        <v>125951.75</v>
      </c>
      <c r="E49" s="414">
        <v>124717.5</v>
      </c>
      <c r="F49" s="414">
        <v>123483.25</v>
      </c>
      <c r="G49" s="414">
        <v>122249</v>
      </c>
      <c r="I49" s="414"/>
      <c r="J49" s="414"/>
    </row>
    <row r="50" spans="1:10" ht="14.5">
      <c r="A50" s="407">
        <f t="shared" si="1"/>
        <v>1.4000000000000004</v>
      </c>
      <c r="B50" s="406" t="s">
        <v>1110</v>
      </c>
      <c r="C50" s="414">
        <v>140599</v>
      </c>
      <c r="D50" s="414">
        <v>144722.25</v>
      </c>
      <c r="E50" s="414">
        <v>148845.5</v>
      </c>
      <c r="F50" s="414">
        <v>152968.75</v>
      </c>
      <c r="G50" s="414">
        <v>157092</v>
      </c>
      <c r="I50" s="414"/>
      <c r="J50" s="414"/>
    </row>
    <row r="51" spans="1:10" ht="14.5">
      <c r="A51" s="407">
        <f t="shared" si="1"/>
        <v>1.4100000000000004</v>
      </c>
      <c r="B51" s="406" t="s">
        <v>1038</v>
      </c>
      <c r="C51" s="414">
        <v>1209018</v>
      </c>
      <c r="D51" s="414">
        <v>1210762.5</v>
      </c>
      <c r="E51" s="414">
        <v>1212507</v>
      </c>
      <c r="F51" s="414">
        <v>1214251.5</v>
      </c>
      <c r="G51" s="414">
        <v>1215996</v>
      </c>
      <c r="I51" s="414"/>
      <c r="J51" s="414"/>
    </row>
    <row r="52" spans="1:10" ht="14.5">
      <c r="A52" s="407">
        <f t="shared" si="1"/>
        <v>1.4200000000000004</v>
      </c>
      <c r="B52" s="406" t="s">
        <v>1039</v>
      </c>
      <c r="C52" s="414">
        <v>3577</v>
      </c>
      <c r="D52" s="414">
        <v>3695</v>
      </c>
      <c r="E52" s="414">
        <v>3813</v>
      </c>
      <c r="F52" s="414">
        <v>3931</v>
      </c>
      <c r="G52" s="414">
        <v>4049</v>
      </c>
      <c r="I52" s="414"/>
      <c r="J52" s="414"/>
    </row>
    <row r="53" spans="1:10" ht="14.5">
      <c r="A53" s="407">
        <f t="shared" si="1"/>
        <v>1.4300000000000004</v>
      </c>
      <c r="B53" s="406" t="s">
        <v>1040</v>
      </c>
      <c r="C53" s="414">
        <v>3073</v>
      </c>
      <c r="D53" s="414">
        <v>2576</v>
      </c>
      <c r="E53" s="414">
        <v>2079</v>
      </c>
      <c r="F53" s="414">
        <v>1582</v>
      </c>
      <c r="G53" s="414">
        <v>1085</v>
      </c>
      <c r="I53" s="414"/>
      <c r="J53" s="414"/>
    </row>
    <row r="54" spans="1:10" ht="14.5">
      <c r="A54" s="407">
        <f t="shared" si="1"/>
        <v>1.4400000000000004</v>
      </c>
      <c r="B54" s="406" t="s">
        <v>1042</v>
      </c>
      <c r="C54" s="414">
        <v>1046</v>
      </c>
      <c r="D54" s="414">
        <v>1024</v>
      </c>
      <c r="E54" s="414">
        <v>1002</v>
      </c>
      <c r="F54" s="414">
        <v>980</v>
      </c>
      <c r="G54" s="414">
        <v>958</v>
      </c>
      <c r="I54" s="414"/>
      <c r="J54" s="414"/>
    </row>
    <row r="55" spans="1:10" ht="14.5">
      <c r="A55" s="407">
        <f t="shared" si="1"/>
        <v>1.4500000000000004</v>
      </c>
      <c r="B55" s="406" t="s">
        <v>1043</v>
      </c>
      <c r="C55" s="414">
        <v>3</v>
      </c>
      <c r="D55" s="414">
        <v>3</v>
      </c>
      <c r="E55" s="414">
        <v>3</v>
      </c>
      <c r="F55" s="414">
        <v>3</v>
      </c>
      <c r="G55" s="414">
        <v>3</v>
      </c>
      <c r="I55" s="414"/>
      <c r="J55" s="414"/>
    </row>
    <row r="56" spans="1:10" ht="14.5">
      <c r="A56" s="407">
        <f t="shared" si="1"/>
        <v>1.4600000000000004</v>
      </c>
      <c r="B56" s="406" t="s">
        <v>1047</v>
      </c>
      <c r="C56" s="414">
        <v>42</v>
      </c>
      <c r="D56" s="414">
        <v>41.75</v>
      </c>
      <c r="E56" s="414">
        <v>41.5</v>
      </c>
      <c r="F56" s="414">
        <v>41.25</v>
      </c>
      <c r="G56" s="414">
        <v>41</v>
      </c>
      <c r="I56" s="414"/>
      <c r="J56" s="414"/>
    </row>
    <row r="57" spans="1:10" ht="14.5">
      <c r="A57" s="407">
        <f t="shared" si="1"/>
        <v>1.4700000000000004</v>
      </c>
      <c r="B57" s="406" t="s">
        <v>1111</v>
      </c>
      <c r="C57" s="414">
        <v>52328446</v>
      </c>
      <c r="D57" s="414">
        <v>52328446</v>
      </c>
      <c r="E57" s="414">
        <v>52328446</v>
      </c>
      <c r="F57" s="414">
        <v>52328446</v>
      </c>
      <c r="G57" s="414">
        <v>52328446</v>
      </c>
      <c r="I57" s="414"/>
      <c r="J57" s="414"/>
    </row>
    <row r="58" spans="1:10" ht="14.5">
      <c r="A58" s="407">
        <f t="shared" si="1"/>
        <v>1.4800000000000004</v>
      </c>
      <c r="B58" s="406" t="s">
        <v>1050</v>
      </c>
      <c r="C58" s="414">
        <v>268291</v>
      </c>
      <c r="D58" s="414">
        <v>266287</v>
      </c>
      <c r="E58" s="414">
        <v>264283</v>
      </c>
      <c r="F58" s="414">
        <v>262279</v>
      </c>
      <c r="G58" s="414">
        <v>260275</v>
      </c>
      <c r="I58" s="414"/>
      <c r="J58" s="414"/>
    </row>
    <row r="59" spans="1:10" ht="14.5">
      <c r="A59" s="407">
        <f t="shared" si="1"/>
        <v>1.4900000000000004</v>
      </c>
      <c r="B59" s="406" t="s">
        <v>1051</v>
      </c>
      <c r="C59" s="414">
        <v>342</v>
      </c>
      <c r="D59" s="414">
        <v>350.5</v>
      </c>
      <c r="E59" s="414">
        <v>359</v>
      </c>
      <c r="F59" s="414">
        <v>367.5</v>
      </c>
      <c r="G59" s="414">
        <v>376</v>
      </c>
      <c r="I59" s="414"/>
      <c r="J59" s="414"/>
    </row>
    <row r="60" spans="1:10" ht="14.5">
      <c r="A60" s="407">
        <f t="shared" si="1"/>
        <v>1.5000000000000004</v>
      </c>
      <c r="B60" s="406" t="s">
        <v>1053</v>
      </c>
      <c r="C60" s="414">
        <v>28</v>
      </c>
      <c r="D60" s="414">
        <v>27.75</v>
      </c>
      <c r="E60" s="414">
        <v>27.5</v>
      </c>
      <c r="F60" s="414">
        <v>27.25</v>
      </c>
      <c r="G60" s="414">
        <v>27</v>
      </c>
      <c r="I60" s="414"/>
      <c r="J60" s="414"/>
    </row>
    <row r="61" spans="1:10" ht="14.5">
      <c r="A61" s="407">
        <f>A60+0.01</f>
        <v>1.5100000000000005</v>
      </c>
      <c r="B61" s="406" t="s">
        <v>1055</v>
      </c>
      <c r="C61" s="414">
        <v>28</v>
      </c>
      <c r="D61" s="414">
        <v>27.75</v>
      </c>
      <c r="E61" s="414">
        <v>27.5</v>
      </c>
      <c r="F61" s="414">
        <v>27.25</v>
      </c>
      <c r="G61" s="414">
        <v>27</v>
      </c>
      <c r="I61" s="414"/>
      <c r="J61" s="414"/>
    </row>
    <row r="62" spans="1:10" ht="14.5">
      <c r="A62" s="407">
        <f t="shared" si="1"/>
        <v>1.5200000000000005</v>
      </c>
      <c r="B62" s="406" t="s">
        <v>1056</v>
      </c>
      <c r="C62" s="414">
        <v>0</v>
      </c>
      <c r="D62" s="414">
        <v>1.5</v>
      </c>
      <c r="E62" s="414">
        <v>3</v>
      </c>
      <c r="F62" s="414">
        <v>4.5</v>
      </c>
      <c r="G62" s="414">
        <v>6</v>
      </c>
      <c r="I62" s="414"/>
      <c r="J62" s="414"/>
    </row>
    <row r="63" spans="1:10" ht="14.5">
      <c r="A63" s="407">
        <f t="shared" si="1"/>
        <v>1.5300000000000005</v>
      </c>
      <c r="B63" s="406" t="s">
        <v>1057</v>
      </c>
      <c r="C63" s="414">
        <v>7681</v>
      </c>
      <c r="D63" s="414">
        <v>8139</v>
      </c>
      <c r="E63" s="414">
        <v>8597</v>
      </c>
      <c r="F63" s="414">
        <v>9055</v>
      </c>
      <c r="G63" s="414">
        <v>9513</v>
      </c>
      <c r="I63" s="414"/>
      <c r="J63" s="414"/>
    </row>
    <row r="64" spans="1:10" ht="14.5">
      <c r="A64" s="407">
        <f t="shared" si="1"/>
        <v>1.5400000000000005</v>
      </c>
      <c r="B64" s="406" t="s">
        <v>1059</v>
      </c>
      <c r="C64" s="414">
        <v>9</v>
      </c>
      <c r="D64" s="414">
        <v>6.75</v>
      </c>
      <c r="E64" s="414">
        <v>4.5</v>
      </c>
      <c r="F64" s="414">
        <v>2.25</v>
      </c>
      <c r="G64" s="414">
        <v>0</v>
      </c>
      <c r="I64" s="414"/>
      <c r="J64" s="414"/>
    </row>
    <row r="65" spans="1:10" ht="14.5">
      <c r="A65" s="407">
        <f t="shared" si="1"/>
        <v>1.5500000000000005</v>
      </c>
      <c r="B65" s="406" t="s">
        <v>908</v>
      </c>
      <c r="C65" s="414"/>
      <c r="D65" s="414"/>
      <c r="E65" s="414"/>
      <c r="F65" s="414"/>
      <c r="G65" s="414"/>
      <c r="I65" s="414">
        <v>208620</v>
      </c>
      <c r="J65" s="414">
        <v>122950</v>
      </c>
    </row>
    <row r="66" spans="1:10" ht="14.5">
      <c r="A66" s="407">
        <f t="shared" si="1"/>
        <v>1.5600000000000005</v>
      </c>
      <c r="B66" s="406" t="s">
        <v>909</v>
      </c>
      <c r="C66" s="414">
        <v>1416831</v>
      </c>
      <c r="D66" s="414">
        <v>1062623.25</v>
      </c>
      <c r="E66" s="414">
        <v>708415.5</v>
      </c>
      <c r="F66" s="414">
        <v>354207.75</v>
      </c>
      <c r="G66" s="414">
        <v>0</v>
      </c>
      <c r="I66" s="414"/>
      <c r="J66" s="414"/>
    </row>
    <row r="67" spans="1:10" ht="14.5">
      <c r="A67" s="407">
        <f t="shared" si="1"/>
        <v>1.5700000000000005</v>
      </c>
      <c r="B67" s="406" t="s">
        <v>910</v>
      </c>
      <c r="C67" s="414">
        <v>638352</v>
      </c>
      <c r="D67" s="414">
        <v>620015.75</v>
      </c>
      <c r="E67" s="414">
        <v>601679.5</v>
      </c>
      <c r="F67" s="414">
        <v>583343.25</v>
      </c>
      <c r="G67" s="414">
        <v>565007</v>
      </c>
      <c r="I67" s="414"/>
      <c r="J67" s="414"/>
    </row>
    <row r="68" spans="1:10" ht="14.5">
      <c r="A68" s="407">
        <f t="shared" si="1"/>
        <v>1.5800000000000005</v>
      </c>
      <c r="B68" s="406" t="s">
        <v>911</v>
      </c>
      <c r="C68" s="414">
        <v>5753</v>
      </c>
      <c r="D68" s="414">
        <v>5753</v>
      </c>
      <c r="E68" s="414">
        <v>5753</v>
      </c>
      <c r="F68" s="414">
        <v>5753</v>
      </c>
      <c r="G68" s="414">
        <v>5753</v>
      </c>
      <c r="I68" s="414"/>
      <c r="J68" s="414"/>
    </row>
    <row r="69" spans="1:10" ht="14.5">
      <c r="A69" s="407">
        <f t="shared" si="1"/>
        <v>1.5900000000000005</v>
      </c>
      <c r="B69" s="406" t="s">
        <v>1062</v>
      </c>
      <c r="C69" s="414">
        <v>213</v>
      </c>
      <c r="D69" s="414">
        <v>217.5</v>
      </c>
      <c r="E69" s="414">
        <v>222</v>
      </c>
      <c r="F69" s="414">
        <v>226.5</v>
      </c>
      <c r="G69" s="414">
        <v>231</v>
      </c>
      <c r="I69" s="414"/>
      <c r="J69" s="414"/>
    </row>
    <row r="70" spans="1:10" ht="14.5">
      <c r="A70" s="407">
        <f t="shared" si="1"/>
        <v>1.6000000000000005</v>
      </c>
      <c r="B70" s="406" t="s">
        <v>1065</v>
      </c>
      <c r="C70" s="414">
        <v>31527</v>
      </c>
      <c r="D70" s="414">
        <v>31058.5</v>
      </c>
      <c r="E70" s="414">
        <v>30590</v>
      </c>
      <c r="F70" s="414">
        <v>30121.5</v>
      </c>
      <c r="G70" s="414">
        <v>29653</v>
      </c>
      <c r="I70" s="414"/>
      <c r="J70" s="414"/>
    </row>
    <row r="71" spans="1:10" ht="14.5">
      <c r="A71" s="407">
        <f t="shared" si="1"/>
        <v>1.6100000000000005</v>
      </c>
      <c r="B71" s="406" t="s">
        <v>1066</v>
      </c>
      <c r="C71" s="414">
        <v>0</v>
      </c>
      <c r="D71" s="414">
        <v>1997.75</v>
      </c>
      <c r="E71" s="414">
        <v>3995.5</v>
      </c>
      <c r="F71" s="414">
        <v>5993.25</v>
      </c>
      <c r="G71" s="414">
        <v>7991</v>
      </c>
      <c r="I71" s="414"/>
      <c r="J71" s="414"/>
    </row>
    <row r="72" spans="1:10" ht="14.5">
      <c r="A72" s="407">
        <f>A71+0.01</f>
        <v>1.6200000000000006</v>
      </c>
      <c r="B72" s="406" t="s">
        <v>1112</v>
      </c>
      <c r="C72" s="414">
        <v>2131</v>
      </c>
      <c r="D72" s="414">
        <v>1598.25</v>
      </c>
      <c r="E72" s="414">
        <v>1065.5</v>
      </c>
      <c r="F72" s="414">
        <v>532.75</v>
      </c>
      <c r="G72" s="414">
        <v>0</v>
      </c>
      <c r="I72" s="414"/>
      <c r="J72" s="414"/>
    </row>
    <row r="73" spans="1:10" ht="14.5">
      <c r="A73" s="407">
        <f t="shared" si="1"/>
        <v>1.6300000000000006</v>
      </c>
      <c r="B73" s="406" t="s">
        <v>1070</v>
      </c>
      <c r="C73" s="414">
        <v>7074</v>
      </c>
      <c r="D73" s="414">
        <v>7076.75</v>
      </c>
      <c r="E73" s="414">
        <v>7079.5</v>
      </c>
      <c r="F73" s="414">
        <v>7082.25</v>
      </c>
      <c r="G73" s="414">
        <v>7085</v>
      </c>
      <c r="I73" s="414"/>
      <c r="J73" s="414"/>
    </row>
    <row r="74" spans="1:10" ht="14.5">
      <c r="A74" s="407">
        <f t="shared" si="1"/>
        <v>1.6400000000000006</v>
      </c>
      <c r="B74" s="406" t="s">
        <v>1073</v>
      </c>
      <c r="C74" s="414">
        <v>116</v>
      </c>
      <c r="D74" s="414">
        <v>116.25</v>
      </c>
      <c r="E74" s="414">
        <v>116.5</v>
      </c>
      <c r="F74" s="414">
        <v>116.75</v>
      </c>
      <c r="G74" s="414">
        <v>117</v>
      </c>
      <c r="I74" s="414"/>
      <c r="J74" s="414"/>
    </row>
    <row r="75" spans="1:10" ht="14.5">
      <c r="A75" s="407">
        <f t="shared" si="1"/>
        <v>1.6500000000000006</v>
      </c>
      <c r="B75" s="406" t="s">
        <v>1075</v>
      </c>
      <c r="C75" s="414">
        <v>16</v>
      </c>
      <c r="D75" s="414">
        <v>19.5</v>
      </c>
      <c r="E75" s="414">
        <v>23</v>
      </c>
      <c r="F75" s="414">
        <v>26.5</v>
      </c>
      <c r="G75" s="414">
        <v>30</v>
      </c>
      <c r="I75" s="414"/>
      <c r="J75" s="414"/>
    </row>
    <row r="76" spans="1:10" ht="14.5">
      <c r="A76" s="407">
        <f t="shared" si="2" ref="A76:A105">A75+0.01</f>
        <v>1.6600000000000006</v>
      </c>
      <c r="B76" s="406" t="s">
        <v>1079</v>
      </c>
      <c r="C76" s="414">
        <v>1</v>
      </c>
      <c r="D76" s="414">
        <v>1</v>
      </c>
      <c r="E76" s="414">
        <v>1</v>
      </c>
      <c r="F76" s="414">
        <v>1</v>
      </c>
      <c r="G76" s="414">
        <v>1</v>
      </c>
      <c r="I76" s="414"/>
      <c r="J76" s="414"/>
    </row>
    <row r="77" spans="1:10" ht="14.5">
      <c r="A77" s="407">
        <f t="shared" si="2"/>
        <v>1.6700000000000006</v>
      </c>
      <c r="B77" s="406" t="s">
        <v>1113</v>
      </c>
      <c r="C77" s="414"/>
      <c r="D77" s="414"/>
      <c r="E77" s="414"/>
      <c r="F77" s="414"/>
      <c r="G77" s="414"/>
      <c r="I77" s="414">
        <v>9751555.0344956797</v>
      </c>
      <c r="J77" s="414">
        <v>0</v>
      </c>
    </row>
    <row r="78" spans="1:10" ht="14.5">
      <c r="A78" s="407">
        <f t="shared" si="2"/>
        <v>1.6800000000000006</v>
      </c>
      <c r="B78" s="406" t="s">
        <v>1114</v>
      </c>
      <c r="C78" s="414"/>
      <c r="D78" s="414"/>
      <c r="E78" s="414"/>
      <c r="F78" s="414"/>
      <c r="G78" s="414"/>
      <c r="I78" s="414">
        <v>3647</v>
      </c>
      <c r="J78" s="414">
        <v>0</v>
      </c>
    </row>
    <row r="79" spans="1:10" ht="14.5">
      <c r="A79" s="407">
        <f t="shared" si="2"/>
        <v>1.6900000000000006</v>
      </c>
      <c r="B79" s="406" t="s">
        <v>913</v>
      </c>
      <c r="C79" s="414">
        <v>68036</v>
      </c>
      <c r="D79" s="414">
        <v>67894</v>
      </c>
      <c r="E79" s="414">
        <v>67752</v>
      </c>
      <c r="F79" s="414">
        <v>67610</v>
      </c>
      <c r="G79" s="414">
        <v>67468</v>
      </c>
      <c r="I79" s="414"/>
      <c r="J79" s="414"/>
    </row>
    <row r="80" spans="1:10" ht="14.5">
      <c r="A80" s="407">
        <f t="shared" si="2"/>
        <v>1.7000000000000006</v>
      </c>
      <c r="B80" s="406" t="s">
        <v>1080</v>
      </c>
      <c r="C80" s="414">
        <v>249526</v>
      </c>
      <c r="D80" s="414">
        <v>239296.75</v>
      </c>
      <c r="E80" s="414">
        <v>229067.5</v>
      </c>
      <c r="F80" s="414">
        <v>218838.25</v>
      </c>
      <c r="G80" s="414">
        <v>208609</v>
      </c>
      <c r="I80" s="414"/>
      <c r="J80" s="414"/>
    </row>
    <row r="81" spans="1:10" ht="14.5">
      <c r="A81" s="407">
        <f t="shared" si="2"/>
        <v>1.7100000000000006</v>
      </c>
      <c r="B81" s="406" t="s">
        <v>1081</v>
      </c>
      <c r="C81" s="414">
        <v>5146</v>
      </c>
      <c r="D81" s="414">
        <v>4890.25</v>
      </c>
      <c r="E81" s="414">
        <v>4634.5</v>
      </c>
      <c r="F81" s="414">
        <v>4378.75</v>
      </c>
      <c r="G81" s="414">
        <v>4123</v>
      </c>
      <c r="I81" s="414"/>
      <c r="J81" s="414"/>
    </row>
    <row r="82" spans="1:10" ht="14.5">
      <c r="A82" s="407">
        <f t="shared" si="2"/>
        <v>1.7200000000000006</v>
      </c>
      <c r="B82" s="406" t="s">
        <v>1083</v>
      </c>
      <c r="C82" s="414">
        <v>29</v>
      </c>
      <c r="D82" s="414">
        <v>27.5</v>
      </c>
      <c r="E82" s="414">
        <v>26</v>
      </c>
      <c r="F82" s="414">
        <v>24.5</v>
      </c>
      <c r="G82" s="414">
        <v>23</v>
      </c>
      <c r="I82" s="414"/>
      <c r="J82" s="414"/>
    </row>
    <row r="83" spans="1:10" ht="14.5">
      <c r="A83" s="407">
        <f t="shared" si="2"/>
        <v>1.7300000000000006</v>
      </c>
      <c r="B83" s="406" t="s">
        <v>1084</v>
      </c>
      <c r="C83" s="414">
        <v>129504</v>
      </c>
      <c r="D83" s="414">
        <v>126022.25</v>
      </c>
      <c r="E83" s="414">
        <v>122540.5</v>
      </c>
      <c r="F83" s="414">
        <v>119058.75</v>
      </c>
      <c r="G83" s="414">
        <v>115577</v>
      </c>
      <c r="I83" s="414"/>
      <c r="J83" s="414"/>
    </row>
    <row r="84" spans="1:10" ht="14.5">
      <c r="A84" s="407">
        <f t="shared" si="2"/>
        <v>1.7400000000000007</v>
      </c>
      <c r="B84" s="406" t="s">
        <v>1085</v>
      </c>
      <c r="C84" s="414">
        <v>2702</v>
      </c>
      <c r="D84" s="414">
        <v>2653</v>
      </c>
      <c r="E84" s="414">
        <v>2604</v>
      </c>
      <c r="F84" s="414">
        <v>2555</v>
      </c>
      <c r="G84" s="414">
        <v>2506</v>
      </c>
      <c r="I84" s="414"/>
      <c r="J84" s="414"/>
    </row>
    <row r="85" spans="1:10" ht="14.5">
      <c r="A85" s="407">
        <f t="shared" si="2"/>
        <v>1.7500000000000007</v>
      </c>
      <c r="B85" s="406" t="s">
        <v>1086</v>
      </c>
      <c r="C85" s="414">
        <v>6900</v>
      </c>
      <c r="D85" s="414">
        <v>6708.75</v>
      </c>
      <c r="E85" s="414">
        <v>6517.5</v>
      </c>
      <c r="F85" s="414">
        <v>6326.25</v>
      </c>
      <c r="G85" s="414">
        <v>6135</v>
      </c>
      <c r="I85" s="414"/>
      <c r="J85" s="414"/>
    </row>
    <row r="86" spans="1:10" ht="14.5">
      <c r="A86" s="407">
        <f t="shared" si="2"/>
        <v>1.7600000000000007</v>
      </c>
      <c r="B86" s="406" t="s">
        <v>1087</v>
      </c>
      <c r="C86" s="414">
        <v>9</v>
      </c>
      <c r="D86" s="414">
        <v>8.75</v>
      </c>
      <c r="E86" s="414">
        <v>8.5</v>
      </c>
      <c r="F86" s="414">
        <v>8.25</v>
      </c>
      <c r="G86" s="414">
        <v>8</v>
      </c>
      <c r="I86" s="414"/>
      <c r="J86" s="414"/>
    </row>
    <row r="87" spans="1:10" ht="14.5">
      <c r="A87" s="407">
        <f t="shared" si="2"/>
        <v>1.7700000000000007</v>
      </c>
      <c r="B87" s="406" t="s">
        <v>1115</v>
      </c>
      <c r="C87" s="414">
        <v>8453231</v>
      </c>
      <c r="D87" s="414">
        <v>8579681.75</v>
      </c>
      <c r="E87" s="414">
        <v>8706132.5</v>
      </c>
      <c r="F87" s="414">
        <v>8832583.25</v>
      </c>
      <c r="G87" s="414">
        <v>8959034</v>
      </c>
      <c r="I87" s="414"/>
      <c r="J87" s="414"/>
    </row>
    <row r="88" spans="1:10" ht="14.5">
      <c r="A88" s="407">
        <f t="shared" si="2"/>
        <v>1.7800000000000007</v>
      </c>
      <c r="B88" s="406" t="s">
        <v>1116</v>
      </c>
      <c r="C88" s="414">
        <v>20449834</v>
      </c>
      <c r="D88" s="414">
        <v>20835377.25</v>
      </c>
      <c r="E88" s="414">
        <v>21220920.5</v>
      </c>
      <c r="F88" s="414">
        <v>21606463.75</v>
      </c>
      <c r="G88" s="414">
        <v>21992007</v>
      </c>
      <c r="I88" s="414"/>
      <c r="J88" s="414"/>
    </row>
    <row r="89" spans="1:10" ht="14.5">
      <c r="A89" s="407">
        <f t="shared" si="2"/>
        <v>1.7900000000000007</v>
      </c>
      <c r="B89" s="406" t="s">
        <v>1117</v>
      </c>
      <c r="C89" s="414">
        <v>326628</v>
      </c>
      <c r="D89" s="414">
        <v>330282.5</v>
      </c>
      <c r="E89" s="414">
        <v>333937</v>
      </c>
      <c r="F89" s="414">
        <v>337591.5</v>
      </c>
      <c r="G89" s="414">
        <v>341246</v>
      </c>
      <c r="I89" s="414"/>
      <c r="J89" s="414"/>
    </row>
    <row r="90" spans="1:10" ht="14.5">
      <c r="A90" s="407">
        <f t="shared" si="2"/>
        <v>1.8000000000000007</v>
      </c>
      <c r="B90" s="406" t="s">
        <v>1118</v>
      </c>
      <c r="C90" s="414">
        <v>801522</v>
      </c>
      <c r="D90" s="414">
        <v>814716.25</v>
      </c>
      <c r="E90" s="414">
        <v>827910.5</v>
      </c>
      <c r="F90" s="414">
        <v>841104.75</v>
      </c>
      <c r="G90" s="414">
        <v>854299</v>
      </c>
      <c r="I90" s="414"/>
      <c r="J90" s="414"/>
    </row>
    <row r="91" spans="1:10" ht="14.5">
      <c r="A91" s="407">
        <f t="shared" si="2"/>
        <v>1.8100000000000007</v>
      </c>
      <c r="B91" s="406" t="s">
        <v>1119</v>
      </c>
      <c r="C91" s="414">
        <v>254472</v>
      </c>
      <c r="D91" s="414">
        <v>262045.5</v>
      </c>
      <c r="E91" s="414">
        <v>269619</v>
      </c>
      <c r="F91" s="414">
        <v>277192.5</v>
      </c>
      <c r="G91" s="414">
        <v>284766</v>
      </c>
      <c r="I91" s="414"/>
      <c r="J91" s="414"/>
    </row>
    <row r="92" spans="1:10" ht="14.5">
      <c r="A92" s="407">
        <f t="shared" si="2"/>
        <v>1.8200000000000007</v>
      </c>
      <c r="B92" s="406" t="s">
        <v>1120</v>
      </c>
      <c r="C92" s="414">
        <v>528870</v>
      </c>
      <c r="D92" s="414">
        <v>547789</v>
      </c>
      <c r="E92" s="414">
        <v>566708</v>
      </c>
      <c r="F92" s="414">
        <v>585627</v>
      </c>
      <c r="G92" s="414">
        <v>604546</v>
      </c>
      <c r="I92" s="414"/>
      <c r="J92" s="414"/>
    </row>
    <row r="93" spans="1:10" ht="14.5">
      <c r="A93" s="407">
        <f t="shared" si="2"/>
        <v>1.8300000000000007</v>
      </c>
      <c r="B93" s="406" t="s">
        <v>1121</v>
      </c>
      <c r="C93" s="414">
        <v>213</v>
      </c>
      <c r="D93" s="414">
        <v>213</v>
      </c>
      <c r="E93" s="414">
        <v>213</v>
      </c>
      <c r="F93" s="414">
        <v>213</v>
      </c>
      <c r="G93" s="414">
        <v>213</v>
      </c>
      <c r="I93" s="414"/>
      <c r="J93" s="414"/>
    </row>
    <row r="94" spans="1:10" ht="14.5">
      <c r="A94" s="407">
        <f t="shared" si="2"/>
        <v>1.8400000000000007</v>
      </c>
      <c r="B94" s="406" t="s">
        <v>1090</v>
      </c>
      <c r="C94" s="414">
        <v>3</v>
      </c>
      <c r="D94" s="414">
        <v>2.75</v>
      </c>
      <c r="E94" s="414">
        <v>2.5</v>
      </c>
      <c r="F94" s="414">
        <v>2.25</v>
      </c>
      <c r="G94" s="414">
        <v>2</v>
      </c>
      <c r="I94" s="414"/>
      <c r="J94" s="414"/>
    </row>
    <row r="95" spans="1:10" ht="14.5">
      <c r="A95" s="407">
        <f>A94+0.01</f>
        <v>1.8500000000000008</v>
      </c>
      <c r="B95" s="406" t="s">
        <v>1092</v>
      </c>
      <c r="C95" s="414">
        <v>3321057</v>
      </c>
      <c r="D95" s="414">
        <v>3259427.75</v>
      </c>
      <c r="E95" s="414">
        <v>3197798.5</v>
      </c>
      <c r="F95" s="414">
        <v>3136169.25</v>
      </c>
      <c r="G95" s="414">
        <v>3074540</v>
      </c>
      <c r="I95" s="414"/>
      <c r="J95" s="414"/>
    </row>
    <row r="96" spans="1:10" ht="14.5">
      <c r="A96" s="407">
        <f t="shared" si="2"/>
        <v>1.8600000000000008</v>
      </c>
      <c r="B96" s="406" t="s">
        <v>1093</v>
      </c>
      <c r="C96" s="414">
        <v>3615142</v>
      </c>
      <c r="D96" s="414">
        <v>3616487.25</v>
      </c>
      <c r="E96" s="414">
        <v>3617832.5</v>
      </c>
      <c r="F96" s="414">
        <v>3619177.75</v>
      </c>
      <c r="G96" s="414">
        <v>3620523</v>
      </c>
      <c r="I96" s="414"/>
      <c r="J96" s="414"/>
    </row>
    <row r="97" spans="1:10" ht="14.5">
      <c r="A97" s="407">
        <f t="shared" si="2"/>
        <v>1.8700000000000008</v>
      </c>
      <c r="B97" s="406" t="s">
        <v>1095</v>
      </c>
      <c r="C97" s="414">
        <v>234789</v>
      </c>
      <c r="D97" s="414">
        <v>233582.25</v>
      </c>
      <c r="E97" s="414">
        <v>232375.5</v>
      </c>
      <c r="F97" s="414">
        <v>231168.75</v>
      </c>
      <c r="G97" s="414">
        <v>229962</v>
      </c>
      <c r="I97" s="414"/>
      <c r="J97" s="414"/>
    </row>
    <row r="98" spans="1:10" ht="14.5">
      <c r="A98" s="407">
        <f t="shared" si="2"/>
        <v>1.8800000000000008</v>
      </c>
      <c r="B98" s="406" t="s">
        <v>1096</v>
      </c>
      <c r="C98" s="414">
        <v>194019</v>
      </c>
      <c r="D98" s="414">
        <v>194847.25</v>
      </c>
      <c r="E98" s="414">
        <v>195675.5</v>
      </c>
      <c r="F98" s="414">
        <v>196503.75</v>
      </c>
      <c r="G98" s="414">
        <v>197332</v>
      </c>
      <c r="I98" s="414"/>
      <c r="J98" s="414"/>
    </row>
    <row r="99" spans="1:10" ht="14.5">
      <c r="A99" s="407">
        <f t="shared" si="2"/>
        <v>1.8900000000000008</v>
      </c>
      <c r="B99" s="406" t="s">
        <v>1098</v>
      </c>
      <c r="C99" s="414">
        <v>81116</v>
      </c>
      <c r="D99" s="414">
        <v>73709</v>
      </c>
      <c r="E99" s="414">
        <v>66302</v>
      </c>
      <c r="F99" s="414">
        <v>58895</v>
      </c>
      <c r="G99" s="414">
        <v>51488</v>
      </c>
      <c r="I99" s="414"/>
      <c r="J99" s="414"/>
    </row>
    <row r="100" spans="1:10" ht="14.5">
      <c r="A100" s="407">
        <f t="shared" si="2"/>
        <v>1.9000000000000008</v>
      </c>
      <c r="B100" s="406" t="s">
        <v>1099</v>
      </c>
      <c r="C100" s="414">
        <v>85009</v>
      </c>
      <c r="D100" s="414">
        <v>80642.5</v>
      </c>
      <c r="E100" s="414">
        <v>76276</v>
      </c>
      <c r="F100" s="414">
        <v>71909.5</v>
      </c>
      <c r="G100" s="414">
        <v>67543</v>
      </c>
      <c r="I100" s="414"/>
      <c r="J100" s="414"/>
    </row>
    <row r="101" spans="1:10" ht="14.5">
      <c r="A101" s="407">
        <f t="shared" si="2"/>
        <v>1.9100000000000008</v>
      </c>
      <c r="B101" s="406" t="s">
        <v>1100</v>
      </c>
      <c r="C101" s="414">
        <v>0</v>
      </c>
      <c r="D101" s="414">
        <v>0</v>
      </c>
      <c r="E101" s="414">
        <v>0</v>
      </c>
      <c r="F101" s="414">
        <v>0</v>
      </c>
      <c r="G101" s="414">
        <v>0</v>
      </c>
      <c r="I101" s="414"/>
      <c r="J101" s="414"/>
    </row>
    <row r="102" spans="1:10" ht="14.5">
      <c r="A102" s="407">
        <f t="shared" si="2"/>
        <v>1.9200000000000008</v>
      </c>
      <c r="B102" s="406" t="s">
        <v>1101</v>
      </c>
      <c r="C102" s="414">
        <v>779</v>
      </c>
      <c r="D102" s="414">
        <v>770.75</v>
      </c>
      <c r="E102" s="414">
        <v>762.5</v>
      </c>
      <c r="F102" s="414">
        <v>754.25</v>
      </c>
      <c r="G102" s="414">
        <v>746</v>
      </c>
      <c r="I102" s="414"/>
      <c r="J102" s="414"/>
    </row>
    <row r="103" spans="1:10" ht="14.5">
      <c r="A103" s="407">
        <f t="shared" si="2"/>
        <v>1.9300000000000008</v>
      </c>
      <c r="B103" s="406" t="s">
        <v>1102</v>
      </c>
      <c r="C103" s="414">
        <v>640</v>
      </c>
      <c r="D103" s="414">
        <v>640.25</v>
      </c>
      <c r="E103" s="414">
        <v>640.5</v>
      </c>
      <c r="F103" s="414">
        <v>640.75</v>
      </c>
      <c r="G103" s="414">
        <v>641</v>
      </c>
      <c r="I103" s="414"/>
      <c r="J103" s="414"/>
    </row>
    <row r="104" spans="1:10" ht="14.5">
      <c r="A104" s="407">
        <f t="shared" si="2"/>
        <v>1.9400000000000008</v>
      </c>
      <c r="B104" s="406" t="s">
        <v>1122</v>
      </c>
      <c r="C104" s="414"/>
      <c r="D104" s="414"/>
      <c r="E104" s="414"/>
      <c r="F104" s="414"/>
      <c r="G104" s="414"/>
      <c r="I104" s="414">
        <v>0</v>
      </c>
      <c r="J104" s="414">
        <v>1306</v>
      </c>
    </row>
    <row r="105" spans="1:10" ht="14.5">
      <c r="A105" s="407">
        <f t="shared" si="2"/>
        <v>1.9500000000000008</v>
      </c>
      <c r="B105" s="406" t="s">
        <v>1140</v>
      </c>
      <c r="C105" s="414"/>
      <c r="D105" s="414"/>
      <c r="E105" s="414"/>
      <c r="F105" s="414"/>
      <c r="G105" s="414"/>
      <c r="I105" s="414">
        <v>6050115</v>
      </c>
      <c r="J105" s="414">
        <v>6876537.0999999996</v>
      </c>
    </row>
    <row r="106" spans="1:10" ht="14.5">
      <c r="A106" s="408"/>
      <c r="B106" s="406"/>
      <c r="C106" s="415"/>
      <c r="D106" s="415"/>
      <c r="E106" s="415"/>
      <c r="F106" s="415"/>
      <c r="G106" s="415"/>
      <c r="I106" s="415"/>
      <c r="J106" s="415"/>
    </row>
    <row r="107" spans="1:10" ht="14.5">
      <c r="A107" s="405">
        <v>2</v>
      </c>
      <c r="B107" s="406" t="s">
        <v>1135</v>
      </c>
      <c r="C107" s="409">
        <f>SUM(C11:C106)</f>
        <v>202922033</v>
      </c>
      <c r="D107" s="409">
        <f>SUM(D11:D106)</f>
        <v>203009323.75</v>
      </c>
      <c r="E107" s="409">
        <f>SUM(E11:E106)</f>
        <v>203096614.5</v>
      </c>
      <c r="F107" s="409">
        <f>SUM(F11:F106)</f>
        <v>203183905.25</v>
      </c>
      <c r="G107" s="409">
        <f>SUM(G11:G106)</f>
        <v>203271196</v>
      </c>
      <c r="I107" s="409">
        <f>SUM(I11:I106)</f>
        <v>16015108.03449568</v>
      </c>
      <c r="J107" s="409">
        <f>SUM(J11:J106)</f>
        <v>16404157.1</v>
      </c>
    </row>
    <row r="108" spans="9:10" ht="14.5">
      <c r="I108" s="409"/>
      <c r="J108" s="409"/>
    </row>
    <row r="109" spans="1:10" ht="14.5">
      <c r="A109" s="405">
        <v>3</v>
      </c>
      <c r="B109" s="403" t="s">
        <v>778</v>
      </c>
      <c r="I109" s="409"/>
      <c r="J109" s="409"/>
    </row>
    <row r="110" spans="9:10" ht="14.5">
      <c r="I110" s="409"/>
      <c r="J110" s="409"/>
    </row>
    <row r="111" spans="1:10" ht="14.5">
      <c r="A111" s="416">
        <v>3.0099999999999998</v>
      </c>
      <c r="B111" s="402" t="s">
        <v>539</v>
      </c>
      <c r="C111" s="414">
        <v>768216</v>
      </c>
      <c r="D111" s="414">
        <v>781112.62</v>
      </c>
      <c r="E111" s="414">
        <v>794009.23999999999</v>
      </c>
      <c r="F111" s="414">
        <v>806905.85999999999</v>
      </c>
      <c r="G111" s="414">
        <v>819802.47999999998</v>
      </c>
      <c r="I111" s="414"/>
      <c r="J111" s="414"/>
    </row>
    <row r="112" spans="1:10" ht="14.5">
      <c r="A112" s="416">
        <v>3.02</v>
      </c>
      <c r="B112" s="402" t="s">
        <v>779</v>
      </c>
      <c r="C112" s="414"/>
      <c r="D112" s="414"/>
      <c r="E112" s="414"/>
      <c r="F112" s="414"/>
      <c r="G112" s="414"/>
      <c r="I112" s="414">
        <v>1171</v>
      </c>
      <c r="J112" s="414">
        <v>12291</v>
      </c>
    </row>
    <row r="113" spans="1:10" ht="14.5">
      <c r="A113" s="416">
        <v>3.0299999999999998</v>
      </c>
      <c r="B113" s="402" t="s">
        <v>549</v>
      </c>
      <c r="C113" s="414"/>
      <c r="D113" s="414"/>
      <c r="E113" s="414"/>
      <c r="F113" s="414"/>
      <c r="G113" s="414"/>
      <c r="I113" s="414"/>
      <c r="J113" s="414"/>
    </row>
    <row r="114" spans="1:10" ht="14.5">
      <c r="A114" s="416">
        <v>3.04</v>
      </c>
      <c r="B114" s="402" t="s">
        <v>544</v>
      </c>
      <c r="C114" s="414"/>
      <c r="D114" s="414"/>
      <c r="E114" s="414"/>
      <c r="F114" s="414"/>
      <c r="G114" s="414"/>
      <c r="I114" s="414">
        <v>3647</v>
      </c>
      <c r="J114" s="414">
        <v>0</v>
      </c>
    </row>
    <row r="115" spans="1:10" ht="14.5">
      <c r="A115" s="416">
        <v>3.0499999999999998</v>
      </c>
      <c r="B115" s="402" t="s">
        <v>780</v>
      </c>
      <c r="C115" s="414">
        <v>11664090</v>
      </c>
      <c r="D115" s="414">
        <v>11557091.925000001</v>
      </c>
      <c r="E115" s="414">
        <v>11450093.850000001</v>
      </c>
      <c r="F115" s="414">
        <v>11343095.775000002</v>
      </c>
      <c r="G115" s="414">
        <v>11236097.699999999</v>
      </c>
      <c r="I115" s="414"/>
      <c r="J115" s="414"/>
    </row>
    <row r="116" spans="1:10" ht="14.5">
      <c r="A116" s="416">
        <v>3.0600000000000001</v>
      </c>
      <c r="B116" s="402" t="s">
        <v>545</v>
      </c>
      <c r="C116" s="414">
        <v>86539579.13000001</v>
      </c>
      <c r="D116" s="414">
        <v>86698460.230000004</v>
      </c>
      <c r="E116" s="414">
        <v>86857341.329999998</v>
      </c>
      <c r="F116" s="414">
        <v>87016222.429999992</v>
      </c>
      <c r="G116" s="414">
        <v>87175103.529999971</v>
      </c>
      <c r="I116" s="414">
        <v>-34133963.323271982</v>
      </c>
      <c r="J116" s="414">
        <v>-30959673.129663579</v>
      </c>
    </row>
    <row r="117" spans="1:10" ht="14.5">
      <c r="A117" s="408"/>
      <c r="B117" s="406"/>
      <c r="C117" s="415"/>
      <c r="D117" s="415"/>
      <c r="E117" s="415"/>
      <c r="F117" s="415"/>
      <c r="G117" s="415"/>
      <c r="I117" s="415"/>
      <c r="J117" s="415"/>
    </row>
    <row r="118" spans="1:10" ht="14.5">
      <c r="A118" s="405">
        <v>4</v>
      </c>
      <c r="B118" s="406" t="s">
        <v>959</v>
      </c>
      <c r="C118" s="409">
        <f>SUM(C111:C117)</f>
        <v>98971885.13000001</v>
      </c>
      <c r="D118" s="409">
        <f t="shared" si="3" ref="D118:G118">SUM(D111:D117)</f>
        <v>99036664.775000006</v>
      </c>
      <c r="E118" s="409">
        <f t="shared" si="3"/>
        <v>99101444.420000002</v>
      </c>
      <c r="F118" s="409">
        <f t="shared" si="3"/>
        <v>99166224.064999998</v>
      </c>
      <c r="G118" s="409">
        <f t="shared" si="3"/>
        <v>99231003.709999979</v>
      </c>
      <c r="I118" s="409">
        <f>SUM(I111:I117)</f>
        <v>-34129145.323271982</v>
      </c>
      <c r="J118" s="409">
        <f>SUM(J111:J117)</f>
        <v>-30947382.129663579</v>
      </c>
    </row>
    <row r="119" spans="3:10" ht="14.5">
      <c r="C119" s="418"/>
      <c r="D119" s="418"/>
      <c r="E119" s="418"/>
      <c r="F119" s="418"/>
      <c r="G119" s="418"/>
      <c r="I119" s="418"/>
      <c r="J119" s="418"/>
    </row>
    <row r="120" spans="1:10" ht="14.5">
      <c r="A120" s="405">
        <v>5</v>
      </c>
      <c r="B120" s="403" t="s">
        <v>789</v>
      </c>
      <c r="C120" s="409">
        <f>C107-C118</f>
        <v>103950147.86999999</v>
      </c>
      <c r="D120" s="409">
        <f>D107-D118</f>
        <v>103972658.97499999</v>
      </c>
      <c r="E120" s="409">
        <f t="shared" si="4" ref="E120:G120">E107-E118</f>
        <v>103995170.08</v>
      </c>
      <c r="F120" s="409">
        <f>F107-F118</f>
        <v>104017681.185</v>
      </c>
      <c r="G120" s="409">
        <f t="shared" si="4"/>
        <v>104040192.29000002</v>
      </c>
      <c r="I120" s="409">
        <f t="shared" si="5" ref="I120">I107-I118</f>
        <v>50144253.357767664</v>
      </c>
      <c r="J120" s="409">
        <f>J107-J118</f>
        <v>47351539.229663581</v>
      </c>
    </row>
    <row r="121" spans="9:10" ht="14.5">
      <c r="I121" s="409"/>
      <c r="J121" s="409"/>
    </row>
    <row r="122" spans="1:10" ht="14.5">
      <c r="A122" s="405">
        <v>6</v>
      </c>
      <c r="B122" s="403" t="s">
        <v>781</v>
      </c>
      <c r="I122" s="409"/>
      <c r="J122" s="409"/>
    </row>
    <row r="123" spans="2:10" ht="14.5">
      <c r="B123" s="403"/>
      <c r="I123" s="409"/>
      <c r="J123" s="409"/>
    </row>
    <row r="124" spans="1:10" ht="14.5">
      <c r="A124" s="407">
        <v>6.0099999999999998</v>
      </c>
      <c r="B124" s="406" t="s">
        <v>994</v>
      </c>
      <c r="C124" s="414">
        <v>976781.05000000005</v>
      </c>
      <c r="D124" s="414">
        <v>894057.995</v>
      </c>
      <c r="E124" s="414">
        <v>811334.93999999994</v>
      </c>
      <c r="F124" s="414">
        <v>728611.88499999989</v>
      </c>
      <c r="G124" s="414">
        <v>645888.82999999996</v>
      </c>
      <c r="I124" s="414"/>
      <c r="J124" s="414"/>
    </row>
    <row r="125" spans="1:10" ht="14.5">
      <c r="A125" s="407">
        <f>A124+0.01</f>
        <v>6.0199999999999996</v>
      </c>
      <c r="B125" s="406" t="s">
        <v>995</v>
      </c>
      <c r="C125" s="414">
        <v>36653.129999999997</v>
      </c>
      <c r="D125" s="414">
        <v>33475.134999999995</v>
      </c>
      <c r="E125" s="414">
        <v>30297.139999999996</v>
      </c>
      <c r="F125" s="414">
        <v>27119.144999999997</v>
      </c>
      <c r="G125" s="414">
        <v>23941.150000000001</v>
      </c>
      <c r="I125" s="414"/>
      <c r="J125" s="414"/>
    </row>
    <row r="126" spans="1:10" ht="14.5">
      <c r="A126" s="407">
        <f t="shared" si="6" ref="A126:A176">A125+0.01</f>
        <v>6.0299999999999994</v>
      </c>
      <c r="B126" s="406" t="s">
        <v>996</v>
      </c>
      <c r="C126" s="414">
        <v>22837.880000000001</v>
      </c>
      <c r="D126" s="414">
        <v>21062.91</v>
      </c>
      <c r="E126" s="414">
        <v>19287.939999999999</v>
      </c>
      <c r="F126" s="414">
        <v>17512.969999999998</v>
      </c>
      <c r="G126" s="414">
        <v>15738</v>
      </c>
      <c r="I126" s="414"/>
      <c r="J126" s="414"/>
    </row>
    <row r="127" spans="1:10" ht="14.5">
      <c r="A127" s="407">
        <f>A126+0.01</f>
        <v>6.0399999999999991</v>
      </c>
      <c r="B127" s="406" t="s">
        <v>998</v>
      </c>
      <c r="C127" s="414">
        <v>99966217.439999998</v>
      </c>
      <c r="D127" s="414">
        <v>98952828.579999998</v>
      </c>
      <c r="E127" s="414">
        <v>97939439.719999999</v>
      </c>
      <c r="F127" s="414">
        <v>96926050.859999999</v>
      </c>
      <c r="G127" s="414">
        <v>95912662</v>
      </c>
      <c r="I127" s="414"/>
      <c r="J127" s="414"/>
    </row>
    <row r="128" spans="1:10" ht="14.5">
      <c r="A128" s="407">
        <f t="shared" si="6"/>
        <v>6.0499999999999989</v>
      </c>
      <c r="B128" s="406" t="s">
        <v>999</v>
      </c>
      <c r="C128" s="414">
        <v>3657102.2200000002</v>
      </c>
      <c r="D128" s="414">
        <v>3617183.6200000001</v>
      </c>
      <c r="E128" s="414">
        <v>3577265.02</v>
      </c>
      <c r="F128" s="414">
        <v>3537346.4199999999</v>
      </c>
      <c r="G128" s="414">
        <v>3497427.8199999998</v>
      </c>
      <c r="I128" s="414"/>
      <c r="J128" s="414"/>
    </row>
    <row r="129" spans="1:10" ht="14.5">
      <c r="A129" s="407">
        <f t="shared" si="6"/>
        <v>6.0599999999999987</v>
      </c>
      <c r="B129" s="406" t="s">
        <v>1000</v>
      </c>
      <c r="C129" s="414">
        <v>2248240.23</v>
      </c>
      <c r="D129" s="414">
        <v>2257679.1924999999</v>
      </c>
      <c r="E129" s="414">
        <v>2267118.1549999998</v>
      </c>
      <c r="F129" s="414">
        <v>2276557.1174999997</v>
      </c>
      <c r="G129" s="414">
        <v>2285996.0800000001</v>
      </c>
      <c r="I129" s="414"/>
      <c r="J129" s="414"/>
    </row>
    <row r="130" spans="1:10" ht="14.5">
      <c r="A130" s="407">
        <f>A129+0.01</f>
        <v>6.0699999999999985</v>
      </c>
      <c r="B130" s="406" t="s">
        <v>1002</v>
      </c>
      <c r="C130" s="414">
        <v>473339225.04000002</v>
      </c>
      <c r="D130" s="414">
        <v>476932815.92500001</v>
      </c>
      <c r="E130" s="414">
        <v>480526406.81</v>
      </c>
      <c r="F130" s="414">
        <v>484119997.69499999</v>
      </c>
      <c r="G130" s="414">
        <v>487713588.57999998</v>
      </c>
      <c r="I130" s="414"/>
      <c r="J130" s="414"/>
    </row>
    <row r="131" spans="1:10" ht="14.5">
      <c r="A131" s="407">
        <f t="shared" si="6"/>
        <v>6.0799999999999983</v>
      </c>
      <c r="B131" s="406" t="s">
        <v>1003</v>
      </c>
      <c r="C131" s="414">
        <v>17316348.93</v>
      </c>
      <c r="D131" s="414">
        <v>17433345.797499999</v>
      </c>
      <c r="E131" s="414">
        <v>17550342.664999999</v>
      </c>
      <c r="F131" s="414">
        <v>17667339.532499999</v>
      </c>
      <c r="G131" s="414">
        <v>17784336.399999999</v>
      </c>
      <c r="I131" s="414"/>
      <c r="J131" s="414"/>
    </row>
    <row r="132" spans="1:10" ht="14.5">
      <c r="A132" s="407">
        <f t="shared" si="6"/>
        <v>6.0899999999999981</v>
      </c>
      <c r="B132" s="406" t="s">
        <v>1004</v>
      </c>
      <c r="C132" s="414">
        <v>6509116.54</v>
      </c>
      <c r="D132" s="414">
        <v>6750214.2750000004</v>
      </c>
      <c r="E132" s="414">
        <v>6991312.0100000007</v>
      </c>
      <c r="F132" s="414">
        <v>7232409.745000001</v>
      </c>
      <c r="G132" s="414">
        <v>7473507.4800000004</v>
      </c>
      <c r="I132" s="414"/>
      <c r="J132" s="414"/>
    </row>
    <row r="133" spans="1:10" ht="14.5">
      <c r="A133" s="407">
        <f>A132+0.01</f>
        <v>6.0999999999999979</v>
      </c>
      <c r="B133" s="406" t="s">
        <v>1006</v>
      </c>
      <c r="C133" s="414">
        <v>6875415.3399999999</v>
      </c>
      <c r="D133" s="414">
        <v>7114384.6174999997</v>
      </c>
      <c r="E133" s="414">
        <v>7353353.8949999996</v>
      </c>
      <c r="F133" s="414">
        <v>7592323.1724999994</v>
      </c>
      <c r="G133" s="414">
        <v>7831292.4500000002</v>
      </c>
      <c r="I133" s="414"/>
      <c r="J133" s="414"/>
    </row>
    <row r="134" spans="1:10" ht="14.5">
      <c r="A134" s="407">
        <f t="shared" si="6"/>
        <v>6.1099999999999977</v>
      </c>
      <c r="B134" s="406" t="s">
        <v>1007</v>
      </c>
      <c r="C134" s="414">
        <v>13540470.9</v>
      </c>
      <c r="D134" s="414">
        <v>13868523.0975</v>
      </c>
      <c r="E134" s="414">
        <v>14196575.295</v>
      </c>
      <c r="F134" s="414">
        <v>14524627.4925</v>
      </c>
      <c r="G134" s="414">
        <v>14852679.689999999</v>
      </c>
      <c r="I134" s="414"/>
      <c r="J134" s="414"/>
    </row>
    <row r="135" spans="1:10" ht="14.5">
      <c r="A135" s="407">
        <f t="shared" si="6"/>
        <v>6.1199999999999974</v>
      </c>
      <c r="B135" s="406" t="s">
        <v>1008</v>
      </c>
      <c r="C135" s="414">
        <v>-12073745.24</v>
      </c>
      <c r="D135" s="414">
        <v>-12371082.997500001</v>
      </c>
      <c r="E135" s="414">
        <v>-12668420.755000001</v>
      </c>
      <c r="F135" s="414">
        <v>-12965758.512500001</v>
      </c>
      <c r="G135" s="414">
        <v>-13263096.27</v>
      </c>
      <c r="I135" s="414"/>
      <c r="J135" s="414"/>
    </row>
    <row r="136" spans="1:10" ht="14.5">
      <c r="A136" s="407">
        <f t="shared" si="6"/>
        <v>6.1299999999999972</v>
      </c>
      <c r="B136" s="406" t="s">
        <v>1009</v>
      </c>
      <c r="C136" s="414">
        <v>251525.94</v>
      </c>
      <c r="D136" s="414">
        <v>260035.91500000001</v>
      </c>
      <c r="E136" s="414">
        <v>268545.89000000001</v>
      </c>
      <c r="F136" s="414">
        <v>277055.86499999999</v>
      </c>
      <c r="G136" s="414">
        <v>285565.84000000003</v>
      </c>
      <c r="I136" s="414"/>
      <c r="J136" s="414"/>
    </row>
    <row r="137" spans="1:10" ht="14.5">
      <c r="A137" s="407">
        <f t="shared" si="6"/>
        <v>6.139999999999997</v>
      </c>
      <c r="B137" s="406" t="s">
        <v>1010</v>
      </c>
      <c r="C137" s="414">
        <v>495356.21000000002</v>
      </c>
      <c r="D137" s="414">
        <v>506916.83750000002</v>
      </c>
      <c r="E137" s="414">
        <v>518477.46500000003</v>
      </c>
      <c r="F137" s="414">
        <v>530038.09250000003</v>
      </c>
      <c r="G137" s="414">
        <v>541598.71999999997</v>
      </c>
      <c r="I137" s="414"/>
      <c r="J137" s="414"/>
    </row>
    <row r="138" spans="1:10" ht="14.5">
      <c r="A138" s="407">
        <f t="shared" si="6"/>
        <v>6.1499999999999968</v>
      </c>
      <c r="B138" s="406" t="s">
        <v>1011</v>
      </c>
      <c r="C138" s="414">
        <v>-441698.41999999998</v>
      </c>
      <c r="D138" s="414">
        <v>-452182.5675</v>
      </c>
      <c r="E138" s="414">
        <v>-462666.71500000003</v>
      </c>
      <c r="F138" s="414">
        <v>-473150.86250000005</v>
      </c>
      <c r="G138" s="414">
        <v>-483635.01000000001</v>
      </c>
      <c r="I138" s="414"/>
      <c r="J138" s="414"/>
    </row>
    <row r="139" spans="1:10" ht="14.5">
      <c r="A139" s="407">
        <f t="shared" si="6"/>
        <v>6.1599999999999966</v>
      </c>
      <c r="B139" s="406" t="s">
        <v>1012</v>
      </c>
      <c r="C139" s="414">
        <v>154628.10000000001</v>
      </c>
      <c r="D139" s="414">
        <v>162634.11000000002</v>
      </c>
      <c r="E139" s="414">
        <v>170640.12000000002</v>
      </c>
      <c r="F139" s="414">
        <v>178646.13000000003</v>
      </c>
      <c r="G139" s="414">
        <v>186652.14000000001</v>
      </c>
      <c r="I139" s="414"/>
      <c r="J139" s="414"/>
    </row>
    <row r="140" spans="1:10" ht="14.5">
      <c r="A140" s="407">
        <f t="shared" si="6"/>
        <v>6.1699999999999964</v>
      </c>
      <c r="B140" s="406" t="s">
        <v>1013</v>
      </c>
      <c r="C140" s="414">
        <v>304525.19</v>
      </c>
      <c r="D140" s="414">
        <v>316894.11499999999</v>
      </c>
      <c r="E140" s="414">
        <v>329263.03999999998</v>
      </c>
      <c r="F140" s="414">
        <v>341631.96499999997</v>
      </c>
      <c r="G140" s="414">
        <v>354000.89000000001</v>
      </c>
      <c r="I140" s="414"/>
      <c r="J140" s="414"/>
    </row>
    <row r="141" spans="1:10" ht="14.5">
      <c r="A141" s="407">
        <f t="shared" si="6"/>
        <v>6.1799999999999962</v>
      </c>
      <c r="B141" s="406" t="s">
        <v>1014</v>
      </c>
      <c r="C141" s="414">
        <v>-271538.53000000003</v>
      </c>
      <c r="D141" s="414">
        <v>-282682.53000000003</v>
      </c>
      <c r="E141" s="414">
        <v>-293826.53000000003</v>
      </c>
      <c r="F141" s="414">
        <v>-304970.53000000003</v>
      </c>
      <c r="G141" s="414">
        <v>-316114.53000000003</v>
      </c>
      <c r="I141" s="414"/>
      <c r="J141" s="414"/>
    </row>
    <row r="142" spans="1:10" ht="14.5">
      <c r="A142" s="407">
        <f>A141+0.01</f>
        <v>6.1899999999999959</v>
      </c>
      <c r="B142" s="406" t="s">
        <v>1018</v>
      </c>
      <c r="C142" s="414">
        <v>21059972.670000002</v>
      </c>
      <c r="D142" s="414">
        <v>21523763.385000002</v>
      </c>
      <c r="E142" s="414">
        <v>21987554.100000001</v>
      </c>
      <c r="F142" s="414">
        <v>22451344.815000001</v>
      </c>
      <c r="G142" s="414">
        <v>22915135.530000001</v>
      </c>
      <c r="I142" s="414"/>
      <c r="J142" s="414"/>
    </row>
    <row r="143" spans="1:10" ht="14.5">
      <c r="A143" s="407">
        <f t="shared" si="6"/>
        <v>6.1999999999999957</v>
      </c>
      <c r="B143" s="406" t="s">
        <v>1019</v>
      </c>
      <c r="C143" s="414">
        <v>29639234.350000001</v>
      </c>
      <c r="D143" s="414">
        <v>30264893.127500001</v>
      </c>
      <c r="E143" s="414">
        <v>30890551.905000001</v>
      </c>
      <c r="F143" s="414">
        <v>31516210.682500001</v>
      </c>
      <c r="G143" s="414">
        <v>32141869.460000001</v>
      </c>
      <c r="I143" s="414"/>
      <c r="J143" s="414"/>
    </row>
    <row r="144" spans="1:10" ht="14.5">
      <c r="A144" s="407">
        <f t="shared" si="6"/>
        <v>6.2099999999999955</v>
      </c>
      <c r="B144" s="406" t="s">
        <v>1020</v>
      </c>
      <c r="C144" s="414">
        <v>-25761152.780000001</v>
      </c>
      <c r="D144" s="414">
        <v>-26435409.1175</v>
      </c>
      <c r="E144" s="414">
        <v>-27109665.454999998</v>
      </c>
      <c r="F144" s="414">
        <v>-27783921.792499997</v>
      </c>
      <c r="G144" s="414">
        <v>-28458178.129999999</v>
      </c>
      <c r="I144" s="414"/>
      <c r="J144" s="414"/>
    </row>
    <row r="145" spans="1:10" ht="14.5">
      <c r="A145" s="407">
        <f t="shared" si="6"/>
        <v>6.2199999999999953</v>
      </c>
      <c r="B145" s="406" t="s">
        <v>1021</v>
      </c>
      <c r="C145" s="414">
        <v>770445</v>
      </c>
      <c r="D145" s="414">
        <v>786732.21750000003</v>
      </c>
      <c r="E145" s="414">
        <v>803019.43500000006</v>
      </c>
      <c r="F145" s="414">
        <v>819306.65250000008</v>
      </c>
      <c r="G145" s="414">
        <v>835593.87</v>
      </c>
      <c r="I145" s="414"/>
      <c r="J145" s="414"/>
    </row>
    <row r="146" spans="1:10" ht="14.5">
      <c r="A146" s="407">
        <f t="shared" si="6"/>
        <v>6.2299999999999951</v>
      </c>
      <c r="B146" s="406" t="s">
        <v>1022</v>
      </c>
      <c r="C146" s="414">
        <v>1084303.3999999999</v>
      </c>
      <c r="D146" s="414">
        <v>1106238.5725</v>
      </c>
      <c r="E146" s="414">
        <v>1128173.7450000001</v>
      </c>
      <c r="F146" s="414">
        <v>1150108.9175000002</v>
      </c>
      <c r="G146" s="414">
        <v>1172044.0900000001</v>
      </c>
      <c r="I146" s="414"/>
      <c r="J146" s="414"/>
    </row>
    <row r="147" spans="1:10" ht="14.5">
      <c r="A147" s="407">
        <f t="shared" si="6"/>
        <v>6.2399999999999949</v>
      </c>
      <c r="B147" s="406" t="s">
        <v>1023</v>
      </c>
      <c r="C147" s="414">
        <v>-942430.06999999995</v>
      </c>
      <c r="D147" s="414">
        <v>-966252.38500000001</v>
      </c>
      <c r="E147" s="414">
        <v>-990074.69999999995</v>
      </c>
      <c r="F147" s="414">
        <v>-1013897.0149999999</v>
      </c>
      <c r="G147" s="414">
        <v>-1037719.33</v>
      </c>
      <c r="I147" s="414"/>
      <c r="J147" s="414"/>
    </row>
    <row r="148" spans="1:10" ht="14.5">
      <c r="A148" s="407">
        <f t="shared" si="6"/>
        <v>6.2499999999999947</v>
      </c>
      <c r="B148" s="406" t="s">
        <v>1024</v>
      </c>
      <c r="C148" s="414">
        <v>473638.78000000003</v>
      </c>
      <c r="D148" s="414">
        <v>491769.73750000005</v>
      </c>
      <c r="E148" s="414">
        <v>509900.69500000007</v>
      </c>
      <c r="F148" s="414">
        <v>528031.65250000008</v>
      </c>
      <c r="G148" s="414">
        <v>546162.60999999999</v>
      </c>
      <c r="I148" s="414"/>
      <c r="J148" s="414"/>
    </row>
    <row r="149" spans="1:10" ht="14.5">
      <c r="A149" s="407">
        <f t="shared" si="6"/>
        <v>6.2599999999999945</v>
      </c>
      <c r="B149" s="406" t="s">
        <v>1025</v>
      </c>
      <c r="C149" s="414">
        <v>666586.38</v>
      </c>
      <c r="D149" s="414">
        <v>691458.26249999995</v>
      </c>
      <c r="E149" s="414">
        <v>716330.14500000002</v>
      </c>
      <c r="F149" s="414">
        <v>741202.02750000008</v>
      </c>
      <c r="G149" s="414">
        <v>766073.91000000003</v>
      </c>
      <c r="I149" s="414"/>
      <c r="J149" s="414"/>
    </row>
    <row r="150" spans="1:10" ht="14.5">
      <c r="A150" s="407">
        <f t="shared" si="6"/>
        <v>6.2699999999999942</v>
      </c>
      <c r="B150" s="406" t="s">
        <v>1026</v>
      </c>
      <c r="C150" s="414">
        <v>-579368.31999999995</v>
      </c>
      <c r="D150" s="414">
        <v>-604095.30999999994</v>
      </c>
      <c r="E150" s="414">
        <v>-628822.29999999993</v>
      </c>
      <c r="F150" s="414">
        <v>-653549.28999999992</v>
      </c>
      <c r="G150" s="414">
        <v>-678276.28000000003</v>
      </c>
      <c r="I150" s="414"/>
      <c r="J150" s="414"/>
    </row>
    <row r="151" spans="1:10" ht="14.5">
      <c r="A151" s="407">
        <f t="shared" si="6"/>
        <v>6.279999999999994</v>
      </c>
      <c r="B151" s="406" t="s">
        <v>1027</v>
      </c>
      <c r="C151" s="414">
        <v>558.23000000000002</v>
      </c>
      <c r="D151" s="414">
        <v>535.25999999999999</v>
      </c>
      <c r="E151" s="414">
        <v>512.28999999999996</v>
      </c>
      <c r="F151" s="414">
        <v>489.31999999999994</v>
      </c>
      <c r="G151" s="414">
        <v>466.35000000000002</v>
      </c>
      <c r="I151" s="414"/>
      <c r="J151" s="414"/>
    </row>
    <row r="152" spans="1:10" ht="14.5">
      <c r="A152" s="407">
        <f t="shared" si="6"/>
        <v>6.2899999999999938</v>
      </c>
      <c r="B152" s="406" t="s">
        <v>1028</v>
      </c>
      <c r="C152" s="414">
        <v>20.420000000000002</v>
      </c>
      <c r="D152" s="414">
        <v>19.567500000000003</v>
      </c>
      <c r="E152" s="414">
        <v>18.715000000000003</v>
      </c>
      <c r="F152" s="414">
        <v>17.862500000000004</v>
      </c>
      <c r="G152" s="414">
        <v>17.010000000000002</v>
      </c>
      <c r="I152" s="414"/>
      <c r="J152" s="414"/>
    </row>
    <row r="153" spans="1:10" ht="14.5">
      <c r="A153" s="407">
        <f t="shared" si="6"/>
        <v>6.2999999999999936</v>
      </c>
      <c r="B153" s="406" t="s">
        <v>1029</v>
      </c>
      <c r="C153" s="414">
        <v>12.550000000000001</v>
      </c>
      <c r="D153" s="414">
        <v>12.192500000000001</v>
      </c>
      <c r="E153" s="414">
        <v>11.835000000000001</v>
      </c>
      <c r="F153" s="414">
        <v>11.477500000000001</v>
      </c>
      <c r="G153" s="414">
        <v>11.119999999999999</v>
      </c>
      <c r="I153" s="414"/>
      <c r="J153" s="414"/>
    </row>
    <row r="154" spans="1:10" ht="14.5">
      <c r="A154" s="407">
        <f>A153+0.01</f>
        <v>6.3099999999999934</v>
      </c>
      <c r="B154" s="406" t="s">
        <v>1030</v>
      </c>
      <c r="C154" s="414">
        <v>7553637.7000000002</v>
      </c>
      <c r="D154" s="414">
        <v>7479694.7175000003</v>
      </c>
      <c r="E154" s="414">
        <v>7405751.7350000003</v>
      </c>
      <c r="F154" s="414">
        <v>7331808.7525000004</v>
      </c>
      <c r="G154" s="414">
        <v>7257865.7699999996</v>
      </c>
      <c r="I154" s="414"/>
      <c r="J154" s="414"/>
    </row>
    <row r="155" spans="1:10" ht="14.5">
      <c r="A155" s="407">
        <f t="shared" si="6"/>
        <v>6.3199999999999932</v>
      </c>
      <c r="B155" s="406" t="s">
        <v>1031</v>
      </c>
      <c r="C155" s="414">
        <v>276337.59999999998</v>
      </c>
      <c r="D155" s="414">
        <v>273417.19999999995</v>
      </c>
      <c r="E155" s="414">
        <v>270496.79999999993</v>
      </c>
      <c r="F155" s="414">
        <v>267576.39999999991</v>
      </c>
      <c r="G155" s="414">
        <v>264656</v>
      </c>
      <c r="I155" s="414"/>
      <c r="J155" s="414"/>
    </row>
    <row r="156" spans="1:10" ht="14.5">
      <c r="A156" s="407">
        <f t="shared" si="6"/>
        <v>6.329999999999993</v>
      </c>
      <c r="B156" s="406" t="s">
        <v>1032</v>
      </c>
      <c r="C156" s="414">
        <v>169881.32000000001</v>
      </c>
      <c r="D156" s="414">
        <v>170657.24249999999</v>
      </c>
      <c r="E156" s="414">
        <v>171433.16499999998</v>
      </c>
      <c r="F156" s="414">
        <v>172209.08749999997</v>
      </c>
      <c r="G156" s="414">
        <v>172985.01000000001</v>
      </c>
      <c r="I156" s="414"/>
      <c r="J156" s="414"/>
    </row>
    <row r="157" spans="1:10" ht="14.5">
      <c r="A157" s="407">
        <f>A156+0.01</f>
        <v>6.3399999999999928</v>
      </c>
      <c r="B157" s="406" t="s">
        <v>1034</v>
      </c>
      <c r="C157" s="414">
        <v>574896.20999999996</v>
      </c>
      <c r="D157" s="414">
        <v>1059271.5725</v>
      </c>
      <c r="E157" s="414">
        <v>1543646.9350000001</v>
      </c>
      <c r="F157" s="414">
        <v>2028022.2975000001</v>
      </c>
      <c r="G157" s="414">
        <v>2512397.6600000001</v>
      </c>
      <c r="I157" s="414"/>
      <c r="J157" s="414"/>
    </row>
    <row r="158" spans="1:10" ht="14.5">
      <c r="A158" s="407">
        <f t="shared" si="6"/>
        <v>6.3499999999999925</v>
      </c>
      <c r="B158" s="406" t="s">
        <v>1035</v>
      </c>
      <c r="C158" s="414">
        <v>21031.650000000001</v>
      </c>
      <c r="D158" s="414">
        <v>38677.202499999999</v>
      </c>
      <c r="E158" s="414">
        <v>56322.754999999997</v>
      </c>
      <c r="F158" s="414">
        <v>73968.307499999995</v>
      </c>
      <c r="G158" s="414">
        <v>91613.860000000001</v>
      </c>
      <c r="I158" s="414"/>
      <c r="J158" s="414"/>
    </row>
    <row r="159" spans="1:10" ht="14.5">
      <c r="A159" s="407">
        <f t="shared" si="6"/>
        <v>6.3599999999999923</v>
      </c>
      <c r="B159" s="406" t="s">
        <v>1036</v>
      </c>
      <c r="C159" s="414">
        <v>12929.42</v>
      </c>
      <c r="D159" s="414">
        <v>24667.2775</v>
      </c>
      <c r="E159" s="414">
        <v>36405.135000000002</v>
      </c>
      <c r="F159" s="414">
        <v>48142.9925</v>
      </c>
      <c r="G159" s="414">
        <v>59880.849999999999</v>
      </c>
      <c r="I159" s="414"/>
      <c r="J159" s="414"/>
    </row>
    <row r="160" spans="1:10" ht="14.5">
      <c r="A160" s="407">
        <f>A159+0.01</f>
        <v>6.3699999999999921</v>
      </c>
      <c r="B160" s="406" t="s">
        <v>1038</v>
      </c>
      <c r="C160" s="414">
        <v>10836959.58</v>
      </c>
      <c r="D160" s="414">
        <v>12214279.015000001</v>
      </c>
      <c r="E160" s="414">
        <v>13591598.450000001</v>
      </c>
      <c r="F160" s="414">
        <v>14968917.885000002</v>
      </c>
      <c r="G160" s="414">
        <v>16346237.32</v>
      </c>
      <c r="I160" s="414"/>
      <c r="J160" s="414"/>
    </row>
    <row r="161" spans="1:10" ht="14.5">
      <c r="A161" s="407">
        <f t="shared" si="6"/>
        <v>6.3799999999999919</v>
      </c>
      <c r="B161" s="406" t="s">
        <v>1039</v>
      </c>
      <c r="C161" s="414">
        <v>396452.62</v>
      </c>
      <c r="D161" s="414">
        <v>446354.685</v>
      </c>
      <c r="E161" s="414">
        <v>496256.75</v>
      </c>
      <c r="F161" s="414">
        <v>546158.81499999994</v>
      </c>
      <c r="G161" s="414">
        <v>596060.88</v>
      </c>
      <c r="I161" s="414"/>
      <c r="J161" s="414"/>
    </row>
    <row r="162" spans="1:10" ht="14.5">
      <c r="A162" s="407">
        <f t="shared" si="6"/>
        <v>6.3899999999999917</v>
      </c>
      <c r="B162" s="406" t="s">
        <v>1040</v>
      </c>
      <c r="C162" s="414">
        <v>243723.22</v>
      </c>
      <c r="D162" s="414">
        <v>280192.05499999999</v>
      </c>
      <c r="E162" s="414">
        <v>316660.89000000001</v>
      </c>
      <c r="F162" s="414">
        <v>353129.72500000003</v>
      </c>
      <c r="G162" s="414">
        <v>389598.56</v>
      </c>
      <c r="I162" s="414"/>
      <c r="J162" s="414"/>
    </row>
    <row r="163" spans="1:10" ht="14.5">
      <c r="A163" s="407">
        <f>A162+0.01</f>
        <v>6.3999999999999915</v>
      </c>
      <c r="B163" s="406" t="s">
        <v>1041</v>
      </c>
      <c r="C163" s="414">
        <v>453974.51000000001</v>
      </c>
      <c r="D163" s="414">
        <v>474264.58250000002</v>
      </c>
      <c r="E163" s="414">
        <v>494554.65500000003</v>
      </c>
      <c r="F163" s="414">
        <v>514844.72750000004</v>
      </c>
      <c r="G163" s="414">
        <v>535134.80000000005</v>
      </c>
      <c r="I163" s="414"/>
      <c r="J163" s="414"/>
    </row>
    <row r="164" spans="1:10" ht="14.5">
      <c r="A164" s="407">
        <f t="shared" si="6"/>
        <v>6.4099999999999913</v>
      </c>
      <c r="B164" s="406" t="s">
        <v>1042</v>
      </c>
      <c r="C164" s="414">
        <v>16607.93</v>
      </c>
      <c r="D164" s="414">
        <v>17334.3325</v>
      </c>
      <c r="E164" s="414">
        <v>18060.735000000001</v>
      </c>
      <c r="F164" s="414">
        <v>18787.137500000001</v>
      </c>
      <c r="G164" s="414">
        <v>19513.540000000001</v>
      </c>
      <c r="I164" s="414"/>
      <c r="J164" s="414"/>
    </row>
    <row r="165" spans="1:10" ht="14.5">
      <c r="A165" s="407">
        <f>A164+0.01</f>
        <v>6.419999999999991</v>
      </c>
      <c r="B165" s="406" t="s">
        <v>1044</v>
      </c>
      <c r="C165" s="414">
        <v>-1.9299999999999999</v>
      </c>
      <c r="D165" s="414">
        <v>-1.9324999999999999</v>
      </c>
      <c r="E165" s="414">
        <v>-1.9349999999999998</v>
      </c>
      <c r="F165" s="414">
        <v>-1.9374999999999998</v>
      </c>
      <c r="G165" s="414">
        <v>-1.9399999999999999</v>
      </c>
      <c r="I165" s="414"/>
      <c r="J165" s="414"/>
    </row>
    <row r="166" spans="1:10" ht="14.5">
      <c r="A166" s="407">
        <f t="shared" si="6"/>
        <v>6.4299999999999908</v>
      </c>
      <c r="B166" s="406" t="s">
        <v>1045</v>
      </c>
      <c r="C166" s="414">
        <v>-0.070000000000000007</v>
      </c>
      <c r="D166" s="414">
        <v>-0.070000000000000007</v>
      </c>
      <c r="E166" s="414">
        <v>-0.070000000000000007</v>
      </c>
      <c r="F166" s="414">
        <v>-0.070000000000000007</v>
      </c>
      <c r="G166" s="414">
        <v>-0.070000000000000007</v>
      </c>
      <c r="I166" s="414"/>
      <c r="J166" s="414"/>
    </row>
    <row r="167" spans="1:10" ht="14.5">
      <c r="A167" s="407">
        <f t="shared" si="6"/>
        <v>6.4399999999999906</v>
      </c>
      <c r="B167" s="406" t="s">
        <v>1046</v>
      </c>
      <c r="C167" s="414">
        <v>-0.040000000000000001</v>
      </c>
      <c r="D167" s="414">
        <v>-0.042500000000000003</v>
      </c>
      <c r="E167" s="414">
        <v>-0.045000000000000005</v>
      </c>
      <c r="F167" s="414">
        <v>-0.047500000000000007</v>
      </c>
      <c r="G167" s="414">
        <v>-0.050000000000000003</v>
      </c>
      <c r="I167" s="414"/>
      <c r="J167" s="414"/>
    </row>
    <row r="168" spans="1:10" ht="14.5">
      <c r="A168" s="407">
        <f t="shared" si="6"/>
        <v>6.4499999999999904</v>
      </c>
      <c r="B168" s="406" t="s">
        <v>1047</v>
      </c>
      <c r="C168" s="414">
        <v>221.27000000000001</v>
      </c>
      <c r="D168" s="414">
        <v>219.61250000000001</v>
      </c>
      <c r="E168" s="414">
        <v>217.95500000000001</v>
      </c>
      <c r="F168" s="414">
        <v>216.29750000000001</v>
      </c>
      <c r="G168" s="414">
        <v>214.63999999999999</v>
      </c>
      <c r="I168" s="414"/>
      <c r="J168" s="414"/>
    </row>
    <row r="169" spans="1:10" ht="14.5">
      <c r="A169" s="407">
        <f t="shared" si="6"/>
        <v>6.4599999999999902</v>
      </c>
      <c r="B169" s="406" t="s">
        <v>1048</v>
      </c>
      <c r="C169" s="414">
        <v>8.0999999999999996</v>
      </c>
      <c r="D169" s="414">
        <v>8.0324999999999989</v>
      </c>
      <c r="E169" s="414">
        <v>7.964999999999999</v>
      </c>
      <c r="F169" s="414">
        <v>7.8974999999999991</v>
      </c>
      <c r="G169" s="414">
        <v>7.8300000000000001</v>
      </c>
      <c r="I169" s="414"/>
      <c r="J169" s="414"/>
    </row>
    <row r="170" spans="1:10" ht="14.5">
      <c r="A170" s="407">
        <f t="shared" si="6"/>
        <v>6.46999999999999</v>
      </c>
      <c r="B170" s="406" t="s">
        <v>1049</v>
      </c>
      <c r="C170" s="414">
        <v>4.9800000000000004</v>
      </c>
      <c r="D170" s="414">
        <v>5.0150000000000006</v>
      </c>
      <c r="E170" s="414">
        <v>5.0500000000000007</v>
      </c>
      <c r="F170" s="414">
        <v>5.0850000000000009</v>
      </c>
      <c r="G170" s="414">
        <v>5.1200000000000001</v>
      </c>
      <c r="I170" s="414"/>
      <c r="J170" s="414"/>
    </row>
    <row r="171" spans="1:10" ht="14.5">
      <c r="A171" s="407">
        <f>A170+0.01</f>
        <v>6.4799999999999898</v>
      </c>
      <c r="B171" s="406" t="s">
        <v>1050</v>
      </c>
      <c r="C171" s="414">
        <v>1363141.25</v>
      </c>
      <c r="D171" s="414">
        <v>1356630.1174999999</v>
      </c>
      <c r="E171" s="414">
        <v>1350118.9849999999</v>
      </c>
      <c r="F171" s="414">
        <v>1343607.8524999998</v>
      </c>
      <c r="G171" s="414">
        <v>1337096.72</v>
      </c>
      <c r="I171" s="414"/>
      <c r="J171" s="414"/>
    </row>
    <row r="172" spans="1:10" ht="14.5">
      <c r="A172" s="407">
        <f t="shared" si="6"/>
        <v>6.4899999999999896</v>
      </c>
      <c r="B172" s="406" t="s">
        <v>1051</v>
      </c>
      <c r="C172" s="414">
        <v>49868.32</v>
      </c>
      <c r="D172" s="414">
        <v>49590.452499999999</v>
      </c>
      <c r="E172" s="414">
        <v>49312.584999999999</v>
      </c>
      <c r="F172" s="414">
        <v>49034.717499999999</v>
      </c>
      <c r="G172" s="414">
        <v>48756.849999999999</v>
      </c>
      <c r="I172" s="414"/>
      <c r="J172" s="414"/>
    </row>
    <row r="173" spans="1:10" ht="14.5">
      <c r="A173" s="407">
        <f t="shared" si="6"/>
        <v>6.4999999999999893</v>
      </c>
      <c r="B173" s="406" t="s">
        <v>1052</v>
      </c>
      <c r="C173" s="414">
        <v>30657.049999999999</v>
      </c>
      <c r="D173" s="414">
        <v>30959.924999999999</v>
      </c>
      <c r="E173" s="414">
        <v>31262.799999999999</v>
      </c>
      <c r="F173" s="414">
        <v>31565.674999999999</v>
      </c>
      <c r="G173" s="414">
        <v>31868.549999999999</v>
      </c>
      <c r="I173" s="414"/>
      <c r="J173" s="414"/>
    </row>
    <row r="174" spans="1:10" ht="14.5">
      <c r="A174" s="407">
        <f>A173+0.01</f>
        <v>6.5099999999999891</v>
      </c>
      <c r="B174" s="406" t="s">
        <v>1054</v>
      </c>
      <c r="C174" s="414">
        <v>-28463.110000000001</v>
      </c>
      <c r="D174" s="414">
        <v>-28633.924999999999</v>
      </c>
      <c r="E174" s="414">
        <v>-28804.739999999998</v>
      </c>
      <c r="F174" s="414">
        <v>-28975.554999999997</v>
      </c>
      <c r="G174" s="414">
        <v>-29146.369999999999</v>
      </c>
      <c r="I174" s="414"/>
      <c r="J174" s="414"/>
    </row>
    <row r="175" spans="1:10" ht="14.5">
      <c r="A175" s="407">
        <f t="shared" si="6"/>
        <v>6.5199999999999889</v>
      </c>
      <c r="B175" s="406" t="s">
        <v>1055</v>
      </c>
      <c r="C175" s="414">
        <v>-1041.27</v>
      </c>
      <c r="D175" s="414">
        <v>-1046.655</v>
      </c>
      <c r="E175" s="414">
        <v>-1052.04</v>
      </c>
      <c r="F175" s="414">
        <v>-1057.425</v>
      </c>
      <c r="G175" s="414">
        <v>-1062.8099999999999</v>
      </c>
      <c r="I175" s="414"/>
      <c r="J175" s="414"/>
    </row>
    <row r="176" spans="1:10" ht="14.5">
      <c r="A176" s="407">
        <f t="shared" si="6"/>
        <v>6.5299999999999887</v>
      </c>
      <c r="B176" s="406" t="s">
        <v>1056</v>
      </c>
      <c r="C176" s="414">
        <v>-640.13999999999999</v>
      </c>
      <c r="D176" s="414">
        <v>-653.77499999999998</v>
      </c>
      <c r="E176" s="414">
        <v>-667.40999999999997</v>
      </c>
      <c r="F176" s="414">
        <v>-681.04499999999996</v>
      </c>
      <c r="G176" s="414">
        <v>-694.67999999999995</v>
      </c>
      <c r="I176" s="414"/>
      <c r="J176" s="414"/>
    </row>
    <row r="177" spans="1:10" ht="14.5">
      <c r="A177" s="407">
        <f>A176+0.01</f>
        <v>6.5399999999999885</v>
      </c>
      <c r="B177" s="406" t="s">
        <v>1057</v>
      </c>
      <c r="C177" s="414">
        <v>40280.099999999999</v>
      </c>
      <c r="D177" s="414">
        <v>42664.610000000001</v>
      </c>
      <c r="E177" s="414">
        <v>45049.120000000003</v>
      </c>
      <c r="F177" s="414">
        <v>47433.630000000005</v>
      </c>
      <c r="G177" s="414">
        <v>49818.139999999999</v>
      </c>
      <c r="I177" s="414"/>
      <c r="J177" s="414"/>
    </row>
    <row r="178" spans="1:10" ht="14.5">
      <c r="A178" s="407">
        <f t="shared" si="7" ref="A178:A213">A177+0.01</f>
        <v>6.5499999999999883</v>
      </c>
      <c r="B178" s="406" t="s">
        <v>1058</v>
      </c>
      <c r="C178" s="414">
        <v>1473.5799999999999</v>
      </c>
      <c r="D178" s="414">
        <v>1559.3374999999999</v>
      </c>
      <c r="E178" s="414">
        <v>1645.0949999999998</v>
      </c>
      <c r="F178" s="414">
        <v>1730.8524999999997</v>
      </c>
      <c r="G178" s="414">
        <v>1816.6099999999999</v>
      </c>
      <c r="I178" s="414"/>
      <c r="J178" s="414"/>
    </row>
    <row r="179" spans="1:10" ht="14.5">
      <c r="A179" s="407">
        <f t="shared" si="7"/>
        <v>6.5599999999999881</v>
      </c>
      <c r="B179" s="406" t="s">
        <v>1059</v>
      </c>
      <c r="C179" s="414">
        <v>905.89999999999998</v>
      </c>
      <c r="D179" s="414">
        <v>976.26749999999993</v>
      </c>
      <c r="E179" s="414">
        <v>1046.635</v>
      </c>
      <c r="F179" s="414">
        <v>1117.0025000000001</v>
      </c>
      <c r="G179" s="414">
        <v>1187.3699999999999</v>
      </c>
      <c r="I179" s="414"/>
      <c r="J179" s="414"/>
    </row>
    <row r="180" spans="1:10" ht="14.5">
      <c r="A180" s="407">
        <f>A179+0.01</f>
        <v>6.5699999999999878</v>
      </c>
      <c r="B180" s="406" t="s">
        <v>1060</v>
      </c>
      <c r="C180" s="414">
        <v>-66112.919999999998</v>
      </c>
      <c r="D180" s="414">
        <v>-65604.875</v>
      </c>
      <c r="E180" s="414">
        <v>-65096.830000000002</v>
      </c>
      <c r="F180" s="414">
        <v>-64588.785000000003</v>
      </c>
      <c r="G180" s="414">
        <v>-64080.739999999998</v>
      </c>
      <c r="I180" s="414"/>
      <c r="J180" s="414"/>
    </row>
    <row r="181" spans="1:10" ht="14.5">
      <c r="A181" s="407">
        <f t="shared" si="7"/>
        <v>6.5799999999999876</v>
      </c>
      <c r="B181" s="406" t="s">
        <v>1061</v>
      </c>
      <c r="C181" s="414">
        <v>-2418.6300000000001</v>
      </c>
      <c r="D181" s="414">
        <v>-2398.145</v>
      </c>
      <c r="E181" s="414">
        <v>-2377.6599999999999</v>
      </c>
      <c r="F181" s="414">
        <v>-2357.1749999999997</v>
      </c>
      <c r="G181" s="414">
        <v>-2336.6900000000001</v>
      </c>
      <c r="I181" s="414"/>
      <c r="J181" s="414"/>
    </row>
    <row r="182" spans="1:10" ht="14.5">
      <c r="A182" s="407">
        <f t="shared" si="7"/>
        <v>6.5899999999999874</v>
      </c>
      <c r="B182" s="406" t="s">
        <v>1062</v>
      </c>
      <c r="C182" s="414">
        <v>-1486.8699999999999</v>
      </c>
      <c r="D182" s="414">
        <v>-1496.98</v>
      </c>
      <c r="E182" s="414">
        <v>-1507.0900000000001</v>
      </c>
      <c r="F182" s="414">
        <v>-1517.2000000000003</v>
      </c>
      <c r="G182" s="414">
        <v>-1527.3099999999999</v>
      </c>
      <c r="I182" s="414"/>
      <c r="J182" s="414"/>
    </row>
    <row r="183" spans="1:10" ht="14.5">
      <c r="A183" s="407">
        <f>A182+0.01</f>
        <v>6.5999999999999872</v>
      </c>
      <c r="B183" s="406" t="s">
        <v>1064</v>
      </c>
      <c r="C183" s="414">
        <v>-51543292.039999999</v>
      </c>
      <c r="D183" s="414">
        <v>-51258270.615000002</v>
      </c>
      <c r="E183" s="414">
        <v>-50973249.190000005</v>
      </c>
      <c r="F183" s="414">
        <v>-50688227.765000008</v>
      </c>
      <c r="G183" s="414">
        <v>-50403206.340000004</v>
      </c>
      <c r="I183" s="414"/>
      <c r="J183" s="414"/>
    </row>
    <row r="184" spans="1:10" ht="14.5">
      <c r="A184" s="407">
        <f t="shared" si="7"/>
        <v>6.609999999999987</v>
      </c>
      <c r="B184" s="406" t="s">
        <v>1065</v>
      </c>
      <c r="C184" s="414">
        <v>-1885627.8899999999</v>
      </c>
      <c r="D184" s="414">
        <v>-1873705.5474999999</v>
      </c>
      <c r="E184" s="414">
        <v>-1861783.2049999998</v>
      </c>
      <c r="F184" s="414">
        <v>-1849860.8624999998</v>
      </c>
      <c r="G184" s="414">
        <v>-1837938.52</v>
      </c>
      <c r="I184" s="414"/>
      <c r="J184" s="414"/>
    </row>
    <row r="185" spans="1:10" ht="14.5">
      <c r="A185" s="407">
        <f t="shared" si="7"/>
        <v>6.6199999999999868</v>
      </c>
      <c r="B185" s="406" t="s">
        <v>1066</v>
      </c>
      <c r="C185" s="414">
        <v>-1157394.47</v>
      </c>
      <c r="D185" s="414">
        <v>-1168001.8925000001</v>
      </c>
      <c r="E185" s="414">
        <v>-1178609.3149999999</v>
      </c>
      <c r="F185" s="414">
        <v>-1189216.7374999998</v>
      </c>
      <c r="G185" s="414">
        <v>-1199824.1599999999</v>
      </c>
      <c r="I185" s="414"/>
      <c r="J185" s="414"/>
    </row>
    <row r="186" spans="1:10" ht="14.5">
      <c r="A186" s="407">
        <f>A185+0.01</f>
        <v>6.6299999999999866</v>
      </c>
      <c r="B186" s="406" t="s">
        <v>1068</v>
      </c>
      <c r="C186" s="414">
        <v>-24869.360000000001</v>
      </c>
      <c r="D186" s="414">
        <v>-24621.48</v>
      </c>
      <c r="E186" s="414">
        <v>-24373.599999999999</v>
      </c>
      <c r="F186" s="414">
        <v>-24125.719999999998</v>
      </c>
      <c r="G186" s="414">
        <v>-23877.84</v>
      </c>
      <c r="I186" s="414"/>
      <c r="J186" s="414"/>
    </row>
    <row r="187" spans="1:10" ht="14.5">
      <c r="A187" s="407">
        <f t="shared" si="7"/>
        <v>6.6399999999999864</v>
      </c>
      <c r="B187" s="406" t="s">
        <v>1069</v>
      </c>
      <c r="C187" s="414">
        <v>-37481.330000000002</v>
      </c>
      <c r="D187" s="414">
        <v>-37481.330000000002</v>
      </c>
      <c r="E187" s="414">
        <v>-37481.330000000002</v>
      </c>
      <c r="F187" s="414">
        <v>-37481.330000000002</v>
      </c>
      <c r="G187" s="414">
        <v>-37481.330000000002</v>
      </c>
      <c r="I187" s="414"/>
      <c r="J187" s="414"/>
    </row>
    <row r="188" spans="1:10" ht="14.5">
      <c r="A188" s="407">
        <f t="shared" si="7"/>
        <v>6.6499999999999861</v>
      </c>
      <c r="B188" s="406" t="s">
        <v>1070</v>
      </c>
      <c r="C188" s="414">
        <v>37101.019999999997</v>
      </c>
      <c r="D188" s="414">
        <v>37101.019999999997</v>
      </c>
      <c r="E188" s="414">
        <v>37101.019999999997</v>
      </c>
      <c r="F188" s="414">
        <v>37101.019999999997</v>
      </c>
      <c r="G188" s="414">
        <v>37101.019999999997</v>
      </c>
      <c r="I188" s="414"/>
      <c r="J188" s="414"/>
    </row>
    <row r="189" spans="1:10" ht="14.5">
      <c r="A189" s="407">
        <f t="shared" si="7"/>
        <v>6.6599999999999859</v>
      </c>
      <c r="B189" s="406" t="s">
        <v>1071</v>
      </c>
      <c r="C189" s="414">
        <v>-909.79999999999995</v>
      </c>
      <c r="D189" s="414">
        <v>-900.02499999999998</v>
      </c>
      <c r="E189" s="414">
        <v>-890.25</v>
      </c>
      <c r="F189" s="414">
        <v>-880.47500000000002</v>
      </c>
      <c r="G189" s="414">
        <v>-870.70000000000005</v>
      </c>
      <c r="I189" s="414"/>
      <c r="J189" s="414"/>
    </row>
    <row r="190" spans="1:10" ht="14.5">
      <c r="A190" s="407">
        <f t="shared" si="7"/>
        <v>6.6699999999999857</v>
      </c>
      <c r="B190" s="406" t="s">
        <v>1072</v>
      </c>
      <c r="C190" s="414">
        <v>-1371.1900000000001</v>
      </c>
      <c r="D190" s="414">
        <v>-1370.0799999999999</v>
      </c>
      <c r="E190" s="414">
        <v>-1368.9699999999998</v>
      </c>
      <c r="F190" s="414">
        <v>-1367.8599999999997</v>
      </c>
      <c r="G190" s="414">
        <v>-1366.75</v>
      </c>
      <c r="I190" s="414"/>
      <c r="J190" s="414"/>
    </row>
    <row r="191" spans="1:10" ht="14.5">
      <c r="A191" s="407">
        <f t="shared" si="7"/>
        <v>6.6799999999999855</v>
      </c>
      <c r="B191" s="406" t="s">
        <v>1073</v>
      </c>
      <c r="C191" s="414">
        <v>1357.28</v>
      </c>
      <c r="D191" s="414">
        <v>1356.1775</v>
      </c>
      <c r="E191" s="414">
        <v>1355.075</v>
      </c>
      <c r="F191" s="414">
        <v>1353.9725000000001</v>
      </c>
      <c r="G191" s="414">
        <v>1352.8699999999999</v>
      </c>
      <c r="I191" s="414"/>
      <c r="J191" s="414"/>
    </row>
    <row r="192" spans="1:10" ht="14.5">
      <c r="A192" s="407">
        <f t="shared" si="7"/>
        <v>6.6899999999999853</v>
      </c>
      <c r="B192" s="406" t="s">
        <v>1074</v>
      </c>
      <c r="C192" s="414">
        <v>-559.30999999999995</v>
      </c>
      <c r="D192" s="414">
        <v>-561.75999999999999</v>
      </c>
      <c r="E192" s="414">
        <v>-564.21000000000004</v>
      </c>
      <c r="F192" s="414">
        <v>-566.66000000000008</v>
      </c>
      <c r="G192" s="414">
        <v>-569.11000000000001</v>
      </c>
      <c r="I192" s="414"/>
      <c r="J192" s="414"/>
    </row>
    <row r="193" spans="1:10" ht="14.5">
      <c r="A193" s="407">
        <f t="shared" si="7"/>
        <v>6.6999999999999851</v>
      </c>
      <c r="B193" s="406" t="s">
        <v>1075</v>
      </c>
      <c r="C193" s="414">
        <v>-842.95000000000005</v>
      </c>
      <c r="D193" s="414">
        <v>-855.54500000000007</v>
      </c>
      <c r="E193" s="414">
        <v>-868.1400000000001</v>
      </c>
      <c r="F193" s="414">
        <v>-880.73500000000013</v>
      </c>
      <c r="G193" s="414">
        <v>-893.33000000000004</v>
      </c>
      <c r="I193" s="414"/>
      <c r="J193" s="414"/>
    </row>
    <row r="194" spans="1:10" ht="14.5">
      <c r="A194" s="407">
        <f t="shared" si="7"/>
        <v>6.7099999999999849</v>
      </c>
      <c r="B194" s="406" t="s">
        <v>1076</v>
      </c>
      <c r="C194" s="414">
        <v>834.39999999999998</v>
      </c>
      <c r="D194" s="414">
        <v>846.86749999999995</v>
      </c>
      <c r="E194" s="414">
        <v>859.33499999999992</v>
      </c>
      <c r="F194" s="414">
        <v>871.8024999999999</v>
      </c>
      <c r="G194" s="414">
        <v>884.26999999999998</v>
      </c>
      <c r="I194" s="414"/>
      <c r="J194" s="414"/>
    </row>
    <row r="195" spans="1:10" ht="14.5">
      <c r="A195" s="407">
        <f>A194+0.01</f>
        <v>6.7199999999999847</v>
      </c>
      <c r="B195" s="406" t="s">
        <v>1080</v>
      </c>
      <c r="C195" s="414">
        <v>2551992.25</v>
      </c>
      <c r="D195" s="414">
        <v>2375216.9750000001</v>
      </c>
      <c r="E195" s="414">
        <v>2198441.7000000002</v>
      </c>
      <c r="F195" s="414">
        <v>2021666.4250000003</v>
      </c>
      <c r="G195" s="414">
        <v>1844891.1499999999</v>
      </c>
      <c r="I195" s="414"/>
      <c r="J195" s="414"/>
    </row>
    <row r="196" spans="1:10" ht="14.5">
      <c r="A196" s="407">
        <f t="shared" si="7"/>
        <v>6.7299999999999844</v>
      </c>
      <c r="B196" s="406" t="s">
        <v>1081</v>
      </c>
      <c r="C196" s="414">
        <v>93360.5</v>
      </c>
      <c r="D196" s="414">
        <v>86838.732499999998</v>
      </c>
      <c r="E196" s="414">
        <v>80316.964999999997</v>
      </c>
      <c r="F196" s="414">
        <v>73795.197499999995</v>
      </c>
      <c r="G196" s="414">
        <v>67273.429999999993</v>
      </c>
      <c r="I196" s="414"/>
      <c r="J196" s="414"/>
    </row>
    <row r="197" spans="1:10" ht="14.5">
      <c r="A197" s="407">
        <f t="shared" si="7"/>
        <v>6.7399999999999842</v>
      </c>
      <c r="B197" s="406" t="s">
        <v>1082</v>
      </c>
      <c r="C197" s="414">
        <v>72148.600000000006</v>
      </c>
      <c r="D197" s="414">
        <v>69335.202499999999</v>
      </c>
      <c r="E197" s="414">
        <v>66521.804999999993</v>
      </c>
      <c r="F197" s="414">
        <v>63708.407499999994</v>
      </c>
      <c r="G197" s="414">
        <v>60895.010000000002</v>
      </c>
      <c r="I197" s="414"/>
      <c r="J197" s="414"/>
    </row>
    <row r="198" spans="1:10" ht="14.5">
      <c r="A198" s="407">
        <f>A197+0.01</f>
        <v>6.749999999999984</v>
      </c>
      <c r="B198" s="406" t="s">
        <v>1084</v>
      </c>
      <c r="C198" s="414">
        <v>802211.35999999999</v>
      </c>
      <c r="D198" s="414">
        <v>890694.69499999995</v>
      </c>
      <c r="E198" s="414">
        <v>979178.02999999991</v>
      </c>
      <c r="F198" s="414">
        <v>1067661.365</v>
      </c>
      <c r="G198" s="414">
        <v>1156144.7</v>
      </c>
      <c r="I198" s="414"/>
      <c r="J198" s="414"/>
    </row>
    <row r="199" spans="1:10" ht="14.5">
      <c r="A199" s="407">
        <f t="shared" si="7"/>
        <v>6.7599999999999838</v>
      </c>
      <c r="B199" s="406" t="s">
        <v>1085</v>
      </c>
      <c r="C199" s="414">
        <v>29347.599999999999</v>
      </c>
      <c r="D199" s="414">
        <v>32550.32</v>
      </c>
      <c r="E199" s="414">
        <v>35753.040000000001</v>
      </c>
      <c r="F199" s="414">
        <v>38955.760000000002</v>
      </c>
      <c r="G199" s="414">
        <v>42158.480000000003</v>
      </c>
      <c r="I199" s="414"/>
      <c r="J199" s="414"/>
    </row>
    <row r="200" spans="1:10" ht="14.5">
      <c r="A200" s="407">
        <f t="shared" si="7"/>
        <v>6.7699999999999836</v>
      </c>
      <c r="B200" s="406" t="s">
        <v>1086</v>
      </c>
      <c r="C200" s="414">
        <v>17992.84</v>
      </c>
      <c r="D200" s="414">
        <v>20374.209999999999</v>
      </c>
      <c r="E200" s="414">
        <v>22755.579999999998</v>
      </c>
      <c r="F200" s="414">
        <v>25136.949999999997</v>
      </c>
      <c r="G200" s="414">
        <v>27518.32</v>
      </c>
      <c r="I200" s="414"/>
      <c r="J200" s="414"/>
    </row>
    <row r="201" spans="1:10" ht="14.5">
      <c r="A201" s="407">
        <f t="shared" si="7"/>
        <v>6.7799999999999834</v>
      </c>
      <c r="B201" s="406" t="s">
        <v>1088</v>
      </c>
      <c r="C201" s="414">
        <v>-1140.5999999999999</v>
      </c>
      <c r="D201" s="414">
        <v>-1155.9375</v>
      </c>
      <c r="E201" s="414">
        <v>-1171.2750000000001</v>
      </c>
      <c r="F201" s="414">
        <v>-1186.6125000000002</v>
      </c>
      <c r="G201" s="414">
        <v>-1201.95</v>
      </c>
      <c r="I201" s="414"/>
      <c r="J201" s="414"/>
    </row>
    <row r="202" spans="1:10" ht="14.5">
      <c r="A202" s="407">
        <f t="shared" si="7"/>
        <v>6.7899999999999832</v>
      </c>
      <c r="B202" s="406" t="s">
        <v>1089</v>
      </c>
      <c r="C202" s="414">
        <v>-3085.21</v>
      </c>
      <c r="D202" s="414">
        <v>-2864.7674999999999</v>
      </c>
      <c r="E202" s="414">
        <v>-2644.3249999999998</v>
      </c>
      <c r="F202" s="414">
        <v>-2423.8824999999997</v>
      </c>
      <c r="G202" s="414">
        <v>-2203.4400000000001</v>
      </c>
      <c r="I202" s="414"/>
      <c r="J202" s="414"/>
    </row>
    <row r="203" spans="1:10" ht="14.5">
      <c r="A203" s="407">
        <f t="shared" si="7"/>
        <v>6.7999999999999829</v>
      </c>
      <c r="B203" s="406" t="s">
        <v>1090</v>
      </c>
      <c r="C203" s="414">
        <v>-112.87</v>
      </c>
      <c r="D203" s="414">
        <v>-104.74000000000001</v>
      </c>
      <c r="E203" s="414">
        <v>-96.610000000000014</v>
      </c>
      <c r="F203" s="414">
        <v>-88.480000000000018</v>
      </c>
      <c r="G203" s="414">
        <v>-80.349999999999994</v>
      </c>
      <c r="I203" s="414"/>
      <c r="J203" s="414"/>
    </row>
    <row r="204" spans="1:10" ht="14.5">
      <c r="A204" s="407">
        <f t="shared" si="7"/>
        <v>6.8099999999999827</v>
      </c>
      <c r="B204" s="406" t="s">
        <v>1091</v>
      </c>
      <c r="C204" s="414">
        <v>-69.390000000000001</v>
      </c>
      <c r="D204" s="414">
        <v>-65.172499999999999</v>
      </c>
      <c r="E204" s="414">
        <v>-60.954999999999998</v>
      </c>
      <c r="F204" s="414">
        <v>-56.737499999999997</v>
      </c>
      <c r="G204" s="414">
        <v>-52.520000000000003</v>
      </c>
      <c r="I204" s="414"/>
      <c r="J204" s="414"/>
    </row>
    <row r="205" spans="1:10" ht="14.5">
      <c r="A205" s="407">
        <f t="shared" si="7"/>
        <v>6.8199999999999825</v>
      </c>
      <c r="B205" s="406" t="s">
        <v>1092</v>
      </c>
      <c r="C205" s="414">
        <v>95907335.390000001</v>
      </c>
      <c r="D205" s="414">
        <v>100110794.94750001</v>
      </c>
      <c r="E205" s="414">
        <v>104314254.50500001</v>
      </c>
      <c r="F205" s="414">
        <v>108517714.06250001</v>
      </c>
      <c r="G205" s="414">
        <v>112721173.62</v>
      </c>
      <c r="I205" s="414"/>
      <c r="J205" s="414"/>
    </row>
    <row r="206" spans="1:10" ht="14.5">
      <c r="A206" s="407">
        <f t="shared" si="7"/>
        <v>6.8299999999999823</v>
      </c>
      <c r="B206" s="406" t="s">
        <v>1093</v>
      </c>
      <c r="C206" s="414">
        <v>103897916.34999999</v>
      </c>
      <c r="D206" s="414">
        <v>109326219.7375</v>
      </c>
      <c r="E206" s="414">
        <v>114754523.125</v>
      </c>
      <c r="F206" s="414">
        <v>120182826.5125</v>
      </c>
      <c r="G206" s="414">
        <v>125611129.90000001</v>
      </c>
      <c r="I206" s="414"/>
      <c r="J206" s="414"/>
    </row>
    <row r="207" spans="1:10" ht="14.5">
      <c r="A207" s="407">
        <f t="shared" si="7"/>
        <v>6.8399999999999821</v>
      </c>
      <c r="B207" s="406" t="s">
        <v>1094</v>
      </c>
      <c r="C207" s="414">
        <v>-103562558.29000001</v>
      </c>
      <c r="D207" s="414">
        <v>-108828667.63000001</v>
      </c>
      <c r="E207" s="414">
        <v>-114094776.97000001</v>
      </c>
      <c r="F207" s="414">
        <v>-119360886.31000002</v>
      </c>
      <c r="G207" s="414">
        <v>-124626995.65000001</v>
      </c>
      <c r="I207" s="414"/>
      <c r="J207" s="414"/>
    </row>
    <row r="208" spans="1:10" ht="14.5">
      <c r="A208" s="407">
        <f t="shared" si="7"/>
        <v>6.8499999999999819</v>
      </c>
      <c r="B208" s="406" t="s">
        <v>1095</v>
      </c>
      <c r="C208" s="414">
        <v>3508614.5899999999</v>
      </c>
      <c r="D208" s="414">
        <v>3659047.29</v>
      </c>
      <c r="E208" s="414">
        <v>3809479.9900000002</v>
      </c>
      <c r="F208" s="414">
        <v>3959912.6900000004</v>
      </c>
      <c r="G208" s="414">
        <v>4110345.3900000001</v>
      </c>
      <c r="I208" s="414"/>
      <c r="J208" s="414"/>
    </row>
    <row r="209" spans="1:10" ht="14.5">
      <c r="A209" s="407">
        <f t="shared" si="7"/>
        <v>6.8599999999999817</v>
      </c>
      <c r="B209" s="406" t="s">
        <v>1096</v>
      </c>
      <c r="C209" s="414">
        <v>3800937.0600000001</v>
      </c>
      <c r="D209" s="414">
        <v>3995796.2850000001</v>
      </c>
      <c r="E209" s="414">
        <v>4190655.5100000002</v>
      </c>
      <c r="F209" s="414">
        <v>4385514.7350000003</v>
      </c>
      <c r="G209" s="414">
        <v>4580373.96</v>
      </c>
      <c r="I209" s="414"/>
      <c r="J209" s="414"/>
    </row>
    <row r="210" spans="1:10" ht="14.5">
      <c r="A210" s="407">
        <f t="shared" si="7"/>
        <v>6.8699999999999815</v>
      </c>
      <c r="B210" s="406" t="s">
        <v>1097</v>
      </c>
      <c r="C210" s="414">
        <v>-3788668.52</v>
      </c>
      <c r="D210" s="414">
        <v>-3977623.3374999999</v>
      </c>
      <c r="E210" s="414">
        <v>-4166578.1549999998</v>
      </c>
      <c r="F210" s="414">
        <v>-4355532.9725000001</v>
      </c>
      <c r="G210" s="414">
        <v>-4544487.79</v>
      </c>
      <c r="I210" s="414"/>
      <c r="J210" s="414"/>
    </row>
    <row r="211" spans="1:10" ht="14.5">
      <c r="A211" s="407">
        <f t="shared" si="7"/>
        <v>6.8799999999999812</v>
      </c>
      <c r="B211" s="406" t="s">
        <v>1098</v>
      </c>
      <c r="C211" s="414">
        <v>2156955.9700000002</v>
      </c>
      <c r="D211" s="414">
        <v>2289370.1175000002</v>
      </c>
      <c r="E211" s="414">
        <v>2421784.2650000001</v>
      </c>
      <c r="F211" s="414">
        <v>2554198.4125000001</v>
      </c>
      <c r="G211" s="414">
        <v>2686612.5600000001</v>
      </c>
      <c r="I211" s="414"/>
      <c r="J211" s="414"/>
    </row>
    <row r="212" spans="1:10" ht="14.5">
      <c r="A212" s="407">
        <f t="shared" si="7"/>
        <v>6.889999999999981</v>
      </c>
      <c r="B212" s="406" t="s">
        <v>1099</v>
      </c>
      <c r="C212" s="414">
        <v>2336664.1400000001</v>
      </c>
      <c r="D212" s="414">
        <v>2500956.5075000003</v>
      </c>
      <c r="E212" s="414">
        <v>2665248.875</v>
      </c>
      <c r="F212" s="414">
        <v>2829541.2424999997</v>
      </c>
      <c r="G212" s="414">
        <v>2993833.6099999999</v>
      </c>
      <c r="I212" s="414"/>
      <c r="J212" s="414"/>
    </row>
    <row r="213" spans="1:10" ht="14.5">
      <c r="A213" s="407">
        <f t="shared" si="7"/>
        <v>6.8999999999999808</v>
      </c>
      <c r="B213" s="406" t="s">
        <v>1100</v>
      </c>
      <c r="C213" s="414">
        <v>-2329121.9399999999</v>
      </c>
      <c r="D213" s="414">
        <v>-2489435.8599999999</v>
      </c>
      <c r="E213" s="414">
        <v>-2649749.7799999998</v>
      </c>
      <c r="F213" s="414">
        <v>-2810063.6999999997</v>
      </c>
      <c r="G213" s="414">
        <v>-2970377.6200000001</v>
      </c>
      <c r="I213" s="414"/>
      <c r="J213" s="414"/>
    </row>
    <row r="214" spans="1:10" ht="14.5">
      <c r="A214" s="408"/>
      <c r="B214" s="406"/>
      <c r="C214" s="415"/>
      <c r="D214" s="415"/>
      <c r="E214" s="415"/>
      <c r="F214" s="415"/>
      <c r="G214" s="415"/>
      <c r="I214" s="415"/>
      <c r="J214" s="415"/>
    </row>
    <row r="215" spans="1:10" ht="14.5">
      <c r="A215" s="405">
        <v>7</v>
      </c>
      <c r="B215" s="406" t="s">
        <v>1134</v>
      </c>
      <c r="C215" s="409">
        <f>SUM(C124:C214)</f>
        <v>712139774.08000016</v>
      </c>
      <c r="D215" s="409">
        <f>SUM(D124:D214)</f>
        <v>722468169.75499964</v>
      </c>
      <c r="E215" s="409">
        <f>SUM(E124:E214)</f>
        <v>732796565.42999959</v>
      </c>
      <c r="F215" s="409">
        <f>SUM(F124:F214)</f>
        <v>743124961.10500038</v>
      </c>
      <c r="G215" s="409">
        <f>SUM(G124:G214)</f>
        <v>753453356.77999997</v>
      </c>
      <c r="I215" s="409">
        <f>SUM(I124:I214)</f>
        <v>0</v>
      </c>
      <c r="J215" s="409">
        <f>SUM(J124:J214)</f>
        <v>0</v>
      </c>
    </row>
    <row r="216" spans="9:10" ht="14.5">
      <c r="I216" s="409"/>
      <c r="J216" s="409"/>
    </row>
    <row r="217" spans="1:10" ht="14.5">
      <c r="A217" s="405">
        <v>8</v>
      </c>
      <c r="B217" s="403" t="s">
        <v>783</v>
      </c>
      <c r="I217" s="409"/>
      <c r="J217" s="409"/>
    </row>
    <row r="218" spans="2:10" ht="14.5">
      <c r="B218" s="403"/>
      <c r="I218" s="409"/>
      <c r="J218" s="409"/>
    </row>
    <row r="219" spans="1:10" ht="14.5">
      <c r="A219" s="416">
        <v>8.0099999999999998</v>
      </c>
      <c r="B219" s="402" t="s">
        <v>539</v>
      </c>
      <c r="C219" s="414">
        <v>968.62</v>
      </c>
      <c r="D219" s="414">
        <v>928.76499999999999</v>
      </c>
      <c r="E219" s="414">
        <v>888.90999999999997</v>
      </c>
      <c r="F219" s="414">
        <v>849.05499999999995</v>
      </c>
      <c r="G219" s="414">
        <v>809.19999999999993</v>
      </c>
      <c r="I219" s="414"/>
      <c r="J219" s="414"/>
    </row>
    <row r="220" spans="1:10" ht="14.5">
      <c r="A220" s="416">
        <v>8.0199999999999996</v>
      </c>
      <c r="B220" s="402" t="s">
        <v>779</v>
      </c>
      <c r="C220" s="414"/>
      <c r="D220" s="414"/>
      <c r="E220" s="414"/>
      <c r="F220" s="414"/>
      <c r="G220" s="414"/>
      <c r="I220" s="414"/>
      <c r="J220" s="414"/>
    </row>
    <row r="221" spans="1:10" ht="14.5">
      <c r="A221" s="416">
        <v>8.0299999999999994</v>
      </c>
      <c r="B221" s="402" t="s">
        <v>784</v>
      </c>
      <c r="C221" s="414"/>
      <c r="D221" s="414"/>
      <c r="E221" s="414"/>
      <c r="F221" s="414"/>
      <c r="G221" s="414"/>
      <c r="I221" s="414"/>
      <c r="J221" s="414"/>
    </row>
    <row r="222" spans="1:10" ht="14.5">
      <c r="A222" s="416">
        <v>8.0399999999999991</v>
      </c>
      <c r="B222" s="402" t="s">
        <v>544</v>
      </c>
      <c r="C222" s="414"/>
      <c r="D222" s="414"/>
      <c r="E222" s="414"/>
      <c r="F222" s="414"/>
      <c r="G222" s="414"/>
      <c r="I222" s="414"/>
      <c r="J222" s="414"/>
    </row>
    <row r="223" spans="1:10" ht="14.5">
      <c r="A223" s="416">
        <v>8.0500000000000007</v>
      </c>
      <c r="B223" s="402" t="s">
        <v>780</v>
      </c>
      <c r="C223" s="414"/>
      <c r="D223" s="414"/>
      <c r="E223" s="414"/>
      <c r="F223" s="414"/>
      <c r="G223" s="414"/>
      <c r="I223" s="414"/>
      <c r="J223" s="414"/>
    </row>
    <row r="224" spans="1:10" ht="14.5">
      <c r="A224" s="416">
        <v>8.0600000000000005</v>
      </c>
      <c r="B224" s="402" t="s">
        <v>545</v>
      </c>
      <c r="C224" s="414">
        <v>-270261820.63999999</v>
      </c>
      <c r="D224" s="414">
        <v>-268992037.27999991</v>
      </c>
      <c r="E224" s="414">
        <v>-267722253.91999987</v>
      </c>
      <c r="F224" s="414">
        <v>-266452470.55999982</v>
      </c>
      <c r="G224" s="414">
        <v>-265182687.19999978</v>
      </c>
      <c r="I224" s="414"/>
      <c r="J224" s="414"/>
    </row>
    <row r="225" spans="1:10" ht="14.5">
      <c r="A225" s="416">
        <v>8.0700000000000003</v>
      </c>
      <c r="B225" s="402" t="s">
        <v>785</v>
      </c>
      <c r="C225" s="414"/>
      <c r="D225" s="414"/>
      <c r="E225" s="414"/>
      <c r="F225" s="414"/>
      <c r="G225" s="414"/>
      <c r="I225" s="414"/>
      <c r="J225" s="414"/>
    </row>
    <row r="226" spans="1:10" ht="14.5">
      <c r="A226" s="416">
        <v>8.0800000000000001</v>
      </c>
      <c r="B226" s="402" t="s">
        <v>549</v>
      </c>
      <c r="C226" s="414">
        <v>379.42999999999995</v>
      </c>
      <c r="D226" s="414">
        <v>376.5675</v>
      </c>
      <c r="E226" s="414">
        <v>373.70500000000004</v>
      </c>
      <c r="F226" s="414">
        <v>370.84250000000009</v>
      </c>
      <c r="G226" s="414">
        <v>367.98000000000002</v>
      </c>
      <c r="I226" s="414"/>
      <c r="J226" s="414"/>
    </row>
    <row r="227" spans="1:10" ht="14.5">
      <c r="A227" s="408"/>
      <c r="B227" s="406"/>
      <c r="C227" s="415"/>
      <c r="D227" s="415"/>
      <c r="E227" s="415"/>
      <c r="F227" s="415"/>
      <c r="G227" s="415"/>
      <c r="I227" s="415"/>
      <c r="J227" s="415"/>
    </row>
    <row r="228" spans="1:10" ht="14.5">
      <c r="A228" s="405">
        <v>9</v>
      </c>
      <c r="B228" s="406" t="s">
        <v>960</v>
      </c>
      <c r="C228" s="409">
        <f>SUM(C219:C227)</f>
        <v>-270260472.58999997</v>
      </c>
      <c r="D228" s="409">
        <f t="shared" si="8" ref="D228:G228">SUM(D219:D227)</f>
        <v>-268990731.94749993</v>
      </c>
      <c r="E228" s="409">
        <f t="shared" si="8"/>
        <v>-267720991.30499986</v>
      </c>
      <c r="F228" s="409">
        <f t="shared" si="8"/>
        <v>-266451250.66249982</v>
      </c>
      <c r="G228" s="409">
        <f t="shared" si="8"/>
        <v>-265181510.0199998</v>
      </c>
      <c r="I228" s="409">
        <f>SUM(I219:I227)</f>
        <v>0</v>
      </c>
      <c r="J228" s="409">
        <f>SUM(J219:J227)</f>
        <v>0</v>
      </c>
    </row>
    <row r="229" spans="3:10" ht="14.5">
      <c r="C229" s="418"/>
      <c r="D229" s="418"/>
      <c r="E229" s="418"/>
      <c r="F229" s="418"/>
      <c r="G229" s="418"/>
      <c r="I229" s="418"/>
      <c r="J229" s="418"/>
    </row>
    <row r="230" spans="1:10" ht="14.5">
      <c r="A230" s="405">
        <v>10</v>
      </c>
      <c r="B230" s="403" t="s">
        <v>790</v>
      </c>
      <c r="C230" s="409">
        <f>C215-C228</f>
        <v>982400246.67000008</v>
      </c>
      <c r="D230" s="409">
        <f t="shared" si="9" ref="D230:G230">D215-D228</f>
        <v>991458901.70249963</v>
      </c>
      <c r="E230" s="409">
        <f t="shared" si="9"/>
        <v>1000517556.7349994</v>
      </c>
      <c r="F230" s="409">
        <f t="shared" si="9"/>
        <v>1009576211.7675002</v>
      </c>
      <c r="G230" s="409">
        <f t="shared" si="9"/>
        <v>1018634866.7999997</v>
      </c>
      <c r="I230" s="409">
        <f>I215-I228</f>
        <v>0</v>
      </c>
      <c r="J230" s="409">
        <f t="shared" si="10" ref="J230">J215-J228</f>
        <v>0</v>
      </c>
    </row>
    <row r="231" spans="9:10" ht="14.5">
      <c r="I231" s="409"/>
      <c r="J231" s="409"/>
    </row>
    <row r="232" spans="1:10" ht="14.5">
      <c r="A232" s="405">
        <v>11</v>
      </c>
      <c r="B232" s="403" t="s">
        <v>786</v>
      </c>
      <c r="I232" s="409"/>
      <c r="J232" s="409"/>
    </row>
    <row r="233" spans="2:10" ht="14.5">
      <c r="B233" s="403"/>
      <c r="I233" s="409"/>
      <c r="J233" s="409"/>
    </row>
    <row r="234" spans="1:10" ht="14.5">
      <c r="A234" s="407">
        <v>11.01</v>
      </c>
      <c r="B234" s="406" t="s">
        <v>995</v>
      </c>
      <c r="C234" s="414">
        <v>896.5</v>
      </c>
      <c r="D234" s="414">
        <v>814</v>
      </c>
      <c r="E234" s="414">
        <v>731.5</v>
      </c>
      <c r="F234" s="414">
        <v>649</v>
      </c>
      <c r="G234" s="414">
        <v>566.5</v>
      </c>
      <c r="I234" s="414"/>
      <c r="J234" s="414"/>
    </row>
    <row r="235" spans="1:10" ht="14.5">
      <c r="A235" s="407">
        <f>A234+0.01</f>
        <v>11.02</v>
      </c>
      <c r="B235" s="406" t="s">
        <v>996</v>
      </c>
      <c r="C235" s="414">
        <v>0</v>
      </c>
      <c r="D235" s="414">
        <v>26.25</v>
      </c>
      <c r="E235" s="414">
        <v>52.5</v>
      </c>
      <c r="F235" s="414">
        <v>78.75</v>
      </c>
      <c r="G235" s="414">
        <v>105</v>
      </c>
      <c r="I235" s="414"/>
      <c r="J235" s="414"/>
    </row>
    <row r="236" spans="1:10" ht="14.5">
      <c r="A236" s="407">
        <f t="shared" si="11" ref="A236:A295">A235+0.01</f>
        <v>11.029999999999999</v>
      </c>
      <c r="B236" s="406" t="s">
        <v>1000</v>
      </c>
      <c r="C236" s="414">
        <v>33316</v>
      </c>
      <c r="D236" s="414">
        <v>42421.75</v>
      </c>
      <c r="E236" s="414">
        <v>51527.5</v>
      </c>
      <c r="F236" s="414">
        <v>60633.25</v>
      </c>
      <c r="G236" s="414">
        <v>69739</v>
      </c>
      <c r="I236" s="414"/>
      <c r="J236" s="414"/>
    </row>
    <row r="237" spans="1:10" ht="14.5">
      <c r="A237" s="407">
        <f t="shared" si="11"/>
        <v>11.039999999999999</v>
      </c>
      <c r="B237" s="406" t="s">
        <v>1004</v>
      </c>
      <c r="C237" s="414">
        <v>-0.21999999997206032</v>
      </c>
      <c r="D237" s="414">
        <v>4220.2800000000279</v>
      </c>
      <c r="E237" s="414">
        <v>8440.7800000000279</v>
      </c>
      <c r="F237" s="414">
        <v>12661.280000000028</v>
      </c>
      <c r="G237" s="414">
        <v>16881.780000000028</v>
      </c>
      <c r="I237" s="414"/>
      <c r="J237" s="414"/>
    </row>
    <row r="238" spans="1:10" ht="14.5">
      <c r="A238" s="407">
        <f t="shared" si="11"/>
        <v>11.049999999999999</v>
      </c>
      <c r="B238" s="406" t="s">
        <v>1008</v>
      </c>
      <c r="C238" s="414">
        <v>1690600</v>
      </c>
      <c r="D238" s="414">
        <v>1691229.5</v>
      </c>
      <c r="E238" s="414">
        <v>1691859</v>
      </c>
      <c r="F238" s="414">
        <v>1692488.5</v>
      </c>
      <c r="G238" s="414">
        <v>1693118</v>
      </c>
      <c r="I238" s="414"/>
      <c r="J238" s="414"/>
    </row>
    <row r="239" spans="1:14" ht="14.5">
      <c r="A239" s="407">
        <f t="shared" si="11"/>
        <v>11.059999999999999</v>
      </c>
      <c r="B239" s="406" t="s">
        <v>1011</v>
      </c>
      <c r="C239" s="414">
        <v>30421</v>
      </c>
      <c r="D239" s="414">
        <v>30531.25</v>
      </c>
      <c r="E239" s="414">
        <v>30641.5</v>
      </c>
      <c r="F239" s="414">
        <v>30751.75</v>
      </c>
      <c r="G239" s="414">
        <v>30862</v>
      </c>
      <c r="I239" s="414"/>
      <c r="J239" s="414"/>
      <c r="K239" s="403"/>
      <c r="L239" s="403"/>
      <c r="M239" s="403"/>
      <c r="N239" s="403"/>
    </row>
    <row r="240" spans="1:10" ht="14.5">
      <c r="A240" s="407">
        <f t="shared" si="11"/>
        <v>11.069999999999999</v>
      </c>
      <c r="B240" s="406" t="s">
        <v>1012</v>
      </c>
      <c r="C240" s="414">
        <v>1494</v>
      </c>
      <c r="D240" s="414">
        <v>2013.5</v>
      </c>
      <c r="E240" s="414">
        <v>2533</v>
      </c>
      <c r="F240" s="414">
        <v>3052.5</v>
      </c>
      <c r="G240" s="414">
        <v>3572</v>
      </c>
      <c r="I240" s="414"/>
      <c r="J240" s="414"/>
    </row>
    <row r="241" spans="1:10" ht="14.5">
      <c r="A241" s="407">
        <f t="shared" si="11"/>
        <v>11.079999999999998</v>
      </c>
      <c r="B241" s="406" t="s">
        <v>1013</v>
      </c>
      <c r="C241" s="414">
        <v>0.47000000000116415</v>
      </c>
      <c r="D241" s="414">
        <v>964.72000000000116</v>
      </c>
      <c r="E241" s="414">
        <v>1928.9700000000012</v>
      </c>
      <c r="F241" s="414">
        <v>2893.2200000000012</v>
      </c>
      <c r="G241" s="414">
        <v>3857.4700000000012</v>
      </c>
      <c r="I241" s="414"/>
      <c r="J241" s="414"/>
    </row>
    <row r="242" spans="1:10" ht="14.5">
      <c r="A242" s="407">
        <f t="shared" si="11"/>
        <v>11.089999999999998</v>
      </c>
      <c r="B242" s="406" t="s">
        <v>1017</v>
      </c>
      <c r="C242" s="414">
        <v>139</v>
      </c>
      <c r="D242" s="414">
        <v>139</v>
      </c>
      <c r="E242" s="414">
        <v>139</v>
      </c>
      <c r="F242" s="414">
        <v>139</v>
      </c>
      <c r="G242" s="414">
        <v>139</v>
      </c>
      <c r="I242" s="414"/>
      <c r="J242" s="414"/>
    </row>
    <row r="243" spans="1:10" ht="14.5">
      <c r="A243" s="407">
        <f t="shared" si="11"/>
        <v>11.099999999999998</v>
      </c>
      <c r="B243" s="406" t="s">
        <v>1018</v>
      </c>
      <c r="C243" s="414">
        <v>6023514</v>
      </c>
      <c r="D243" s="414">
        <v>6158605.25</v>
      </c>
      <c r="E243" s="414">
        <v>6293696.5</v>
      </c>
      <c r="F243" s="414">
        <v>6428787.75</v>
      </c>
      <c r="G243" s="414">
        <v>6563879</v>
      </c>
      <c r="I243" s="414"/>
      <c r="J243" s="414"/>
    </row>
    <row r="244" spans="1:10" ht="14.5">
      <c r="A244" s="407">
        <f t="shared" si="11"/>
        <v>11.109999999999998</v>
      </c>
      <c r="B244" s="406" t="s">
        <v>1019</v>
      </c>
      <c r="C244" s="414">
        <v>8477330</v>
      </c>
      <c r="D244" s="414">
        <v>8659700.25</v>
      </c>
      <c r="E244" s="414">
        <v>8842070.5</v>
      </c>
      <c r="F244" s="414">
        <v>9024440.75</v>
      </c>
      <c r="G244" s="414">
        <v>9206811</v>
      </c>
      <c r="I244" s="414"/>
      <c r="J244" s="414"/>
    </row>
    <row r="245" spans="1:10" ht="14.5">
      <c r="A245" s="407">
        <f t="shared" si="11"/>
        <v>11.119999999999997</v>
      </c>
      <c r="B245" s="406" t="s">
        <v>1021</v>
      </c>
      <c r="C245" s="414">
        <v>220361</v>
      </c>
      <c r="D245" s="414">
        <v>225108.25</v>
      </c>
      <c r="E245" s="414">
        <v>229855.5</v>
      </c>
      <c r="F245" s="414">
        <v>234602.75</v>
      </c>
      <c r="G245" s="414">
        <v>239350</v>
      </c>
      <c r="I245" s="414"/>
      <c r="J245" s="414"/>
    </row>
    <row r="246" spans="1:10" ht="14.5">
      <c r="A246" s="407">
        <f t="shared" si="11"/>
        <v>11.129999999999997</v>
      </c>
      <c r="B246" s="406" t="s">
        <v>1022</v>
      </c>
      <c r="C246" s="414">
        <v>310130</v>
      </c>
      <c r="D246" s="414">
        <v>316528.5</v>
      </c>
      <c r="E246" s="414">
        <v>322927</v>
      </c>
      <c r="F246" s="414">
        <v>329325.5</v>
      </c>
      <c r="G246" s="414">
        <v>335724</v>
      </c>
      <c r="I246" s="414"/>
      <c r="J246" s="414"/>
    </row>
    <row r="247" spans="1:10" ht="14.5">
      <c r="A247" s="407">
        <f t="shared" si="11"/>
        <v>11.139999999999997</v>
      </c>
      <c r="B247" s="406" t="s">
        <v>1024</v>
      </c>
      <c r="C247" s="414">
        <v>135470</v>
      </c>
      <c r="D247" s="414">
        <v>140713.5</v>
      </c>
      <c r="E247" s="414">
        <v>145957</v>
      </c>
      <c r="F247" s="414">
        <v>151200.5</v>
      </c>
      <c r="G247" s="414">
        <v>156444</v>
      </c>
      <c r="I247" s="414"/>
      <c r="J247" s="414"/>
    </row>
    <row r="248" spans="1:10" ht="14.5">
      <c r="A248" s="407">
        <f t="shared" si="11"/>
        <v>11.149999999999997</v>
      </c>
      <c r="B248" s="406" t="s">
        <v>1025</v>
      </c>
      <c r="C248" s="414">
        <v>190656</v>
      </c>
      <c r="D248" s="414">
        <v>197851</v>
      </c>
      <c r="E248" s="414">
        <v>205046</v>
      </c>
      <c r="F248" s="414">
        <v>212241</v>
      </c>
      <c r="G248" s="414">
        <v>219436</v>
      </c>
      <c r="I248" s="414"/>
      <c r="J248" s="414"/>
    </row>
    <row r="249" spans="1:10" ht="14.5">
      <c r="A249" s="407">
        <f>A248+0.01</f>
        <v>11.159999999999997</v>
      </c>
      <c r="B249" s="406" t="s">
        <v>1123</v>
      </c>
      <c r="C249" s="414">
        <v>6256418</v>
      </c>
      <c r="D249" s="414">
        <v>6292406.25</v>
      </c>
      <c r="E249" s="414">
        <v>6328394.5</v>
      </c>
      <c r="F249" s="414">
        <v>6364382.75</v>
      </c>
      <c r="G249" s="414">
        <v>6400371</v>
      </c>
      <c r="I249" s="414"/>
      <c r="J249" s="414"/>
    </row>
    <row r="250" spans="1:10" ht="14.5">
      <c r="A250" s="407">
        <f t="shared" si="11"/>
        <v>11.169999999999996</v>
      </c>
      <c r="B250" s="406" t="s">
        <v>1124</v>
      </c>
      <c r="C250" s="414">
        <v>229867</v>
      </c>
      <c r="D250" s="414">
        <v>230943.75</v>
      </c>
      <c r="E250" s="414">
        <v>232020.5</v>
      </c>
      <c r="F250" s="414">
        <v>233097.25</v>
      </c>
      <c r="G250" s="414">
        <v>234174</v>
      </c>
      <c r="I250" s="414"/>
      <c r="J250" s="414"/>
    </row>
    <row r="251" spans="1:10" ht="14.5">
      <c r="A251" s="407">
        <f t="shared" si="11"/>
        <v>11.179999999999996</v>
      </c>
      <c r="B251" s="406" t="s">
        <v>1125</v>
      </c>
      <c r="C251" s="414">
        <v>140600</v>
      </c>
      <c r="D251" s="414">
        <v>144723</v>
      </c>
      <c r="E251" s="414">
        <v>148846</v>
      </c>
      <c r="F251" s="414">
        <v>152969</v>
      </c>
      <c r="G251" s="414">
        <v>157092</v>
      </c>
      <c r="I251" s="414"/>
      <c r="J251" s="414"/>
    </row>
    <row r="252" spans="1:10" ht="14.5">
      <c r="A252" s="407">
        <f t="shared" si="11"/>
        <v>11.189999999999996</v>
      </c>
      <c r="B252" s="406" t="s">
        <v>930</v>
      </c>
      <c r="C252" s="414"/>
      <c r="D252" s="414"/>
      <c r="E252" s="414"/>
      <c r="F252" s="414"/>
      <c r="G252" s="414"/>
      <c r="I252" s="414">
        <v>150101</v>
      </c>
      <c r="J252" s="414">
        <v>375369</v>
      </c>
    </row>
    <row r="253" spans="1:10" ht="14.5">
      <c r="A253" s="407">
        <f t="shared" si="11"/>
        <v>11.199999999999996</v>
      </c>
      <c r="B253" s="406" t="s">
        <v>1126</v>
      </c>
      <c r="C253" s="414"/>
      <c r="D253" s="414"/>
      <c r="E253" s="414"/>
      <c r="F253" s="414"/>
      <c r="G253" s="414"/>
      <c r="I253" s="414">
        <v>143</v>
      </c>
      <c r="J253" s="414">
        <v>0</v>
      </c>
    </row>
    <row r="254" spans="1:10" ht="14.5">
      <c r="A254" s="407">
        <f t="shared" si="11"/>
        <v>11.209999999999996</v>
      </c>
      <c r="B254" s="406" t="s">
        <v>932</v>
      </c>
      <c r="C254" s="414"/>
      <c r="D254" s="414"/>
      <c r="E254" s="414"/>
      <c r="F254" s="414"/>
      <c r="G254" s="414"/>
      <c r="I254" s="414">
        <v>222372</v>
      </c>
      <c r="J254" s="414">
        <v>0</v>
      </c>
    </row>
    <row r="255" spans="1:10" ht="14.5">
      <c r="A255" s="407">
        <f t="shared" si="11"/>
        <v>11.219999999999995</v>
      </c>
      <c r="B255" s="406" t="s">
        <v>1137</v>
      </c>
      <c r="C255" s="414"/>
      <c r="D255" s="414"/>
      <c r="E255" s="414"/>
      <c r="F255" s="414"/>
      <c r="G255" s="414"/>
      <c r="I255" s="414">
        <v>8258015</v>
      </c>
      <c r="J255" s="414">
        <v>7844765</v>
      </c>
    </row>
    <row r="256" spans="1:10" ht="14.5">
      <c r="A256" s="407">
        <f>A255+0.01</f>
        <v>11.229999999999995</v>
      </c>
      <c r="B256" s="406" t="s">
        <v>1052</v>
      </c>
      <c r="C256" s="414">
        <v>157</v>
      </c>
      <c r="D256" s="414">
        <v>281</v>
      </c>
      <c r="E256" s="414">
        <v>405</v>
      </c>
      <c r="F256" s="414">
        <v>529</v>
      </c>
      <c r="G256" s="414">
        <v>653</v>
      </c>
      <c r="I256" s="414"/>
      <c r="J256" s="414"/>
    </row>
    <row r="257" spans="1:10" ht="14.5">
      <c r="A257" s="407">
        <f t="shared" si="11"/>
        <v>11.239999999999995</v>
      </c>
      <c r="B257" s="406" t="s">
        <v>1054</v>
      </c>
      <c r="C257" s="414">
        <v>6056</v>
      </c>
      <c r="D257" s="414">
        <v>6025.75</v>
      </c>
      <c r="E257" s="414">
        <v>5995.5</v>
      </c>
      <c r="F257" s="414">
        <v>5965.25</v>
      </c>
      <c r="G257" s="414">
        <v>5935</v>
      </c>
      <c r="I257" s="414"/>
      <c r="J257" s="414"/>
    </row>
    <row r="258" spans="1:10" ht="14.5">
      <c r="A258" s="407">
        <f t="shared" si="11"/>
        <v>11.249999999999995</v>
      </c>
      <c r="B258" s="406" t="s">
        <v>1056</v>
      </c>
      <c r="C258" s="414">
        <v>4</v>
      </c>
      <c r="D258" s="414">
        <v>3</v>
      </c>
      <c r="E258" s="414">
        <v>2</v>
      </c>
      <c r="F258" s="414">
        <v>1</v>
      </c>
      <c r="G258" s="414">
        <v>0</v>
      </c>
      <c r="I258" s="414"/>
      <c r="J258" s="414"/>
    </row>
    <row r="259" spans="1:10" ht="14.5">
      <c r="A259" s="407">
        <f t="shared" si="11"/>
        <v>11.259999999999994</v>
      </c>
      <c r="B259" s="406" t="s">
        <v>1058</v>
      </c>
      <c r="C259" s="414">
        <v>37</v>
      </c>
      <c r="D259" s="414">
        <v>38.5</v>
      </c>
      <c r="E259" s="414">
        <v>40</v>
      </c>
      <c r="F259" s="414">
        <v>41.5</v>
      </c>
      <c r="G259" s="414">
        <v>43</v>
      </c>
      <c r="I259" s="414"/>
      <c r="J259" s="414"/>
    </row>
    <row r="260" spans="1:10" ht="14.5">
      <c r="A260" s="407">
        <f t="shared" si="11"/>
        <v>11.269999999999994</v>
      </c>
      <c r="B260" s="406" t="s">
        <v>1059</v>
      </c>
      <c r="C260" s="414">
        <v>0</v>
      </c>
      <c r="D260" s="414">
        <v>2</v>
      </c>
      <c r="E260" s="414">
        <v>4</v>
      </c>
      <c r="F260" s="414">
        <v>6</v>
      </c>
      <c r="G260" s="414">
        <v>8</v>
      </c>
      <c r="I260" s="414"/>
      <c r="J260" s="414"/>
    </row>
    <row r="261" spans="1:10" ht="14.5">
      <c r="A261" s="407">
        <f t="shared" si="11"/>
        <v>11.279999999999994</v>
      </c>
      <c r="B261" s="406" t="s">
        <v>939</v>
      </c>
      <c r="C261" s="414"/>
      <c r="D261" s="414"/>
      <c r="E261" s="414"/>
      <c r="F261" s="414"/>
      <c r="G261" s="414"/>
      <c r="I261" s="414">
        <v>2103789</v>
      </c>
      <c r="J261" s="414">
        <v>1958485</v>
      </c>
    </row>
    <row r="262" spans="1:10" ht="14.5">
      <c r="A262" s="407">
        <f t="shared" si="11"/>
        <v>11.289999999999994</v>
      </c>
      <c r="B262" s="406" t="s">
        <v>916</v>
      </c>
      <c r="C262" s="414"/>
      <c r="D262" s="414"/>
      <c r="E262" s="414"/>
      <c r="F262" s="414"/>
      <c r="G262" s="414"/>
      <c r="I262" s="414">
        <v>7574821</v>
      </c>
      <c r="J262" s="414">
        <v>6635638</v>
      </c>
    </row>
    <row r="263" spans="1:10" ht="14.5">
      <c r="A263" s="407">
        <f t="shared" si="11"/>
        <v>11.299999999999994</v>
      </c>
      <c r="B263" s="406" t="s">
        <v>1060</v>
      </c>
      <c r="C263" s="414">
        <v>12606</v>
      </c>
      <c r="D263" s="414">
        <v>12513.75</v>
      </c>
      <c r="E263" s="414">
        <v>12421.5</v>
      </c>
      <c r="F263" s="414">
        <v>12329.25</v>
      </c>
      <c r="G263" s="414">
        <v>12237</v>
      </c>
      <c r="I263" s="414"/>
      <c r="J263" s="414"/>
    </row>
    <row r="264" spans="1:10" ht="14.5">
      <c r="A264" s="407">
        <f t="shared" si="11"/>
        <v>11.309999999999993</v>
      </c>
      <c r="B264" s="406" t="s">
        <v>1061</v>
      </c>
      <c r="C264" s="414">
        <v>86</v>
      </c>
      <c r="D264" s="414">
        <v>85.75</v>
      </c>
      <c r="E264" s="414">
        <v>85.5</v>
      </c>
      <c r="F264" s="414">
        <v>85.25</v>
      </c>
      <c r="G264" s="414">
        <v>85</v>
      </c>
      <c r="I264" s="414"/>
      <c r="J264" s="414"/>
    </row>
    <row r="265" spans="1:10" ht="14.5">
      <c r="A265" s="407">
        <f t="shared" si="11"/>
        <v>11.319999999999993</v>
      </c>
      <c r="B265" s="406" t="s">
        <v>1063</v>
      </c>
      <c r="C265" s="414">
        <v>1</v>
      </c>
      <c r="D265" s="414">
        <v>1</v>
      </c>
      <c r="E265" s="414">
        <v>1</v>
      </c>
      <c r="F265" s="414">
        <v>1</v>
      </c>
      <c r="G265" s="414">
        <v>1</v>
      </c>
      <c r="I265" s="414"/>
      <c r="J265" s="414"/>
    </row>
    <row r="266" spans="1:10" ht="14.5">
      <c r="A266" s="407">
        <f t="shared" si="11"/>
        <v>11.329999999999993</v>
      </c>
      <c r="B266" s="406" t="s">
        <v>1064</v>
      </c>
      <c r="C266" s="414">
        <v>6719474</v>
      </c>
      <c r="D266" s="414">
        <v>6697498.25</v>
      </c>
      <c r="E266" s="414">
        <v>6675522.5</v>
      </c>
      <c r="F266" s="414">
        <v>6653546.75</v>
      </c>
      <c r="G266" s="414">
        <v>6631571</v>
      </c>
      <c r="I266" s="414"/>
      <c r="J266" s="414"/>
    </row>
    <row r="267" spans="1:10" ht="14.5">
      <c r="A267" s="407">
        <f t="shared" si="11"/>
        <v>11.339999999999993</v>
      </c>
      <c r="B267" s="406" t="s">
        <v>1066</v>
      </c>
      <c r="C267" s="414">
        <v>11319</v>
      </c>
      <c r="D267" s="414">
        <v>8489.25</v>
      </c>
      <c r="E267" s="414">
        <v>5659.5</v>
      </c>
      <c r="F267" s="414">
        <v>2829.75</v>
      </c>
      <c r="G267" s="414">
        <v>0</v>
      </c>
      <c r="I267" s="414"/>
      <c r="J267" s="414"/>
    </row>
    <row r="268" spans="1:10" ht="14.5">
      <c r="A268" s="407">
        <f t="shared" si="11"/>
        <v>11.349999999999993</v>
      </c>
      <c r="B268" s="406" t="s">
        <v>1067</v>
      </c>
      <c r="C268" s="414">
        <v>258</v>
      </c>
      <c r="D268" s="414">
        <v>257</v>
      </c>
      <c r="E268" s="414">
        <v>256</v>
      </c>
      <c r="F268" s="414">
        <v>255</v>
      </c>
      <c r="G268" s="414">
        <v>254</v>
      </c>
      <c r="I268" s="414"/>
      <c r="J268" s="414"/>
    </row>
    <row r="269" spans="1:10" ht="14.5">
      <c r="A269" s="407">
        <f t="shared" si="11"/>
        <v>11.359999999999992</v>
      </c>
      <c r="B269" s="406" t="s">
        <v>1127</v>
      </c>
      <c r="C269" s="414"/>
      <c r="D269" s="414"/>
      <c r="E269" s="414"/>
      <c r="F269" s="414"/>
      <c r="G269" s="414"/>
      <c r="I269" s="414">
        <v>14773</v>
      </c>
      <c r="J269" s="414">
        <v>0</v>
      </c>
    </row>
    <row r="270" spans="1:10" ht="14.5">
      <c r="A270" s="407">
        <f t="shared" si="11"/>
        <v>11.369999999999992</v>
      </c>
      <c r="B270" s="406" t="s">
        <v>1068</v>
      </c>
      <c r="C270" s="414">
        <v>4742</v>
      </c>
      <c r="D270" s="414">
        <v>4696.5</v>
      </c>
      <c r="E270" s="414">
        <v>4651</v>
      </c>
      <c r="F270" s="414">
        <v>4605.5</v>
      </c>
      <c r="G270" s="414">
        <v>4560</v>
      </c>
      <c r="I270" s="414"/>
      <c r="J270" s="414"/>
    </row>
    <row r="271" spans="1:10" ht="14.5">
      <c r="A271" s="407">
        <f t="shared" si="11"/>
        <v>11.379999999999992</v>
      </c>
      <c r="B271" s="406" t="s">
        <v>1069</v>
      </c>
      <c r="C271" s="414">
        <v>7146</v>
      </c>
      <c r="D271" s="414">
        <v>7149</v>
      </c>
      <c r="E271" s="414">
        <v>7152</v>
      </c>
      <c r="F271" s="414">
        <v>7155</v>
      </c>
      <c r="G271" s="414">
        <v>7158</v>
      </c>
      <c r="I271" s="414"/>
      <c r="J271" s="414"/>
    </row>
    <row r="272" spans="1:10" ht="14.5">
      <c r="A272" s="407">
        <f t="shared" si="11"/>
        <v>11.389999999999992</v>
      </c>
      <c r="B272" s="406" t="s">
        <v>1071</v>
      </c>
      <c r="C272" s="414">
        <v>11</v>
      </c>
      <c r="D272" s="414">
        <v>11.25</v>
      </c>
      <c r="E272" s="414">
        <v>11.5</v>
      </c>
      <c r="F272" s="414">
        <v>11.75</v>
      </c>
      <c r="G272" s="414">
        <v>12</v>
      </c>
      <c r="I272" s="414"/>
      <c r="J272" s="414"/>
    </row>
    <row r="273" spans="1:10" ht="14.5">
      <c r="A273" s="407">
        <f t="shared" si="11"/>
        <v>11.399999999999991</v>
      </c>
      <c r="B273" s="406" t="s">
        <v>1072</v>
      </c>
      <c r="C273" s="414">
        <v>116</v>
      </c>
      <c r="D273" s="414">
        <v>116.5</v>
      </c>
      <c r="E273" s="414">
        <v>117</v>
      </c>
      <c r="F273" s="414">
        <v>117.5</v>
      </c>
      <c r="G273" s="414">
        <v>118</v>
      </c>
      <c r="I273" s="414"/>
      <c r="J273" s="414"/>
    </row>
    <row r="274" spans="1:10" ht="14.5">
      <c r="A274" s="407">
        <f t="shared" si="11"/>
        <v>11.409999999999991</v>
      </c>
      <c r="B274" s="406" t="s">
        <v>1074</v>
      </c>
      <c r="C274" s="414">
        <v>11</v>
      </c>
      <c r="D274" s="414">
        <v>8.5</v>
      </c>
      <c r="E274" s="414">
        <v>6</v>
      </c>
      <c r="F274" s="414">
        <v>3.5</v>
      </c>
      <c r="G274" s="414">
        <v>1</v>
      </c>
      <c r="I274" s="414"/>
      <c r="J274" s="414"/>
    </row>
    <row r="275" spans="1:10" ht="14.5">
      <c r="A275" s="407">
        <f t="shared" si="11"/>
        <v>11.419999999999991</v>
      </c>
      <c r="B275" s="406" t="s">
        <v>1076</v>
      </c>
      <c r="C275" s="414">
        <v>16</v>
      </c>
      <c r="D275" s="414">
        <v>19.5</v>
      </c>
      <c r="E275" s="414">
        <v>23</v>
      </c>
      <c r="F275" s="414">
        <v>26.5</v>
      </c>
      <c r="G275" s="414">
        <v>30</v>
      </c>
      <c r="I275" s="414"/>
      <c r="J275" s="414"/>
    </row>
    <row r="276" spans="1:10" ht="14.5">
      <c r="A276" s="407">
        <f t="shared" si="11"/>
        <v>11.429999999999991</v>
      </c>
      <c r="B276" s="406" t="s">
        <v>1077</v>
      </c>
      <c r="C276" s="414">
        <v>1</v>
      </c>
      <c r="D276" s="414">
        <v>1</v>
      </c>
      <c r="E276" s="414">
        <v>1</v>
      </c>
      <c r="F276" s="414">
        <v>1</v>
      </c>
      <c r="G276" s="414">
        <v>1</v>
      </c>
      <c r="I276" s="414"/>
      <c r="J276" s="414"/>
    </row>
    <row r="277" spans="1:10" ht="14.5">
      <c r="A277" s="407">
        <f t="shared" si="11"/>
        <v>11.439999999999991</v>
      </c>
      <c r="B277" s="406" t="s">
        <v>1078</v>
      </c>
      <c r="C277" s="414">
        <v>1</v>
      </c>
      <c r="D277" s="414">
        <v>1</v>
      </c>
      <c r="E277" s="414">
        <v>1</v>
      </c>
      <c r="F277" s="414">
        <v>1</v>
      </c>
      <c r="G277" s="414">
        <v>1</v>
      </c>
      <c r="I277" s="414"/>
      <c r="J277" s="414"/>
    </row>
    <row r="278" spans="1:10" ht="14.5">
      <c r="A278" s="407">
        <f>A277+0.01</f>
        <v>11.44999999999999</v>
      </c>
      <c r="B278" s="406" t="s">
        <v>929</v>
      </c>
      <c r="C278" s="414"/>
      <c r="D278" s="414"/>
      <c r="E278" s="414"/>
      <c r="F278" s="414"/>
      <c r="G278" s="414"/>
      <c r="I278" s="414">
        <v>1662849</v>
      </c>
      <c r="J278" s="414">
        <v>1456676</v>
      </c>
    </row>
    <row r="279" spans="1:10" ht="14.5">
      <c r="A279" s="407">
        <f t="shared" si="11"/>
        <v>11.45999999999999</v>
      </c>
      <c r="B279" s="406" t="s">
        <v>1082</v>
      </c>
      <c r="C279" s="414">
        <v>11172</v>
      </c>
      <c r="D279" s="414">
        <v>11294</v>
      </c>
      <c r="E279" s="414">
        <v>11416</v>
      </c>
      <c r="F279" s="414">
        <v>11538</v>
      </c>
      <c r="G279" s="414">
        <v>11660</v>
      </c>
      <c r="I279" s="414"/>
      <c r="J279" s="414"/>
    </row>
    <row r="280" spans="1:10" ht="14.5">
      <c r="A280" s="407">
        <f t="shared" si="11"/>
        <v>11.46999999999999</v>
      </c>
      <c r="B280" s="406" t="s">
        <v>920</v>
      </c>
      <c r="C280" s="414"/>
      <c r="D280" s="414"/>
      <c r="E280" s="414"/>
      <c r="F280" s="414"/>
      <c r="G280" s="414"/>
      <c r="I280" s="414">
        <v>70958</v>
      </c>
      <c r="J280" s="414">
        <v>62160</v>
      </c>
    </row>
    <row r="281" spans="1:10" ht="14.5">
      <c r="A281" s="407">
        <f t="shared" si="11"/>
        <v>11.47999999999999</v>
      </c>
      <c r="B281" s="406" t="s">
        <v>956</v>
      </c>
      <c r="C281" s="414"/>
      <c r="D281" s="414"/>
      <c r="E281" s="414"/>
      <c r="F281" s="414"/>
      <c r="G281" s="414"/>
      <c r="I281" s="414">
        <v>37154</v>
      </c>
      <c r="J281" s="414">
        <v>134496</v>
      </c>
    </row>
    <row r="282" spans="1:10" ht="14.5">
      <c r="A282" s="407">
        <f t="shared" si="11"/>
        <v>11.48999999999999</v>
      </c>
      <c r="B282" s="406" t="s">
        <v>1128</v>
      </c>
      <c r="C282" s="414">
        <v>16489922</v>
      </c>
      <c r="D282" s="414">
        <v>16905446.5</v>
      </c>
      <c r="E282" s="414">
        <v>17320971</v>
      </c>
      <c r="F282" s="414">
        <v>17736495.5</v>
      </c>
      <c r="G282" s="414">
        <v>18152020</v>
      </c>
      <c r="I282" s="414"/>
      <c r="J282" s="414"/>
    </row>
    <row r="283" spans="1:10" ht="14.5">
      <c r="A283" s="407">
        <f t="shared" si="11"/>
        <v>11.499999999999989</v>
      </c>
      <c r="B283" s="406" t="s">
        <v>1129</v>
      </c>
      <c r="C283" s="414">
        <v>648224</v>
      </c>
      <c r="D283" s="414">
        <v>662673</v>
      </c>
      <c r="E283" s="414">
        <v>677122</v>
      </c>
      <c r="F283" s="414">
        <v>691571</v>
      </c>
      <c r="G283" s="414">
        <v>706020</v>
      </c>
      <c r="I283" s="414"/>
      <c r="J283" s="414"/>
    </row>
    <row r="284" spans="1:10" ht="14.5">
      <c r="A284" s="407">
        <f t="shared" si="11"/>
        <v>11.509999999999989</v>
      </c>
      <c r="B284" s="406" t="s">
        <v>1130</v>
      </c>
      <c r="C284" s="414">
        <v>428504</v>
      </c>
      <c r="D284" s="414">
        <v>446552.75</v>
      </c>
      <c r="E284" s="414">
        <v>464601.5</v>
      </c>
      <c r="F284" s="414">
        <v>482650.25</v>
      </c>
      <c r="G284" s="414">
        <v>500699</v>
      </c>
      <c r="I284" s="414"/>
      <c r="J284" s="414"/>
    </row>
    <row r="285" spans="1:10" ht="14.5">
      <c r="A285" s="407">
        <f t="shared" si="11"/>
        <v>11.519999999999989</v>
      </c>
      <c r="B285" s="406" t="s">
        <v>1131</v>
      </c>
      <c r="C285" s="414">
        <v>105</v>
      </c>
      <c r="D285" s="414">
        <v>101.75</v>
      </c>
      <c r="E285" s="414">
        <v>98.5</v>
      </c>
      <c r="F285" s="414">
        <v>95.25</v>
      </c>
      <c r="G285" s="414">
        <v>92</v>
      </c>
      <c r="I285" s="414"/>
      <c r="J285" s="414"/>
    </row>
    <row r="286" spans="1:10" ht="14.5">
      <c r="A286" s="407">
        <f t="shared" si="11"/>
        <v>11.529999999999989</v>
      </c>
      <c r="B286" s="406" t="s">
        <v>1132</v>
      </c>
      <c r="C286" s="414">
        <v>258</v>
      </c>
      <c r="D286" s="414">
        <v>258</v>
      </c>
      <c r="E286" s="414">
        <v>258</v>
      </c>
      <c r="F286" s="414">
        <v>258</v>
      </c>
      <c r="G286" s="414">
        <v>258</v>
      </c>
      <c r="I286" s="414"/>
      <c r="J286" s="414"/>
    </row>
    <row r="287" spans="1:10" ht="14.5">
      <c r="A287" s="407">
        <f t="shared" si="11"/>
        <v>11.539999999999988</v>
      </c>
      <c r="B287" s="406" t="s">
        <v>1089</v>
      </c>
      <c r="C287" s="414">
        <v>588</v>
      </c>
      <c r="D287" s="414">
        <v>546.25</v>
      </c>
      <c r="E287" s="414">
        <v>504.5</v>
      </c>
      <c r="F287" s="414">
        <v>462.75</v>
      </c>
      <c r="G287" s="414">
        <v>421</v>
      </c>
      <c r="I287" s="414"/>
      <c r="J287" s="414"/>
    </row>
    <row r="288" spans="1:10" ht="14.5">
      <c r="A288" s="407">
        <f t="shared" si="11"/>
        <v>11.549999999999988</v>
      </c>
      <c r="B288" s="406" t="s">
        <v>1091</v>
      </c>
      <c r="C288" s="414">
        <v>1</v>
      </c>
      <c r="D288" s="414">
        <v>0.75</v>
      </c>
      <c r="E288" s="414">
        <v>0.5</v>
      </c>
      <c r="F288" s="414">
        <v>0.25</v>
      </c>
      <c r="G288" s="414">
        <v>0</v>
      </c>
      <c r="I288" s="414"/>
      <c r="J288" s="414"/>
    </row>
    <row r="289" spans="1:10" ht="14.5">
      <c r="A289" s="407">
        <f t="shared" si="11"/>
        <v>11.559999999999988</v>
      </c>
      <c r="B289" s="406" t="s">
        <v>1094</v>
      </c>
      <c r="C289" s="414">
        <v>3763713</v>
      </c>
      <c r="D289" s="414">
        <v>3765113.75</v>
      </c>
      <c r="E289" s="414">
        <v>3766514.5</v>
      </c>
      <c r="F289" s="414">
        <v>3767915.25</v>
      </c>
      <c r="G289" s="414">
        <v>3769316</v>
      </c>
      <c r="I289" s="414"/>
      <c r="J289" s="414"/>
    </row>
    <row r="290" spans="1:10" ht="14.5">
      <c r="A290" s="407">
        <f t="shared" si="11"/>
        <v>11.569999999999988</v>
      </c>
      <c r="B290" s="406" t="s">
        <v>1097</v>
      </c>
      <c r="C290" s="414">
        <v>175736</v>
      </c>
      <c r="D290" s="414">
        <v>176553</v>
      </c>
      <c r="E290" s="414">
        <v>177370</v>
      </c>
      <c r="F290" s="414">
        <v>178187</v>
      </c>
      <c r="G290" s="414">
        <v>179004</v>
      </c>
      <c r="I290" s="414"/>
      <c r="J290" s="414"/>
    </row>
    <row r="291" spans="1:10" ht="14.5">
      <c r="A291" s="407">
        <f t="shared" si="11"/>
        <v>11.579999999999988</v>
      </c>
      <c r="B291" s="406" t="s">
        <v>1100</v>
      </c>
      <c r="C291" s="414">
        <v>80900</v>
      </c>
      <c r="D291" s="414">
        <v>76852.75</v>
      </c>
      <c r="E291" s="414">
        <v>72805.5</v>
      </c>
      <c r="F291" s="414">
        <v>68758.25</v>
      </c>
      <c r="G291" s="414">
        <v>64711</v>
      </c>
      <c r="I291" s="414"/>
      <c r="J291" s="414"/>
    </row>
    <row r="292" spans="1:10" ht="14.5">
      <c r="A292" s="407">
        <f t="shared" si="11"/>
        <v>11.589999999999987</v>
      </c>
      <c r="B292" s="406" t="s">
        <v>1103</v>
      </c>
      <c r="C292" s="414">
        <v>599</v>
      </c>
      <c r="D292" s="414">
        <v>599.25</v>
      </c>
      <c r="E292" s="414">
        <v>599.5</v>
      </c>
      <c r="F292" s="414">
        <v>599.75</v>
      </c>
      <c r="G292" s="414">
        <v>600</v>
      </c>
      <c r="I292" s="414"/>
      <c r="J292" s="414"/>
    </row>
    <row r="293" spans="1:10" ht="14.5">
      <c r="A293" s="407">
        <f t="shared" si="11"/>
        <v>11.599999999999987</v>
      </c>
      <c r="B293" s="406" t="s">
        <v>955</v>
      </c>
      <c r="C293" s="414">
        <v>836035</v>
      </c>
      <c r="D293" s="414">
        <v>627026.25</v>
      </c>
      <c r="E293" s="414">
        <v>418017.5</v>
      </c>
      <c r="F293" s="414">
        <v>209008.75</v>
      </c>
      <c r="G293" s="414">
        <v>0</v>
      </c>
      <c r="I293" s="414"/>
      <c r="J293" s="414"/>
    </row>
    <row r="294" spans="1:10" ht="14.5">
      <c r="A294" s="407">
        <f t="shared" si="11"/>
        <v>11.609999999999987</v>
      </c>
      <c r="B294" s="406" t="s">
        <v>922</v>
      </c>
      <c r="C294" s="414">
        <v>5752</v>
      </c>
      <c r="D294" s="414">
        <v>5418</v>
      </c>
      <c r="E294" s="414">
        <v>5084</v>
      </c>
      <c r="F294" s="414">
        <v>4750</v>
      </c>
      <c r="G294" s="414">
        <v>4416</v>
      </c>
      <c r="I294" s="414"/>
      <c r="J294" s="414"/>
    </row>
    <row r="295" spans="1:10" ht="14.5">
      <c r="A295" s="407">
        <f t="shared" si="11"/>
        <v>11.619999999999987</v>
      </c>
      <c r="B295" s="406" t="s">
        <v>1133</v>
      </c>
      <c r="C295" s="414"/>
      <c r="D295" s="414"/>
      <c r="E295" s="414"/>
      <c r="F295" s="414"/>
      <c r="G295" s="414"/>
      <c r="I295" s="414">
        <v>0</v>
      </c>
      <c r="J295" s="414">
        <v>276489</v>
      </c>
    </row>
    <row r="296" spans="1:10" ht="14.5">
      <c r="A296" s="408"/>
      <c r="B296" s="406"/>
      <c r="C296" s="415"/>
      <c r="D296" s="415"/>
      <c r="E296" s="415"/>
      <c r="F296" s="415"/>
      <c r="G296" s="415"/>
      <c r="I296" s="415"/>
      <c r="J296" s="415"/>
    </row>
    <row r="297" spans="1:10" ht="14.5">
      <c r="A297" s="405">
        <v>12</v>
      </c>
      <c r="B297" s="406" t="s">
        <v>1136</v>
      </c>
      <c r="C297" s="409">
        <f>SUM(C234:C296)</f>
        <v>52944763.75</v>
      </c>
      <c r="D297" s="409">
        <f>SUM(D234:D296)</f>
        <v>53554574.5</v>
      </c>
      <c r="E297" s="409">
        <f>SUM(E234:E296)</f>
        <v>54164385.25</v>
      </c>
      <c r="F297" s="409">
        <f>SUM(F234:F296)</f>
        <v>54774196</v>
      </c>
      <c r="G297" s="409">
        <f>SUM(G234:G296)</f>
        <v>55384006.75</v>
      </c>
      <c r="I297" s="409">
        <f>SUM(I234:I296)</f>
        <v>20094975</v>
      </c>
      <c r="J297" s="409">
        <f>SUM(J234:J296)</f>
        <v>18744078</v>
      </c>
    </row>
    <row r="298" spans="9:10" ht="14.5">
      <c r="I298" s="409"/>
      <c r="J298" s="409"/>
    </row>
    <row r="299" spans="1:10" ht="14.5">
      <c r="A299" s="405">
        <v>13</v>
      </c>
      <c r="B299" s="403" t="s">
        <v>787</v>
      </c>
      <c r="I299" s="409"/>
      <c r="J299" s="409"/>
    </row>
    <row r="300" spans="2:10" ht="14.5">
      <c r="B300" s="403"/>
      <c r="I300" s="409"/>
      <c r="J300" s="409"/>
    </row>
    <row r="301" spans="1:10" ht="14.5">
      <c r="A301" s="416">
        <v>13.01</v>
      </c>
      <c r="B301" s="402" t="s">
        <v>539</v>
      </c>
      <c r="C301" s="414"/>
      <c r="D301" s="414"/>
      <c r="E301" s="414"/>
      <c r="F301" s="414"/>
      <c r="G301" s="414"/>
      <c r="I301" s="414"/>
      <c r="J301" s="414"/>
    </row>
    <row r="302" spans="1:10" ht="14.5">
      <c r="A302" s="416">
        <v>13.02</v>
      </c>
      <c r="B302" s="402" t="s">
        <v>779</v>
      </c>
      <c r="C302" s="414"/>
      <c r="D302" s="414"/>
      <c r="E302" s="414"/>
      <c r="F302" s="414"/>
      <c r="G302" s="414"/>
      <c r="I302" s="414"/>
      <c r="J302" s="414"/>
    </row>
    <row r="303" spans="1:10" ht="14.5">
      <c r="A303" s="416">
        <v>13.029999999999999</v>
      </c>
      <c r="B303" s="402" t="s">
        <v>544</v>
      </c>
      <c r="C303" s="414"/>
      <c r="D303" s="414"/>
      <c r="E303" s="414"/>
      <c r="F303" s="414"/>
      <c r="G303" s="414"/>
      <c r="I303" s="414"/>
      <c r="J303" s="414"/>
    </row>
    <row r="304" spans="1:10" ht="14.5">
      <c r="A304" s="416">
        <v>13.039999999999999</v>
      </c>
      <c r="B304" s="402" t="s">
        <v>780</v>
      </c>
      <c r="C304" s="414">
        <v>6622939.1700000009</v>
      </c>
      <c r="D304" s="414">
        <v>6659128.0675000008</v>
      </c>
      <c r="E304" s="414">
        <v>6695316.9650000008</v>
      </c>
      <c r="F304" s="414">
        <v>6731505.8625000007</v>
      </c>
      <c r="G304" s="414">
        <v>6767694.7599999998</v>
      </c>
      <c r="I304" s="414"/>
      <c r="J304" s="414"/>
    </row>
    <row r="305" spans="1:10" ht="14.5">
      <c r="A305" s="416">
        <v>13.050000000000001</v>
      </c>
      <c r="B305" s="402" t="s">
        <v>545</v>
      </c>
      <c r="C305" s="414">
        <v>16442208.029999997</v>
      </c>
      <c r="D305" s="414">
        <v>16783163.3325</v>
      </c>
      <c r="E305" s="414">
        <v>17124118.635000002</v>
      </c>
      <c r="F305" s="414">
        <v>17465073.937500004</v>
      </c>
      <c r="G305" s="414">
        <v>17806029.240000002</v>
      </c>
      <c r="I305" s="414">
        <v>-3256894.3133952692</v>
      </c>
      <c r="J305" s="414">
        <v>-2604178.4592381977</v>
      </c>
    </row>
    <row r="306" spans="1:10" ht="14.5">
      <c r="A306" s="408"/>
      <c r="B306" s="406"/>
      <c r="C306" s="415"/>
      <c r="D306" s="415"/>
      <c r="E306" s="415"/>
      <c r="F306" s="415"/>
      <c r="G306" s="415"/>
      <c r="I306" s="415"/>
      <c r="J306" s="415"/>
    </row>
    <row r="307" spans="1:10" ht="14.5">
      <c r="A307" s="405">
        <v>14</v>
      </c>
      <c r="B307" s="406" t="s">
        <v>961</v>
      </c>
      <c r="C307" s="409">
        <f>SUM(C301:C306)</f>
        <v>23065147.199999999</v>
      </c>
      <c r="D307" s="409">
        <f t="shared" si="12" ref="D307:G307">SUM(D301:D306)</f>
        <v>23442291.399999999</v>
      </c>
      <c r="E307" s="409">
        <f t="shared" si="12"/>
        <v>23819435.600000001</v>
      </c>
      <c r="F307" s="409">
        <f t="shared" si="12"/>
        <v>24196579.800000004</v>
      </c>
      <c r="G307" s="409">
        <f t="shared" si="12"/>
        <v>24573724</v>
      </c>
      <c r="I307" s="409">
        <f>SUM(I301:I306)</f>
        <v>-3256894.3133952692</v>
      </c>
      <c r="J307" s="409">
        <f>SUM(J301:J306)</f>
        <v>-2604178.4592381977</v>
      </c>
    </row>
    <row r="308" spans="3:10" ht="14.5">
      <c r="C308" s="418"/>
      <c r="D308" s="418"/>
      <c r="E308" s="418"/>
      <c r="F308" s="418"/>
      <c r="G308" s="418"/>
      <c r="I308" s="418"/>
      <c r="J308" s="418"/>
    </row>
    <row r="309" spans="1:10" ht="14.5">
      <c r="A309" s="405">
        <v>15</v>
      </c>
      <c r="B309" s="403" t="s">
        <v>791</v>
      </c>
      <c r="C309" s="409">
        <f>C297-C307</f>
        <v>29879616.550000001</v>
      </c>
      <c r="D309" s="409">
        <f t="shared" si="13" ref="D309:G309">D297-D307</f>
        <v>30112283.100000001</v>
      </c>
      <c r="E309" s="409">
        <f t="shared" si="13"/>
        <v>30344949.649999999</v>
      </c>
      <c r="F309" s="409">
        <f t="shared" si="13"/>
        <v>30577616.199999996</v>
      </c>
      <c r="G309" s="409">
        <f t="shared" si="13"/>
        <v>30810282.75</v>
      </c>
      <c r="I309" s="409">
        <f>I297-I307</f>
        <v>23351869.313395269</v>
      </c>
      <c r="J309" s="409">
        <f t="shared" si="14" ref="J309">J297-J307</f>
        <v>21348256.459238198</v>
      </c>
    </row>
    <row r="311" spans="1:1" ht="14.5">
      <c r="A311" s="404" t="s">
        <v>297</v>
      </c>
    </row>
    <row r="312" spans="1:10" s="422" customFormat="1" ht="29.4" customHeight="1">
      <c r="A312" s="421" t="s">
        <v>423</v>
      </c>
      <c r="B312" s="728" t="s">
        <v>801</v>
      </c>
      <c r="C312" s="728"/>
      <c r="D312" s="728"/>
      <c r="E312" s="728"/>
      <c r="F312" s="728"/>
      <c r="G312" s="728"/>
      <c r="H312" s="728"/>
      <c r="I312" s="728"/>
      <c r="J312" s="728"/>
    </row>
    <row r="313" spans="1:2" ht="14.5">
      <c r="A313" s="405" t="s">
        <v>424</v>
      </c>
      <c r="B313" s="402" t="s">
        <v>799</v>
      </c>
    </row>
  </sheetData>
  <mergeCells count="3">
    <mergeCell ref="C5:G5"/>
    <mergeCell ref="I5:J5"/>
    <mergeCell ref="B312:J312"/>
  </mergeCells>
  <pageMargins left="0.7" right="0.7" top="0.75" bottom="0.75" header="0.3" footer="0.3"/>
  <pageSetup orientation="portrait" scale="44"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K33"/>
  <sheetViews>
    <sheetView view="pageBreakPreview" zoomScale="85" zoomScaleNormal="85" zoomScaleSheetLayoutView="85" workbookViewId="0" topLeftCell="A1">
      <selection pane="topLeft" activeCell="E1" sqref="E1"/>
    </sheetView>
  </sheetViews>
  <sheetFormatPr defaultColWidth="8.91714285714286" defaultRowHeight="20.15" customHeight="1"/>
  <cols>
    <col min="1" max="1" width="2.85714285714286" style="76" customWidth="1"/>
    <col min="2" max="2" width="10.8571428571429" style="70" customWidth="1"/>
    <col min="3" max="3" width="8.92857142857143" style="70"/>
    <col min="4" max="4" width="2.85714285714286" style="70" customWidth="1"/>
    <col min="5" max="7" width="12.8571428571429" style="76" customWidth="1"/>
    <col min="8" max="11" width="12.8571428571429" style="70" customWidth="1"/>
    <col min="12" max="16384" width="8.92857142857143" style="70"/>
  </cols>
  <sheetData>
    <row r="1" spans="1:11" ht="20.15" customHeight="1">
      <c r="A1" s="79" t="str">
        <f ca="1">RIGHT(CELL("filename",D2),LEN(CELL("filename",D2))-FIND("]",CELL("filename",D2)))</f>
        <v>WP04 Other RB</v>
      </c>
      <c r="C1" s="612"/>
      <c r="D1" s="612"/>
      <c r="E1" s="612"/>
      <c r="F1" s="612"/>
      <c r="G1" s="612"/>
      <c r="H1" s="612"/>
      <c r="I1" s="612"/>
      <c r="J1" s="612"/>
      <c r="K1" s="612"/>
    </row>
    <row r="2" spans="3:11" ht="51.65" customHeight="1">
      <c r="C2" s="612"/>
      <c r="D2" s="612"/>
      <c r="E2" s="612"/>
      <c r="F2" s="612"/>
      <c r="G2" s="612"/>
      <c r="H2" s="612"/>
      <c r="I2" s="612"/>
      <c r="J2" s="612"/>
      <c r="K2" s="612"/>
    </row>
    <row r="3" spans="5:9" ht="20.15" customHeight="1">
      <c r="E3" s="78" t="s">
        <v>379</v>
      </c>
      <c r="F3" s="78" t="s">
        <v>381</v>
      </c>
      <c r="G3" s="78" t="s">
        <v>343</v>
      </c>
      <c r="I3" s="78" t="s">
        <v>11</v>
      </c>
    </row>
    <row r="4" spans="5:7" ht="20.15" customHeight="1">
      <c r="E4" s="78" t="s">
        <v>380</v>
      </c>
      <c r="F4" s="78" t="s">
        <v>382</v>
      </c>
      <c r="G4" s="78" t="s">
        <v>383</v>
      </c>
    </row>
    <row r="5" spans="4:7" ht="20.15" customHeight="1">
      <c r="D5" s="74" t="s">
        <v>363</v>
      </c>
      <c r="E5" s="77" t="s">
        <v>384</v>
      </c>
      <c r="F5" s="77" t="s">
        <v>179</v>
      </c>
      <c r="G5" s="77" t="s">
        <v>209</v>
      </c>
    </row>
    <row r="6" spans="1:9" ht="20.15" customHeight="1">
      <c r="A6" s="80">
        <v>1</v>
      </c>
      <c r="B6" s="83" t="s">
        <v>375</v>
      </c>
      <c r="C6" s="73">
        <f>C7-1</f>
        <v>2022</v>
      </c>
      <c r="E6" s="154"/>
      <c r="F6" s="154">
        <v>702168</v>
      </c>
      <c r="G6" s="154">
        <v>3447614.3500000001</v>
      </c>
      <c r="H6" s="614"/>
      <c r="I6" s="155">
        <f>SUM(E6:G6)</f>
        <v>4149782.3500000001</v>
      </c>
    </row>
    <row r="7" spans="1:9" ht="20.15" customHeight="1">
      <c r="A7" s="80">
        <v>2</v>
      </c>
      <c r="B7" s="83" t="s">
        <v>375</v>
      </c>
      <c r="C7" s="73">
        <f>'Appendix G(3) - ADIT'!C10</f>
        <v>2023</v>
      </c>
      <c r="E7" s="154"/>
      <c r="F7" s="154">
        <v>698568</v>
      </c>
      <c r="G7" s="154">
        <v>3623401</v>
      </c>
      <c r="H7" s="614"/>
      <c r="I7" s="155">
        <f>SUM(E7:G7)</f>
        <v>4321969</v>
      </c>
    </row>
    <row r="8" spans="5:9" ht="20.15" customHeight="1">
      <c r="E8" s="156"/>
      <c r="F8" s="156"/>
      <c r="G8" s="156"/>
      <c r="H8" s="155"/>
      <c r="I8" s="155"/>
    </row>
    <row r="9" spans="1:9" ht="20.15" customHeight="1">
      <c r="A9" s="80">
        <v>3</v>
      </c>
      <c r="B9" s="70" t="s">
        <v>374</v>
      </c>
      <c r="E9" s="156">
        <f>(E6/2)+(E7/2)</f>
        <v>0</v>
      </c>
      <c r="F9" s="156">
        <f>(F6/2)+(F7/2)</f>
        <v>700368</v>
      </c>
      <c r="G9" s="156">
        <f>(G6/2)+(G7/2)</f>
        <v>3535507.6749999998</v>
      </c>
      <c r="H9" s="156"/>
      <c r="I9" s="156">
        <f>(I6/2)+(I7/2)</f>
        <v>4235875.6749999998</v>
      </c>
    </row>
    <row r="11" spans="1:11" ht="20.15" customHeight="1">
      <c r="A11" s="179"/>
      <c r="D11" s="81"/>
      <c r="E11" s="729" t="s">
        <v>552</v>
      </c>
      <c r="F11" s="729"/>
      <c r="G11" s="729"/>
      <c r="H11" s="729"/>
      <c r="I11" s="729"/>
      <c r="K11" s="78" t="s">
        <v>11</v>
      </c>
    </row>
    <row r="12" spans="1:9" ht="20.15" customHeight="1">
      <c r="A12" s="179"/>
      <c r="C12" s="180" t="s">
        <v>553</v>
      </c>
      <c r="D12" s="81"/>
      <c r="E12" s="181">
        <v>228.09999999999999</v>
      </c>
      <c r="F12" s="181">
        <v>228.19999999999999</v>
      </c>
      <c r="G12" s="181">
        <v>228.30000000000001</v>
      </c>
      <c r="H12" s="181">
        <v>228.40000000000001</v>
      </c>
      <c r="I12" s="182">
        <v>242</v>
      </c>
    </row>
    <row r="13" spans="1:9" ht="20.15" customHeight="1">
      <c r="A13" s="179"/>
      <c r="D13" s="74" t="s">
        <v>363</v>
      </c>
      <c r="E13" s="77" t="s">
        <v>554</v>
      </c>
      <c r="F13" s="77" t="s">
        <v>555</v>
      </c>
      <c r="G13" s="77" t="s">
        <v>556</v>
      </c>
      <c r="H13" s="77" t="s">
        <v>557</v>
      </c>
      <c r="I13" s="77" t="s">
        <v>377</v>
      </c>
    </row>
    <row r="14" spans="1:11" ht="20.15" customHeight="1">
      <c r="A14" s="179">
        <v>4</v>
      </c>
      <c r="B14" s="83" t="s">
        <v>375</v>
      </c>
      <c r="C14" s="183">
        <f>C6</f>
        <v>2022</v>
      </c>
      <c r="E14" s="154"/>
      <c r="F14" s="154"/>
      <c r="G14" s="154"/>
      <c r="H14" s="184"/>
      <c r="I14" s="184"/>
      <c r="J14" s="155"/>
      <c r="K14" s="155">
        <f>SUM(E14:I14)</f>
        <v>0</v>
      </c>
    </row>
    <row r="15" spans="1:11" ht="20.15" customHeight="1">
      <c r="A15" s="179">
        <v>5</v>
      </c>
      <c r="B15" s="83" t="s">
        <v>375</v>
      </c>
      <c r="C15" s="183">
        <f>C14+1</f>
        <v>2023</v>
      </c>
      <c r="E15" s="154"/>
      <c r="F15" s="154"/>
      <c r="G15" s="154"/>
      <c r="H15" s="184"/>
      <c r="I15" s="184"/>
      <c r="J15" s="155"/>
      <c r="K15" s="155">
        <f>SUM(E15:I15)</f>
        <v>0</v>
      </c>
    </row>
    <row r="16" spans="1:11" ht="20.15" customHeight="1">
      <c r="A16" s="179"/>
      <c r="B16" s="83"/>
      <c r="C16" s="185"/>
      <c r="E16" s="156"/>
      <c r="F16" s="156"/>
      <c r="G16" s="156"/>
      <c r="H16" s="155"/>
      <c r="I16" s="155"/>
      <c r="J16" s="155"/>
      <c r="K16" s="155"/>
    </row>
    <row r="17" spans="1:11" ht="20.15" customHeight="1">
      <c r="A17" s="179">
        <v>6</v>
      </c>
      <c r="B17" s="70" t="s">
        <v>374</v>
      </c>
      <c r="C17" s="185"/>
      <c r="E17" s="156">
        <f>(E14/2)+(E15/2)</f>
        <v>0</v>
      </c>
      <c r="F17" s="156">
        <f>(F14/2)+(F15/2)</f>
        <v>0</v>
      </c>
      <c r="G17" s="156">
        <f>(G14/2)+(G15/2)</f>
        <v>0</v>
      </c>
      <c r="H17" s="156">
        <f>(H14/2)+(H15/2)</f>
        <v>0</v>
      </c>
      <c r="I17" s="156">
        <f>(I14/2)+(I15/2)</f>
        <v>0</v>
      </c>
      <c r="J17" s="156"/>
      <c r="K17" s="156">
        <f>(K14/2)+(K15/2)</f>
        <v>0</v>
      </c>
    </row>
    <row r="18" spans="1:1" ht="20.15" customHeight="1">
      <c r="A18" s="179"/>
    </row>
    <row r="19" spans="1:11" ht="20.15" customHeight="1">
      <c r="A19" s="179"/>
      <c r="D19" s="81"/>
      <c r="E19" s="729" t="s">
        <v>558</v>
      </c>
      <c r="F19" s="729"/>
      <c r="G19" s="729"/>
      <c r="H19" s="729"/>
      <c r="I19" s="729"/>
      <c r="K19" s="78" t="s">
        <v>11</v>
      </c>
    </row>
    <row r="20" spans="1:9" ht="20.15" customHeight="1">
      <c r="A20" s="179"/>
      <c r="C20" s="180" t="s">
        <v>553</v>
      </c>
      <c r="D20" s="81"/>
      <c r="E20" s="181">
        <v>228.09999999999999</v>
      </c>
      <c r="F20" s="181">
        <v>228.19999999999999</v>
      </c>
      <c r="G20" s="181">
        <v>228.30000000000001</v>
      </c>
      <c r="H20" s="181">
        <v>228.40000000000001</v>
      </c>
      <c r="I20" s="182">
        <v>242</v>
      </c>
    </row>
    <row r="21" spans="1:9" ht="20.15" customHeight="1">
      <c r="A21" s="179"/>
      <c r="D21" s="74" t="s">
        <v>363</v>
      </c>
      <c r="E21" s="77" t="s">
        <v>554</v>
      </c>
      <c r="F21" s="77" t="s">
        <v>555</v>
      </c>
      <c r="G21" s="77" t="s">
        <v>556</v>
      </c>
      <c r="H21" s="77" t="s">
        <v>557</v>
      </c>
      <c r="I21" s="77" t="s">
        <v>377</v>
      </c>
    </row>
    <row r="22" spans="1:11" ht="20.15" customHeight="1">
      <c r="A22" s="179">
        <v>7</v>
      </c>
      <c r="B22" s="83" t="s">
        <v>375</v>
      </c>
      <c r="C22" s="183">
        <f>C14</f>
        <v>2022</v>
      </c>
      <c r="E22" s="154"/>
      <c r="F22" s="154"/>
      <c r="G22" s="154"/>
      <c r="H22" s="184"/>
      <c r="I22" s="184"/>
      <c r="J22" s="155"/>
      <c r="K22" s="155">
        <f>SUM(E22:I22)</f>
        <v>0</v>
      </c>
    </row>
    <row r="23" spans="1:11" ht="20.15" customHeight="1">
      <c r="A23" s="179">
        <v>8</v>
      </c>
      <c r="B23" s="83" t="s">
        <v>375</v>
      </c>
      <c r="C23" s="183">
        <f>C22+1</f>
        <v>2023</v>
      </c>
      <c r="E23" s="154"/>
      <c r="F23" s="154"/>
      <c r="G23" s="154"/>
      <c r="H23" s="184"/>
      <c r="I23" s="184"/>
      <c r="J23" s="155"/>
      <c r="K23" s="155">
        <f>SUM(E23:I23)</f>
        <v>0</v>
      </c>
    </row>
    <row r="24" spans="1:11" ht="20.15" customHeight="1">
      <c r="A24" s="179"/>
      <c r="E24" s="156"/>
      <c r="F24" s="156"/>
      <c r="G24" s="156"/>
      <c r="H24" s="155"/>
      <c r="I24" s="155"/>
      <c r="J24" s="155"/>
      <c r="K24" s="155"/>
    </row>
    <row r="25" spans="1:11" ht="20.15" customHeight="1">
      <c r="A25" s="179">
        <v>9</v>
      </c>
      <c r="B25" s="70" t="s">
        <v>374</v>
      </c>
      <c r="E25" s="156">
        <f>(E22/2)+(E23/2)</f>
        <v>0</v>
      </c>
      <c r="F25" s="156">
        <f>(F22/2)+(F23/2)</f>
        <v>0</v>
      </c>
      <c r="G25" s="156">
        <f>(G22/2)+(G23/2)</f>
        <v>0</v>
      </c>
      <c r="H25" s="156">
        <f>(H22/2)+(H23/2)</f>
        <v>0</v>
      </c>
      <c r="I25" s="156">
        <f>(I22/2)+(I23/2)</f>
        <v>0</v>
      </c>
      <c r="J25" s="156"/>
      <c r="K25" s="156">
        <f>(K22/2)+(K23/2)</f>
        <v>0</v>
      </c>
    </row>
    <row r="30" spans="1:1" ht="20.15" customHeight="1">
      <c r="A30" s="70" t="s">
        <v>364</v>
      </c>
    </row>
    <row r="31" spans="1:2" ht="20.15" customHeight="1">
      <c r="A31" s="76" t="s">
        <v>363</v>
      </c>
      <c r="B31" s="70" t="s">
        <v>365</v>
      </c>
    </row>
    <row r="32" spans="1:11" s="191" customFormat="1" ht="32.15" customHeight="1">
      <c r="A32" s="190" t="s">
        <v>377</v>
      </c>
      <c r="B32" s="717" t="s">
        <v>771</v>
      </c>
      <c r="C32" s="717"/>
      <c r="D32" s="717"/>
      <c r="E32" s="717"/>
      <c r="F32" s="717"/>
      <c r="G32" s="717"/>
      <c r="H32" s="717"/>
      <c r="I32" s="717"/>
      <c r="J32" s="717"/>
      <c r="K32" s="717"/>
    </row>
    <row r="33" spans="2:2" ht="20.15" customHeight="1">
      <c r="B33" s="173"/>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3">
    <mergeCell ref="E11:I11"/>
    <mergeCell ref="E19:I19"/>
    <mergeCell ref="B32:K32"/>
  </mergeCells>
  <pageMargins left="0.7" right="0.7" top="0.75" bottom="0.75" header="0.3" footer="0.3"/>
  <pageSetup orientation="portrait" scale="6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37"/>
  <sheetViews>
    <sheetView view="pageBreakPreview" zoomScale="85" zoomScaleNormal="85" zoomScaleSheetLayoutView="85" workbookViewId="0" topLeftCell="A1">
      <selection pane="topLeft" activeCell="B1" sqref="B1"/>
    </sheetView>
  </sheetViews>
  <sheetFormatPr defaultColWidth="8.91714285714286" defaultRowHeight="20.15" customHeight="1"/>
  <cols>
    <col min="1" max="1" width="2.85714285714286" style="76" customWidth="1"/>
    <col min="2" max="2" width="40.8571428571429" style="70" customWidth="1"/>
    <col min="3" max="3" width="10.8571428571429" style="75" customWidth="1"/>
    <col min="4" max="4" width="12.8571428571429" style="84" customWidth="1"/>
    <col min="5" max="7" width="12.8571428571429" style="76" customWidth="1"/>
    <col min="8" max="16384" width="8.92857142857143" style="70"/>
  </cols>
  <sheetData>
    <row r="1" spans="1:4" ht="20.15" customHeight="1">
      <c r="A1" s="79" t="str">
        <f ca="1">RIGHT(CELL("filename",D2),LEN(CELL("filename",D2))-FIND("]",CELL("filename",D2)))</f>
        <v>WP05 Other Tax</v>
      </c>
      <c r="C1" s="615"/>
      <c r="D1" s="615"/>
    </row>
    <row r="2" spans="3:4" ht="20.15" customHeight="1">
      <c r="C2" s="615"/>
      <c r="D2" s="615"/>
    </row>
    <row r="3" spans="2:9" ht="20.15" customHeight="1">
      <c r="B3" s="75"/>
      <c r="C3" s="77" t="s">
        <v>363</v>
      </c>
      <c r="D3" s="78"/>
      <c r="F3" s="78"/>
      <c r="G3" s="78"/>
      <c r="I3" s="78"/>
    </row>
    <row r="4" spans="1:7" ht="20.15" customHeight="1">
      <c r="A4" s="88">
        <v>1</v>
      </c>
      <c r="B4" s="81" t="s">
        <v>391</v>
      </c>
      <c r="C4" s="84"/>
      <c r="D4" s="78"/>
      <c r="F4" s="78"/>
      <c r="G4" s="78"/>
    </row>
    <row r="5" spans="1:7" ht="20.15" customHeight="1">
      <c r="A5" s="88">
        <v>2</v>
      </c>
      <c r="B5" s="246" t="s">
        <v>385</v>
      </c>
      <c r="C5" s="84" t="s">
        <v>77</v>
      </c>
      <c r="D5" s="154">
        <v>773269</v>
      </c>
      <c r="F5" s="78"/>
      <c r="G5" s="78"/>
    </row>
    <row r="6" spans="1:7" ht="20.15" customHeight="1">
      <c r="A6" s="88" t="s">
        <v>344</v>
      </c>
      <c r="B6" s="246" t="s">
        <v>386</v>
      </c>
      <c r="C6" s="84" t="s">
        <v>77</v>
      </c>
      <c r="D6" s="154"/>
      <c r="F6" s="77"/>
      <c r="G6" s="77"/>
    </row>
    <row r="7" spans="1:9" ht="20.15" customHeight="1" thickBot="1">
      <c r="A7" s="88" t="s">
        <v>345</v>
      </c>
      <c r="B7" s="246" t="s">
        <v>387</v>
      </c>
      <c r="C7" s="84" t="s">
        <v>77</v>
      </c>
      <c r="D7" s="160"/>
      <c r="I7" s="71"/>
    </row>
    <row r="8" spans="1:9" ht="20.15" customHeight="1">
      <c r="A8" s="88"/>
      <c r="B8" s="85" t="s">
        <v>395</v>
      </c>
      <c r="C8" s="84"/>
      <c r="D8" s="161">
        <f>SUM(D5:D7)</f>
        <v>773269</v>
      </c>
      <c r="I8" s="71"/>
    </row>
    <row r="9" spans="1:4" ht="20.15" customHeight="1">
      <c r="A9" s="88"/>
      <c r="B9" s="81"/>
      <c r="C9" s="84"/>
      <c r="D9" s="161"/>
    </row>
    <row r="10" spans="1:9" ht="20.15" customHeight="1">
      <c r="A10" s="88" t="s">
        <v>237</v>
      </c>
      <c r="B10" s="81" t="s">
        <v>390</v>
      </c>
      <c r="C10" s="84"/>
      <c r="D10" s="161"/>
      <c r="F10" s="82"/>
      <c r="G10" s="82"/>
      <c r="H10" s="82"/>
      <c r="I10" s="82"/>
    </row>
    <row r="11" spans="1:9" ht="20.15" customHeight="1" thickBot="1">
      <c r="A11" s="88" t="s">
        <v>239</v>
      </c>
      <c r="B11" s="246" t="s">
        <v>701</v>
      </c>
      <c r="C11" s="84" t="s">
        <v>77</v>
      </c>
      <c r="D11" s="160">
        <v>7966</v>
      </c>
      <c r="F11" s="82"/>
      <c r="G11" s="82"/>
      <c r="H11" s="82"/>
      <c r="I11" s="82"/>
    </row>
    <row r="12" spans="1:9" ht="20.15" customHeight="1">
      <c r="A12" s="88"/>
      <c r="B12" s="86" t="s">
        <v>390</v>
      </c>
      <c r="C12" s="84"/>
      <c r="D12" s="161">
        <f>SUM(D11)</f>
        <v>7966</v>
      </c>
      <c r="F12" s="82"/>
      <c r="G12" s="82"/>
      <c r="H12" s="82"/>
      <c r="I12" s="82"/>
    </row>
    <row r="13" spans="1:9" ht="20.15" customHeight="1">
      <c r="A13" s="88"/>
      <c r="B13" s="81"/>
      <c r="C13" s="84"/>
      <c r="D13" s="161"/>
      <c r="F13" s="82"/>
      <c r="G13" s="82"/>
      <c r="H13" s="82"/>
      <c r="I13" s="82"/>
    </row>
    <row r="14" spans="1:9" ht="20.15" customHeight="1">
      <c r="A14" s="88" t="s">
        <v>241</v>
      </c>
      <c r="B14" s="81" t="s">
        <v>388</v>
      </c>
      <c r="C14" s="84"/>
      <c r="D14" s="161"/>
      <c r="F14" s="82"/>
      <c r="G14" s="82"/>
      <c r="H14" s="82"/>
      <c r="I14" s="82"/>
    </row>
    <row r="15" spans="1:9" ht="20.15" customHeight="1">
      <c r="A15" s="88" t="s">
        <v>245</v>
      </c>
      <c r="B15" s="246" t="s">
        <v>504</v>
      </c>
      <c r="C15" s="84" t="s">
        <v>77</v>
      </c>
      <c r="D15" s="154">
        <v>240999251</v>
      </c>
      <c r="F15" s="82"/>
      <c r="G15" s="82"/>
      <c r="H15" s="82"/>
      <c r="I15" s="82"/>
    </row>
    <row r="16" spans="1:9" ht="20.15" customHeight="1">
      <c r="A16" s="88" t="s">
        <v>246</v>
      </c>
      <c r="B16" s="246" t="s">
        <v>505</v>
      </c>
      <c r="C16" s="84" t="s">
        <v>77</v>
      </c>
      <c r="D16" s="154">
        <v>49803</v>
      </c>
      <c r="F16" s="82"/>
      <c r="G16" s="82"/>
      <c r="H16" s="82"/>
      <c r="I16" s="82"/>
    </row>
    <row r="17" spans="1:9" ht="20.15" customHeight="1" thickBot="1">
      <c r="A17" s="88" t="s">
        <v>248</v>
      </c>
      <c r="B17" s="246" t="s">
        <v>993</v>
      </c>
      <c r="C17" s="84" t="s">
        <v>77</v>
      </c>
      <c r="D17" s="160">
        <v>60517</v>
      </c>
      <c r="F17" s="82"/>
      <c r="G17" s="82"/>
      <c r="H17" s="82"/>
      <c r="I17" s="82"/>
    </row>
    <row r="18" spans="1:9" ht="20.15" customHeight="1">
      <c r="A18" s="88"/>
      <c r="B18" s="86" t="s">
        <v>388</v>
      </c>
      <c r="C18" s="84"/>
      <c r="D18" s="161">
        <f>SUM(D15:D17)</f>
        <v>241109571</v>
      </c>
      <c r="F18" s="82"/>
      <c r="G18" s="82"/>
      <c r="H18" s="82"/>
      <c r="I18" s="82"/>
    </row>
    <row r="19" spans="1:9" ht="20.15" customHeight="1">
      <c r="A19" s="88"/>
      <c r="B19" s="81"/>
      <c r="C19" s="84"/>
      <c r="D19" s="161"/>
      <c r="F19" s="82"/>
      <c r="G19" s="82"/>
      <c r="H19" s="82"/>
      <c r="I19" s="82"/>
    </row>
    <row r="20" spans="1:9" ht="20.15" customHeight="1">
      <c r="A20" s="88" t="s">
        <v>250</v>
      </c>
      <c r="B20" s="81" t="s">
        <v>389</v>
      </c>
      <c r="C20" s="70"/>
      <c r="D20" s="161"/>
      <c r="F20" s="82"/>
      <c r="G20" s="82"/>
      <c r="H20" s="82"/>
      <c r="I20" s="82"/>
    </row>
    <row r="21" spans="1:9" ht="20.15" customHeight="1" thickBot="1">
      <c r="A21" s="88" t="s">
        <v>252</v>
      </c>
      <c r="B21" s="246" t="s">
        <v>389</v>
      </c>
      <c r="C21" s="84" t="s">
        <v>77</v>
      </c>
      <c r="D21" s="160">
        <v>195976</v>
      </c>
      <c r="F21" s="82"/>
      <c r="G21" s="82"/>
      <c r="H21" s="82"/>
      <c r="I21" s="82"/>
    </row>
    <row r="22" spans="1:9" ht="20.15" customHeight="1">
      <c r="A22" s="88"/>
      <c r="B22" s="86" t="s">
        <v>389</v>
      </c>
      <c r="C22" s="70"/>
      <c r="D22" s="155">
        <f>SUM(D21:D21)</f>
        <v>195976</v>
      </c>
      <c r="F22" s="82"/>
      <c r="G22" s="82"/>
      <c r="H22" s="82"/>
      <c r="I22" s="82"/>
    </row>
    <row r="23" spans="1:9" ht="20.15" customHeight="1">
      <c r="A23" s="88"/>
      <c r="B23" s="81"/>
      <c r="C23" s="84"/>
      <c r="D23" s="161"/>
      <c r="F23" s="82"/>
      <c r="G23" s="82"/>
      <c r="H23" s="82"/>
      <c r="I23" s="82"/>
    </row>
    <row r="24" spans="1:9" ht="20.15" customHeight="1">
      <c r="A24" s="88" t="s">
        <v>346</v>
      </c>
      <c r="B24" s="81" t="s">
        <v>392</v>
      </c>
      <c r="C24" s="84"/>
      <c r="D24" s="161"/>
      <c r="F24" s="82"/>
      <c r="G24" s="82"/>
      <c r="H24" s="82"/>
      <c r="I24" s="82"/>
    </row>
    <row r="25" spans="1:9" ht="20.15" customHeight="1">
      <c r="A25" s="88" t="s">
        <v>347</v>
      </c>
      <c r="B25" s="247" t="s">
        <v>393</v>
      </c>
      <c r="C25" s="84" t="s">
        <v>77</v>
      </c>
      <c r="D25" s="154"/>
      <c r="F25" s="82"/>
      <c r="G25" s="82"/>
      <c r="H25" s="82"/>
      <c r="I25" s="82"/>
    </row>
    <row r="26" spans="1:9" ht="20.15" customHeight="1">
      <c r="A26" s="88" t="s">
        <v>348</v>
      </c>
      <c r="B26" s="247" t="s">
        <v>394</v>
      </c>
      <c r="C26" s="84" t="s">
        <v>77</v>
      </c>
      <c r="D26" s="154">
        <v>-7163</v>
      </c>
      <c r="F26" s="82"/>
      <c r="G26" s="82"/>
      <c r="H26" s="82"/>
      <c r="I26" s="82"/>
    </row>
    <row r="27" spans="1:4" ht="20.15" customHeight="1" thickBot="1">
      <c r="A27" s="88" t="s">
        <v>349</v>
      </c>
      <c r="B27" s="247" t="s">
        <v>700</v>
      </c>
      <c r="C27" s="84" t="s">
        <v>77</v>
      </c>
      <c r="D27" s="160"/>
    </row>
    <row r="28" spans="1:4" ht="20.15" customHeight="1">
      <c r="A28" s="88"/>
      <c r="B28" s="86" t="s">
        <v>392</v>
      </c>
      <c r="C28" s="84"/>
      <c r="D28" s="161">
        <f>SUM(D25:D27)</f>
        <v>-7163</v>
      </c>
    </row>
    <row r="29" spans="1:4" ht="20.15" customHeight="1">
      <c r="A29" s="88"/>
      <c r="B29" s="75"/>
      <c r="C29" s="84"/>
      <c r="D29" s="161"/>
    </row>
    <row r="30" spans="1:4" ht="20.15" customHeight="1">
      <c r="A30" s="88" t="s">
        <v>350</v>
      </c>
      <c r="B30" s="81" t="s">
        <v>396</v>
      </c>
      <c r="C30" s="84"/>
      <c r="D30" s="154">
        <v>0</v>
      </c>
    </row>
    <row r="32" spans="2:4" ht="20.15" customHeight="1">
      <c r="B32" s="612"/>
      <c r="C32" s="612"/>
      <c r="D32" s="612"/>
    </row>
    <row r="33" spans="2:4" ht="20.15" customHeight="1">
      <c r="B33" s="612"/>
      <c r="C33" s="612"/>
      <c r="D33" s="612"/>
    </row>
    <row r="34" spans="2:4" ht="20.15" customHeight="1">
      <c r="B34" s="612"/>
      <c r="C34" s="612"/>
      <c r="D34" s="612"/>
    </row>
    <row r="35" spans="2:4" ht="20.15" customHeight="1">
      <c r="B35" s="612"/>
      <c r="C35" s="612"/>
      <c r="D35" s="612"/>
    </row>
    <row r="36" spans="1:2" ht="20.15" customHeight="1">
      <c r="A36" s="70" t="s">
        <v>364</v>
      </c>
      <c r="B36" s="75"/>
    </row>
    <row r="37" spans="1:9" s="84" customFormat="1" ht="20.15" customHeight="1">
      <c r="A37" s="76" t="s">
        <v>363</v>
      </c>
      <c r="B37" s="70" t="s">
        <v>365</v>
      </c>
      <c r="E37" s="76"/>
      <c r="F37" s="76"/>
      <c r="G37" s="76"/>
      <c r="H37" s="70"/>
      <c r="I37" s="70"/>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orientation="portrait" scale="6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27"/>
  <sheetViews>
    <sheetView view="pageBreakPreview" zoomScale="85" zoomScaleNormal="85" zoomScaleSheetLayoutView="85" workbookViewId="0" topLeftCell="A1">
      <selection pane="topLeft" activeCell="F1" sqref="F1"/>
    </sheetView>
  </sheetViews>
  <sheetFormatPr defaultColWidth="8.91714285714286" defaultRowHeight="20.15" customHeight="1"/>
  <cols>
    <col min="1" max="1" width="2.85714285714286" style="76" customWidth="1"/>
    <col min="2" max="2" width="10.8571428571429" style="70" customWidth="1"/>
    <col min="3" max="3" width="8.92857142857143" style="70"/>
    <col min="4" max="4" width="2.85714285714286" style="70" customWidth="1"/>
    <col min="5" max="7" width="12.8571428571429" style="76" customWidth="1"/>
    <col min="8" max="8" width="12.5" style="76" customWidth="1"/>
    <col min="9" max="9" width="12.8571428571429" style="76" customWidth="1"/>
    <col min="10" max="11" width="8.92857142857143" style="70"/>
    <col min="12" max="13" width="13.5" style="70" bestFit="1" customWidth="1"/>
    <col min="14" max="16384" width="8.92857142857143" style="70"/>
  </cols>
  <sheetData>
    <row r="1" spans="1:9" ht="40.25" customHeight="1">
      <c r="A1" s="79" t="str">
        <f ca="1">RIGHT(CELL("filename",D2),LEN(CELL("filename",D2))-FIND("]",CELL("filename",D2)))</f>
        <v>WP06 Cap Structure</v>
      </c>
      <c r="E1" s="612"/>
      <c r="F1" s="612"/>
      <c r="G1" s="612"/>
      <c r="H1" s="612"/>
      <c r="I1" s="612"/>
    </row>
    <row r="2" spans="5:9" ht="20.15" customHeight="1">
      <c r="E2" s="87" t="s">
        <v>27</v>
      </c>
      <c r="F2" s="87" t="s">
        <v>28</v>
      </c>
      <c r="G2" s="87" t="s">
        <v>29</v>
      </c>
      <c r="H2" s="87" t="s">
        <v>30</v>
      </c>
      <c r="I2" s="87" t="s">
        <v>31</v>
      </c>
    </row>
    <row r="3" spans="5:9" ht="20.15" customHeight="1">
      <c r="E3" s="78" t="s">
        <v>397</v>
      </c>
      <c r="F3" s="78" t="s">
        <v>399</v>
      </c>
      <c r="G3" s="78" t="s">
        <v>400</v>
      </c>
      <c r="H3" s="78" t="s">
        <v>122</v>
      </c>
      <c r="I3" s="78" t="s">
        <v>401</v>
      </c>
    </row>
    <row r="4" spans="5:9" ht="20.15" customHeight="1">
      <c r="E4" s="78" t="s">
        <v>398</v>
      </c>
      <c r="F4" s="78"/>
      <c r="G4" s="78"/>
      <c r="H4" s="78"/>
      <c r="I4" s="78"/>
    </row>
    <row r="5" spans="4:9" ht="20.15" customHeight="1">
      <c r="D5" s="74" t="s">
        <v>363</v>
      </c>
      <c r="E5" s="77" t="s">
        <v>402</v>
      </c>
      <c r="F5" s="77" t="s">
        <v>403</v>
      </c>
      <c r="G5" s="77" t="s">
        <v>404</v>
      </c>
      <c r="H5" s="77" t="s">
        <v>592</v>
      </c>
      <c r="I5" s="80" t="s">
        <v>405</v>
      </c>
    </row>
    <row r="6" spans="1:9" ht="20.15" customHeight="1">
      <c r="A6" s="80">
        <v>1</v>
      </c>
      <c r="B6" s="70" t="s">
        <v>332</v>
      </c>
      <c r="C6" s="183">
        <f>'WP01 Plant'!C6</f>
        <v>2022</v>
      </c>
      <c r="D6" s="74"/>
      <c r="E6" s="154">
        <v>2247905189</v>
      </c>
      <c r="F6" s="154"/>
      <c r="G6" s="154"/>
      <c r="H6" s="161">
        <f>E6-F6-G6</f>
        <v>2247905189</v>
      </c>
      <c r="I6" s="154">
        <v>1500000000</v>
      </c>
    </row>
    <row r="7" spans="1:9" ht="20.15" customHeight="1">
      <c r="A7" s="80">
        <v>2</v>
      </c>
      <c r="B7" s="70" t="s">
        <v>333</v>
      </c>
      <c r="C7" s="73">
        <f>C6+1</f>
        <v>2023</v>
      </c>
      <c r="E7" s="154">
        <v>2268606394.6800098</v>
      </c>
      <c r="F7" s="154"/>
      <c r="G7" s="154"/>
      <c r="H7" s="161">
        <f>E7-F7-G7</f>
        <v>2268606394.6800098</v>
      </c>
      <c r="I7" s="154">
        <v>1500000000</v>
      </c>
    </row>
    <row r="8" spans="1:9" ht="20.15" customHeight="1">
      <c r="A8" s="80">
        <v>3</v>
      </c>
      <c r="B8" s="70" t="s">
        <v>334</v>
      </c>
      <c r="C8" s="73">
        <f>C7</f>
        <v>2023</v>
      </c>
      <c r="E8" s="154">
        <v>2288970530.1399999</v>
      </c>
      <c r="F8" s="154"/>
      <c r="G8" s="154"/>
      <c r="H8" s="161">
        <f>E8-F8-G8</f>
        <v>2288970530.1399999</v>
      </c>
      <c r="I8" s="154">
        <v>1500000000</v>
      </c>
    </row>
    <row r="9" spans="1:9" ht="20.15" customHeight="1">
      <c r="A9" s="80">
        <v>4</v>
      </c>
      <c r="B9" s="70" t="s">
        <v>335</v>
      </c>
      <c r="C9" s="73">
        <f t="shared" si="0" ref="C9:C18">C8</f>
        <v>2023</v>
      </c>
      <c r="E9" s="154">
        <v>2309274596</v>
      </c>
      <c r="F9" s="154"/>
      <c r="G9" s="154"/>
      <c r="H9" s="161">
        <f>E9-F9-G9</f>
        <v>2309274596</v>
      </c>
      <c r="I9" s="154">
        <v>1500000000</v>
      </c>
    </row>
    <row r="10" spans="1:9" ht="20.15" customHeight="1">
      <c r="A10" s="80">
        <v>5</v>
      </c>
      <c r="B10" s="70" t="s">
        <v>336</v>
      </c>
      <c r="C10" s="73">
        <f t="shared" si="0"/>
        <v>2023</v>
      </c>
      <c r="E10" s="154">
        <v>2329990363.5899997</v>
      </c>
      <c r="F10" s="154"/>
      <c r="G10" s="154"/>
      <c r="H10" s="161">
        <f t="shared" si="1" ref="H10:H18">E10-F10-G10</f>
        <v>2329990363.5899997</v>
      </c>
      <c r="I10" s="154">
        <v>1500000000</v>
      </c>
    </row>
    <row r="11" spans="1:9" ht="20.15" customHeight="1">
      <c r="A11" s="80">
        <v>6</v>
      </c>
      <c r="B11" s="70" t="s">
        <v>337</v>
      </c>
      <c r="C11" s="73">
        <f t="shared" si="0"/>
        <v>2023</v>
      </c>
      <c r="E11" s="154">
        <v>2352857416.3599997</v>
      </c>
      <c r="F11" s="154"/>
      <c r="G11" s="154"/>
      <c r="H11" s="161">
        <f t="shared" si="1"/>
        <v>2352857416.3599997</v>
      </c>
      <c r="I11" s="154">
        <v>1650000000</v>
      </c>
    </row>
    <row r="12" spans="1:9" ht="20.15" customHeight="1">
      <c r="A12" s="80">
        <v>7</v>
      </c>
      <c r="B12" s="70" t="s">
        <v>353</v>
      </c>
      <c r="C12" s="73">
        <f t="shared" si="0"/>
        <v>2023</v>
      </c>
      <c r="E12" s="154">
        <v>2374655912</v>
      </c>
      <c r="F12" s="154"/>
      <c r="G12" s="154"/>
      <c r="H12" s="161">
        <f t="shared" si="1"/>
        <v>2374655912</v>
      </c>
      <c r="I12" s="154">
        <v>1650000000</v>
      </c>
    </row>
    <row r="13" spans="1:9" ht="20.15" customHeight="1">
      <c r="A13" s="80">
        <v>8</v>
      </c>
      <c r="B13" s="70" t="s">
        <v>338</v>
      </c>
      <c r="C13" s="73">
        <f t="shared" si="0"/>
        <v>2023</v>
      </c>
      <c r="E13" s="154">
        <v>2394974855.0100098</v>
      </c>
      <c r="F13" s="154"/>
      <c r="G13" s="154"/>
      <c r="H13" s="161">
        <f t="shared" si="1"/>
        <v>2394974855.0100098</v>
      </c>
      <c r="I13" s="154">
        <v>1650000000</v>
      </c>
    </row>
    <row r="14" spans="1:9" ht="20.15" customHeight="1">
      <c r="A14" s="80">
        <v>9</v>
      </c>
      <c r="B14" s="70" t="s">
        <v>339</v>
      </c>
      <c r="C14" s="73">
        <f t="shared" si="0"/>
        <v>2023</v>
      </c>
      <c r="E14" s="154">
        <v>2414477010.5300097</v>
      </c>
      <c r="F14" s="154"/>
      <c r="G14" s="154"/>
      <c r="H14" s="161">
        <f>E14-F14-G14</f>
        <v>2414477010.5300097</v>
      </c>
      <c r="I14" s="154">
        <v>1650000000</v>
      </c>
    </row>
    <row r="15" spans="1:9" ht="20.15" customHeight="1">
      <c r="A15" s="80">
        <v>10</v>
      </c>
      <c r="B15" s="70" t="s">
        <v>340</v>
      </c>
      <c r="C15" s="73">
        <f t="shared" si="0"/>
        <v>2023</v>
      </c>
      <c r="E15" s="154">
        <v>2434181633</v>
      </c>
      <c r="F15" s="154"/>
      <c r="G15" s="154"/>
      <c r="H15" s="161">
        <f t="shared" si="1"/>
        <v>2434181633</v>
      </c>
      <c r="I15" s="154">
        <v>1650000000</v>
      </c>
    </row>
    <row r="16" spans="1:9" ht="20.15" customHeight="1">
      <c r="A16" s="80">
        <v>11</v>
      </c>
      <c r="B16" s="70" t="s">
        <v>342</v>
      </c>
      <c r="C16" s="73">
        <f t="shared" si="0"/>
        <v>2023</v>
      </c>
      <c r="E16" s="154">
        <v>2455092502.4200001</v>
      </c>
      <c r="F16" s="154"/>
      <c r="G16" s="154"/>
      <c r="H16" s="161">
        <f t="shared" si="1"/>
        <v>2455092502.4200001</v>
      </c>
      <c r="I16" s="154">
        <v>1650000000</v>
      </c>
    </row>
    <row r="17" spans="1:9" ht="20.15" customHeight="1">
      <c r="A17" s="80">
        <v>12</v>
      </c>
      <c r="B17" s="70" t="s">
        <v>341</v>
      </c>
      <c r="C17" s="73">
        <f t="shared" si="0"/>
        <v>2023</v>
      </c>
      <c r="E17" s="154">
        <v>2475824832.8800001</v>
      </c>
      <c r="F17" s="154"/>
      <c r="G17" s="154"/>
      <c r="H17" s="161">
        <f t="shared" si="1"/>
        <v>2475824832.8800001</v>
      </c>
      <c r="I17" s="154">
        <v>1650000000</v>
      </c>
    </row>
    <row r="18" spans="1:9" ht="20.15" customHeight="1">
      <c r="A18" s="80">
        <v>13</v>
      </c>
      <c r="B18" s="70" t="s">
        <v>332</v>
      </c>
      <c r="C18" s="73">
        <f t="shared" si="0"/>
        <v>2023</v>
      </c>
      <c r="E18" s="154">
        <v>2494721467</v>
      </c>
      <c r="F18" s="154"/>
      <c r="G18" s="154"/>
      <c r="H18" s="161">
        <f t="shared" si="1"/>
        <v>2494721467</v>
      </c>
      <c r="I18" s="154">
        <v>1650000000</v>
      </c>
    </row>
    <row r="19" spans="1:9" ht="20.15" customHeight="1">
      <c r="A19" s="70"/>
      <c r="E19" s="156"/>
      <c r="F19" s="156"/>
      <c r="G19" s="156"/>
      <c r="H19" s="156"/>
      <c r="I19" s="156"/>
    </row>
    <row r="20" spans="1:9" ht="20.15" customHeight="1">
      <c r="A20" s="80">
        <v>14</v>
      </c>
      <c r="B20" s="70" t="s">
        <v>362</v>
      </c>
      <c r="E20" s="156">
        <f>SUM(E6:E18)/13</f>
        <v>2372425592.5084639</v>
      </c>
      <c r="F20" s="156">
        <f>SUM(F6:F18)/13</f>
        <v>0</v>
      </c>
      <c r="G20" s="156">
        <f>SUM(G6:G18)/13</f>
        <v>0</v>
      </c>
      <c r="H20" s="156">
        <f>SUM(H6:H18)/13</f>
        <v>2372425592.5084639</v>
      </c>
      <c r="I20" s="156">
        <f>SUM(I6:I18)/13</f>
        <v>1592307692.3076923</v>
      </c>
    </row>
    <row r="21" spans="1:1" ht="20.15" customHeight="1">
      <c r="A21" s="80"/>
    </row>
    <row r="26" spans="1:1" ht="20.15" customHeight="1">
      <c r="A26" s="70" t="s">
        <v>364</v>
      </c>
    </row>
    <row r="27" spans="1:8" ht="20.15" customHeight="1">
      <c r="A27" s="76" t="s">
        <v>363</v>
      </c>
      <c r="B27" s="70" t="s">
        <v>365</v>
      </c>
      <c r="H27" s="89"/>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orientation="portrait" scale="6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O28"/>
  <sheetViews>
    <sheetView view="pageBreakPreview" zoomScale="85" zoomScaleNormal="100" zoomScaleSheetLayoutView="85" workbookViewId="0" topLeftCell="A1">
      <selection pane="topLeft" activeCell="E2" sqref="E2"/>
    </sheetView>
  </sheetViews>
  <sheetFormatPr defaultColWidth="8.91714285714286" defaultRowHeight="12.5"/>
  <cols>
    <col min="1" max="16384" width="8.92857142857143" style="163"/>
  </cols>
  <sheetData>
    <row r="1" spans="1:1" ht="15.5">
      <c r="A1" s="79" t="str">
        <f ca="1">RIGHT(CELL("filename",D2),LEN(CELL("filename",D2))-FIND("]",CELL("filename",D2)))</f>
        <v>WP07 Stated-value Inputs</v>
      </c>
    </row>
    <row r="2" spans="1:1" ht="13">
      <c r="A2" s="164"/>
    </row>
    <row r="3" spans="1:1" ht="13">
      <c r="A3" s="164" t="s">
        <v>507</v>
      </c>
    </row>
    <row r="4" spans="1:1" ht="13">
      <c r="A4" s="186" t="s">
        <v>559</v>
      </c>
    </row>
    <row r="5" spans="1:1" ht="13">
      <c r="A5" s="164"/>
    </row>
    <row r="7" spans="1:1" ht="13">
      <c r="A7" s="164" t="s">
        <v>508</v>
      </c>
    </row>
    <row r="9" spans="1:9" ht="39" customHeight="1">
      <c r="A9" s="730" t="s">
        <v>560</v>
      </c>
      <c r="B9" s="731"/>
      <c r="C9" s="731"/>
      <c r="D9" s="731"/>
      <c r="E9" s="731"/>
      <c r="F9" s="731"/>
      <c r="G9" s="731"/>
      <c r="H9" s="731"/>
      <c r="I9" s="731"/>
    </row>
    <row r="12" spans="1:1" ht="13">
      <c r="A12" s="164" t="s">
        <v>509</v>
      </c>
    </row>
    <row r="13" spans="1:2" ht="13">
      <c r="A13" s="164"/>
      <c r="B13" s="165" t="s">
        <v>510</v>
      </c>
    </row>
    <row r="15" spans="1:15" s="166" customFormat="1" ht="45" customHeight="1">
      <c r="A15" s="732" t="s">
        <v>514</v>
      </c>
      <c r="B15" s="732"/>
      <c r="C15" s="732"/>
      <c r="D15" s="732"/>
      <c r="E15" s="732"/>
      <c r="F15" s="732"/>
      <c r="G15" s="732"/>
      <c r="H15" s="732"/>
      <c r="I15" s="732"/>
      <c r="J15" s="168"/>
      <c r="K15" s="168"/>
      <c r="L15" s="168"/>
      <c r="M15" s="168"/>
      <c r="N15" s="168"/>
      <c r="O15" s="168"/>
    </row>
    <row r="18" spans="1:1" ht="13">
      <c r="A18" s="164" t="s">
        <v>511</v>
      </c>
    </row>
    <row r="19" spans="1:1" ht="13">
      <c r="A19" s="164"/>
    </row>
    <row r="20" spans="1:3" ht="12.5">
      <c r="A20" s="163" t="s">
        <v>512</v>
      </c>
      <c r="C20" s="163" t="s">
        <v>513</v>
      </c>
    </row>
    <row r="21" spans="1:3" ht="12.5">
      <c r="A21" s="163">
        <v>352</v>
      </c>
      <c r="C21" s="167">
        <v>0.0224</v>
      </c>
    </row>
    <row r="22" spans="1:3" ht="12.5">
      <c r="A22" s="163">
        <v>353</v>
      </c>
      <c r="C22" s="167">
        <v>0.0206</v>
      </c>
    </row>
    <row r="23" spans="1:3" ht="12.5">
      <c r="A23" s="163">
        <v>354</v>
      </c>
      <c r="C23" s="167">
        <v>0.0224</v>
      </c>
    </row>
    <row r="24" spans="1:3" ht="12.5">
      <c r="A24" s="163">
        <v>355</v>
      </c>
      <c r="C24" s="167">
        <v>0.0309</v>
      </c>
    </row>
    <row r="25" spans="1:3" ht="12.5">
      <c r="A25" s="163">
        <v>356</v>
      </c>
      <c r="C25" s="167">
        <v>0.0269</v>
      </c>
    </row>
    <row r="26" spans="1:3" ht="12.5">
      <c r="A26" s="163">
        <v>357</v>
      </c>
      <c r="C26" s="167">
        <v>0.02</v>
      </c>
    </row>
    <row r="27" spans="1:3" ht="12.5">
      <c r="A27" s="163">
        <v>358</v>
      </c>
      <c r="C27" s="167">
        <v>0.020400000000000001</v>
      </c>
    </row>
    <row r="28" spans="1:3" ht="12.5">
      <c r="A28" s="163">
        <v>359</v>
      </c>
      <c r="C28" s="167">
        <v>0.013299999999999999</v>
      </c>
    </row>
  </sheetData>
  <mergeCells count="2">
    <mergeCell ref="A9:I9"/>
    <mergeCell ref="A15:I15"/>
  </mergeCells>
  <pageMargins left="0.7" right="0.7" top="0.75" bottom="0.75" header="0.3" footer="0.3"/>
  <pageSetup orientation="portrait" scale="6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G16"/>
  <sheetViews>
    <sheetView view="pageBreakPreview" zoomScale="85" zoomScaleNormal="100" zoomScaleSheetLayoutView="85" workbookViewId="0" topLeftCell="A1">
      <selection pane="topLeft" activeCell="C2" sqref="C2"/>
    </sheetView>
  </sheetViews>
  <sheetFormatPr defaultColWidth="8.91714285714286" defaultRowHeight="12.5"/>
  <cols>
    <col min="1" max="1" width="8.92857142857143" style="192"/>
    <col min="2" max="2" width="2.85714285714286" style="192" customWidth="1"/>
    <col min="3" max="3" width="25.1428571428571" style="192" customWidth="1"/>
    <col min="4" max="6" width="15.8571428571429" style="192" customWidth="1"/>
    <col min="7" max="7" width="16.8571428571429" style="192" customWidth="1"/>
    <col min="8" max="16384" width="8.92857142857143" style="192"/>
  </cols>
  <sheetData>
    <row r="1" spans="1:2" ht="15.5">
      <c r="A1" s="79" t="str">
        <f ca="1">RIGHT(CELL("filename",E2),LEN(CELL("filename",E2))-FIND("]",CELL("filename",E2)))</f>
        <v>WP08 Tax Rates</v>
      </c>
      <c r="B1" s="79"/>
    </row>
    <row r="2" spans="1:2" ht="13">
      <c r="A2" s="193"/>
      <c r="B2" s="193"/>
    </row>
    <row r="4" spans="2:7" ht="13.5" thickBot="1">
      <c r="B4" s="194" t="s">
        <v>585</v>
      </c>
      <c r="C4" s="194"/>
      <c r="D4" s="194"/>
      <c r="E4" s="194"/>
      <c r="F4" s="194"/>
      <c r="G4" s="194"/>
    </row>
    <row r="6" spans="3:4" ht="12.5">
      <c r="C6" s="192" t="s">
        <v>581</v>
      </c>
      <c r="D6" s="195">
        <v>0.20999999999999999</v>
      </c>
    </row>
    <row r="7" spans="3:3" ht="25">
      <c r="C7" s="196" t="s">
        <v>586</v>
      </c>
    </row>
    <row r="8" spans="3:3" ht="12.5">
      <c r="C8" s="196"/>
    </row>
    <row r="9" spans="3:3" ht="12.5">
      <c r="C9" s="196"/>
    </row>
    <row r="10" spans="2:7" ht="13.5" thickBot="1">
      <c r="B10" s="194" t="s">
        <v>587</v>
      </c>
      <c r="C10" s="194"/>
      <c r="D10" s="194"/>
      <c r="E10" s="194"/>
      <c r="F10" s="194"/>
      <c r="G10" s="194"/>
    </row>
    <row r="11" spans="2:7" ht="13">
      <c r="B11" s="193"/>
      <c r="C11" s="193"/>
      <c r="D11" s="193"/>
      <c r="E11" s="193"/>
      <c r="F11" s="193"/>
      <c r="G11" s="193"/>
    </row>
    <row r="12" spans="4:7" ht="12.5">
      <c r="D12" s="197" t="s">
        <v>588</v>
      </c>
      <c r="E12" s="197" t="s">
        <v>589</v>
      </c>
      <c r="F12" s="197" t="s">
        <v>590</v>
      </c>
      <c r="G12" s="197" t="s">
        <v>591</v>
      </c>
    </row>
    <row r="13" spans="4:7" ht="25">
      <c r="D13" s="197"/>
      <c r="E13" s="197"/>
      <c r="F13" s="197"/>
      <c r="G13" s="198" t="s">
        <v>586</v>
      </c>
    </row>
    <row r="14" spans="3:6" ht="12.5">
      <c r="C14" s="192" t="s">
        <v>583</v>
      </c>
      <c r="D14" s="195">
        <v>0.022155999999999999</v>
      </c>
      <c r="E14" s="195">
        <v>0.089899999999999994</v>
      </c>
      <c r="F14" s="195">
        <v>0.065000000000000002</v>
      </c>
    </row>
    <row r="15" spans="3:6" ht="12.5">
      <c r="C15" s="192" t="s">
        <v>584</v>
      </c>
      <c r="D15" s="195">
        <v>0.43749529999999998</v>
      </c>
      <c r="E15" s="195">
        <v>0.074624999999999997</v>
      </c>
      <c r="F15" s="195">
        <v>0</v>
      </c>
    </row>
    <row r="16" spans="3:7" ht="13" thickBot="1">
      <c r="C16" s="192" t="s">
        <v>582</v>
      </c>
      <c r="D16" s="199">
        <f>D14*D15</f>
        <v>0.0096931458667999983</v>
      </c>
      <c r="E16" s="199">
        <f t="shared" si="0" ref="E16:F16">E14*E15</f>
        <v>0.0067087874999999996</v>
      </c>
      <c r="F16" s="199">
        <f t="shared" si="0"/>
        <v>0</v>
      </c>
      <c r="G16" s="199">
        <f>SUM(D16:F16)</f>
        <v>0.016401933366799997</v>
      </c>
    </row>
    <row r="17" ht="13" thickTop="1"/>
  </sheetData>
  <pageMargins left="0.7" right="0.7" top="0.75" bottom="0.75" header="0.3" footer="0.3"/>
  <pageSetup orientation="portrait" scale="60" r:id="rId1"/>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A8A5E90874264CBBFD80D2931C1736" ma:contentTypeVersion="12" ma:contentTypeDescription="Create a new document." ma:contentTypeScope="" ma:versionID="481b8056d8c9ac563b70205ec25ae178">
  <xsd:schema xmlns:xsd="http://www.w3.org/2001/XMLSchema" xmlns:xs="http://www.w3.org/2001/XMLSchema" xmlns:p="http://schemas.microsoft.com/office/2006/metadata/properties" xmlns:ns3="da9b5dda-d58a-4613-ad74-520b74370834" xmlns:ns4="50b53374-515b-46b3-9aaf-47fad546b105" targetNamespace="http://schemas.microsoft.com/office/2006/metadata/properties" ma:root="true" ma:fieldsID="cded0efebac5f23aa25bfc2dee7b07ed" ns3:_="" ns4:_="">
    <xsd:import namespace="da9b5dda-d58a-4613-ad74-520b74370834"/>
    <xsd:import namespace="50b53374-515b-46b3-9aaf-47fad546b1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b5dda-d58a-4613-ad74-520b743708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b53374-515b-46b3-9aaf-47fad546b1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FB3032-A37F-4C7B-856C-8E895F5206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b53374-515b-46b3-9aaf-47fad546b105"/>
    <ds:schemaRef ds:uri="da9b5dda-d58a-4613-ad74-520b74370834"/>
    <ds:schemaRef ds:uri="http://www.w3.org/XML/1998/namespace"/>
    <ds:schemaRef ds:uri="http://purl.org/dc/dcmitype/"/>
  </ds:schemaRefs>
</ds:datastoreItem>
</file>

<file path=customXml/itemProps2.xml><?xml version="1.0" encoding="utf-8"?>
<ds:datastoreItem xmlns:ds="http://schemas.openxmlformats.org/officeDocument/2006/customXml" ds:itemID="{350BC97A-8A7E-4777-BD4D-D35879A5886B}">
  <ds:schemaRefs>
    <ds:schemaRef ds:uri="http://schemas.microsoft.com/sharepoint/v3/contenttype/forms"/>
  </ds:schemaRefs>
</ds:datastoreItem>
</file>

<file path=customXml/itemProps3.xml><?xml version="1.0" encoding="utf-8"?>
<ds:datastoreItem xmlns:ds="http://schemas.openxmlformats.org/officeDocument/2006/customXml" ds:itemID="{AB45ABF3-C8D6-4CD5-BB0C-0D182D5B8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b5dda-d58a-4613-ad74-520b74370834"/>
    <ds:schemaRef ds:uri="50b53374-515b-46b3-9aaf-47fad546b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Attachment H-21-A ATSI </vt:lpstr>
      <vt:lpstr>Appendix A-ATSI Sched 1A</vt:lpstr>
      <vt:lpstr>Appendix B-Veg</vt:lpstr>
      <vt:lpstr>Appendix C-RRCA</vt:lpstr>
      <vt:lpstr>Appendix D-TEC</vt:lpstr>
      <vt:lpstr>Appendix D-True-up</vt:lpstr>
      <vt:lpstr>Appendix E-MTEP Credit</vt:lpstr>
      <vt:lpstr>Appendix E-True-up</vt:lpstr>
      <vt:lpstr>Appendix F-MTEP Debit</vt:lpstr>
      <vt:lpstr>Appendix G-Inc Tax Adj</vt:lpstr>
      <vt:lpstr>Appendix G(1) - Excess_Def ADIT</vt:lpstr>
      <vt:lpstr>Appendix G(2) -Excess_Def WP</vt:lpstr>
      <vt:lpstr>Appendix G(3) - ADIT</vt:lpstr>
      <vt:lpstr>Appendix H-Rev Req True-up Adj</vt:lpstr>
      <vt:lpstr>WP01 Plant</vt:lpstr>
      <vt:lpstr>WP02 Accum Depr</vt:lpstr>
      <vt:lpstr>WP03-A - ADIT Norm</vt:lpstr>
      <vt:lpstr>WP03-B - ADIT Detail</vt:lpstr>
      <vt:lpstr>WP04 Other RB</vt:lpstr>
      <vt:lpstr>WP05 Other Tax</vt:lpstr>
      <vt:lpstr>WP06 Cap Structure</vt:lpstr>
      <vt:lpstr>WP07 Stated-value Inputs</vt:lpstr>
      <vt:lpstr>WP08 Tax Rates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2024-05-01T14:45:43Z</cp:lastPrinted>
  <dcterms:created xsi:type="dcterms:W3CDTF">2024-05-01T18:09:15Z</dcterms:created>
  <dcterms:modified xsi:type="dcterms:W3CDTF">2024-05-01T18:09:15Z</dcterms:modified>
  <cp:category/>
</cp:coreProperties>
</file>