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705" yWindow="135" windowWidth="13620" windowHeight="11760" firstSheet="3" activeTab="7"/>
  </bookViews>
  <sheets>
    <sheet name="EKPC" sheetId="1" r:id="rId1"/>
    <sheet name="KU Sched 1" sheetId="69" r:id="rId2"/>
    <sheet name="Appx A - Sch 1A" sheetId="50" r:id="rId3"/>
    <sheet name="Appx B - RTEP" sheetId="41" r:id="rId4"/>
    <sheet name="Appx C - True Up" sheetId="68" r:id="rId5"/>
    <sheet name="Appx D - Deprec" sheetId="64" r:id="rId6"/>
    <sheet name="Pg 1 of 8 M&amp;S Alloc" sheetId="66" r:id="rId7"/>
    <sheet name="P 2 of 8 Land Held for Future" sheetId="32" r:id="rId8"/>
    <sheet name="Pg 3 of 8 G&amp;A Adj" sheetId="19" r:id="rId9"/>
    <sheet name="Pg 4 of 8 Sch 1 Charges 561" sheetId="9" r:id="rId10"/>
    <sheet name="Pg 5 of 8 Trans Plant In OATT" sheetId="37" r:id="rId11"/>
    <sheet name="Pg 6 of 8 Rev Cred Support" sheetId="20" r:id="rId12"/>
    <sheet name="Pg 7 of 8 Cap Str" sheetId="26" r:id="rId13"/>
    <sheet name="Pg 8 of 8 Peak Load" sheetId="67" r:id="rId14"/>
  </sheets>
  <externalReferences>
    <externalReference r:id="rId15"/>
  </externalReference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Adj'!$B$1:$D$39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2">'Appx A - Sch 1A'!$A$6:$I$49</definedName>
    <definedName name="_xlnm.Print_Area" localSheetId="3">'Appx B - RTEP'!$A$1:$I$54,'Appx B - RTEP'!$K$50:$X$98</definedName>
    <definedName name="_xlnm.Print_Area" localSheetId="4">'Appx C - True Up'!$A$1:$F$61</definedName>
    <definedName name="_xlnm.Print_Area" localSheetId="5">'Appx D - Deprec'!$A$1:$H$40</definedName>
    <definedName name="_xlnm.Print_Area" localSheetId="0">EKPC!$A$1:$J$305</definedName>
    <definedName name="_xlnm.Print_Area" localSheetId="1">'KU Sched 1'!$A$1:$H$49</definedName>
    <definedName name="_xlnm.Print_Area" localSheetId="7">'P 2 of 8 Land Held for Future'!$A$1:$E$28</definedName>
    <definedName name="_xlnm.Print_Area" localSheetId="6">'Pg 1 of 8 M&amp;S Alloc'!$A$1:$I$22</definedName>
    <definedName name="_xlnm.Print_Area" localSheetId="8">'Pg 3 of 8 G&amp;A Adj'!$A$1:$E$44</definedName>
    <definedName name="_xlnm.Print_Area" localSheetId="9">'Pg 4 of 8 Sch 1 Charges 561'!$A$1:$E$46</definedName>
    <definedName name="_xlnm.Print_Area" localSheetId="10">'Pg 5 of 8 Trans Plant In OATT'!$A$1:$D$25</definedName>
    <definedName name="_xlnm.Print_Area" localSheetId="11">'Pg 6 of 8 Rev Cred Support'!$A$1:$F$54</definedName>
    <definedName name="_xlnm.Print_Area" localSheetId="12">'Pg 7 of 8 Cap Str'!$A$1:$G$35</definedName>
    <definedName name="_xlnm.Print_Area" localSheetId="13">'Pg 8 of 8 Peak Load'!$A$1:$P$39</definedName>
    <definedName name="SCH_1A">'Appx A - Sch 1A'!$A$1:$H$46</definedName>
  </definedNames>
  <calcPr calcId="125725"/>
</workbook>
</file>

<file path=xl/calcChain.xml><?xml version="1.0" encoding="utf-8"?>
<calcChain xmlns="http://schemas.openxmlformats.org/spreadsheetml/2006/main">
  <c r="G32" i="69"/>
  <c r="G33" i="50"/>
  <c r="C13" i="66" l="1"/>
  <c r="C14"/>
  <c r="D49" i="67" l="1"/>
  <c r="E49"/>
  <c r="F49"/>
  <c r="G49"/>
  <c r="H49"/>
  <c r="I49"/>
  <c r="J49"/>
  <c r="K49"/>
  <c r="L49"/>
  <c r="M49"/>
  <c r="N49"/>
  <c r="C49"/>
  <c r="E31" i="20"/>
  <c r="D33" i="19" l="1"/>
  <c r="D32"/>
  <c r="D31"/>
  <c r="H35" i="67" l="1"/>
  <c r="D35"/>
  <c r="E35"/>
  <c r="F35"/>
  <c r="G35"/>
  <c r="I35"/>
  <c r="J35"/>
  <c r="K35"/>
  <c r="L35"/>
  <c r="M35"/>
  <c r="N35"/>
  <c r="C35"/>
  <c r="O47"/>
  <c r="P47" s="1"/>
  <c r="O49" l="1"/>
  <c r="P49" s="1"/>
  <c r="O43"/>
  <c r="P43" s="1"/>
  <c r="D33" i="9" l="1"/>
  <c r="D24"/>
  <c r="E76" i="1" l="1"/>
  <c r="D30" i="19" l="1"/>
  <c r="G23" i="69" l="1"/>
  <c r="E34" i="20" l="1"/>
  <c r="E219" i="1" l="1"/>
  <c r="E149"/>
  <c r="E83"/>
  <c r="E78"/>
  <c r="D45" i="69" l="1"/>
  <c r="D44"/>
  <c r="E39"/>
  <c r="B37"/>
  <c r="B39" s="1"/>
  <c r="G33"/>
  <c r="G35" s="1"/>
  <c r="D29"/>
  <c r="D27"/>
  <c r="A6"/>
  <c r="E52" i="68"/>
  <c r="E51"/>
  <c r="E18"/>
  <c r="C31" l="1"/>
  <c r="C305" i="1"/>
  <c r="A37" i="68"/>
  <c r="A6"/>
  <c r="A7" i="41"/>
  <c r="B54" i="20"/>
  <c r="B53"/>
  <c r="B51"/>
  <c r="B7" i="26"/>
  <c r="B6"/>
  <c r="G1"/>
  <c r="G34" i="50"/>
  <c r="A13" i="67"/>
  <c r="B43" i="19"/>
  <c r="B22" i="66"/>
  <c r="C58" i="68"/>
  <c r="C54" i="41"/>
  <c r="D45" i="50"/>
  <c r="C300" i="1"/>
  <c r="C293"/>
  <c r="C292"/>
  <c r="C291"/>
  <c r="C290"/>
  <c r="C287"/>
  <c r="C279"/>
  <c r="B21" i="20"/>
  <c r="G36" i="50" l="1"/>
  <c r="D35" i="19"/>
  <c r="D37" s="1"/>
  <c r="C48" i="41" l="1"/>
  <c r="C47"/>
  <c r="B25" i="37" l="1"/>
  <c r="B28" i="9"/>
  <c r="B19"/>
  <c r="B41" i="19"/>
  <c r="C57" i="68"/>
  <c r="C27"/>
  <c r="C28"/>
  <c r="E142" i="1" l="1"/>
  <c r="J142" s="1"/>
  <c r="A268" l="1"/>
  <c r="A270"/>
  <c r="C302"/>
  <c r="A18" i="32" l="1"/>
  <c r="A19" s="1"/>
  <c r="A20" s="1"/>
  <c r="A21" s="1"/>
  <c r="A22" s="1"/>
  <c r="A23" s="1"/>
  <c r="D19" i="19"/>
  <c r="E140" i="1"/>
  <c r="E21"/>
  <c r="B46" i="9" l="1"/>
  <c r="C61" i="68"/>
  <c r="C29"/>
  <c r="A41"/>
  <c r="M86" i="41"/>
  <c r="M92"/>
  <c r="M91"/>
  <c r="E41"/>
  <c r="E37"/>
  <c r="E31"/>
  <c r="E27"/>
  <c r="E23"/>
  <c r="E20"/>
  <c r="E19"/>
  <c r="C59" i="68"/>
  <c r="A12" i="41"/>
  <c r="A10" i="68"/>
  <c r="J260" i="1"/>
  <c r="D44" i="50"/>
  <c r="J182" i="1"/>
  <c r="C303"/>
  <c r="B35" i="26"/>
  <c r="E48" i="68" l="1"/>
  <c r="E50" s="1"/>
  <c r="E53" s="1"/>
  <c r="A16"/>
  <c r="A17" s="1"/>
  <c r="A18" s="1"/>
  <c r="A19" s="1"/>
  <c r="A20" s="1"/>
  <c r="A21" s="1"/>
  <c r="A22" s="1"/>
  <c r="A23" s="1"/>
  <c r="A24" s="1"/>
  <c r="A46" s="1"/>
  <c r="A47" s="1"/>
  <c r="A48" s="1"/>
  <c r="A49" s="1"/>
  <c r="A50" s="1"/>
  <c r="A51" s="1"/>
  <c r="A52" s="1"/>
  <c r="A53" s="1"/>
  <c r="A54" s="1"/>
  <c r="E54" l="1"/>
  <c r="G27" i="69" s="1"/>
  <c r="A8" i="68"/>
  <c r="A39" s="1"/>
  <c r="E4"/>
  <c r="E35" s="1"/>
  <c r="E1"/>
  <c r="E32" s="1"/>
  <c r="G23" i="1"/>
  <c r="G141"/>
  <c r="C47" i="68" l="1"/>
  <c r="C17"/>
  <c r="D29" i="50"/>
  <c r="D27" l="1"/>
  <c r="C18" i="68"/>
  <c r="C49"/>
  <c r="C46"/>
  <c r="C19"/>
  <c r="C16"/>
  <c r="J236" i="1" l="1"/>
  <c r="C24" i="26"/>
  <c r="C26" s="1"/>
  <c r="D25" s="1"/>
  <c r="P1" i="67"/>
  <c r="J235" i="1" l="1"/>
  <c r="E241" s="1"/>
  <c r="D24" i="26"/>
  <c r="B7" i="20"/>
  <c r="B6"/>
  <c r="F1"/>
  <c r="B7" i="37"/>
  <c r="B6"/>
  <c r="D1"/>
  <c r="A7" i="9" l="1"/>
  <c r="A6"/>
  <c r="E1"/>
  <c r="B7" i="19"/>
  <c r="B6"/>
  <c r="E1"/>
  <c r="B7" i="32"/>
  <c r="B6"/>
  <c r="E1"/>
  <c r="I1" i="66"/>
  <c r="A14"/>
  <c r="A15" s="1"/>
  <c r="A16" s="1"/>
  <c r="H1" i="64"/>
  <c r="A6"/>
  <c r="B7" i="66"/>
  <c r="H19" i="1" l="1"/>
  <c r="A10" i="26"/>
  <c r="B2" i="67"/>
  <c r="N31" l="1"/>
  <c r="N33" s="1"/>
  <c r="M31"/>
  <c r="M33" s="1"/>
  <c r="L31"/>
  <c r="L33" s="1"/>
  <c r="K31"/>
  <c r="K33" s="1"/>
  <c r="J31"/>
  <c r="J33" s="1"/>
  <c r="I31"/>
  <c r="I33" s="1"/>
  <c r="H31"/>
  <c r="H33" s="1"/>
  <c r="G31"/>
  <c r="G33" s="1"/>
  <c r="F31"/>
  <c r="E31"/>
  <c r="E33" s="1"/>
  <c r="D31"/>
  <c r="D33" s="1"/>
  <c r="O30"/>
  <c r="P30" s="1"/>
  <c r="O29"/>
  <c r="P29" s="1"/>
  <c r="O28"/>
  <c r="P28" s="1"/>
  <c r="O27"/>
  <c r="P27" s="1"/>
  <c r="O26"/>
  <c r="P26" s="1"/>
  <c r="O25"/>
  <c r="P25" s="1"/>
  <c r="O24"/>
  <c r="P24" s="1"/>
  <c r="O23"/>
  <c r="P23" s="1"/>
  <c r="O22"/>
  <c r="P22" s="1"/>
  <c r="O21"/>
  <c r="P21" s="1"/>
  <c r="O20"/>
  <c r="P20" s="1"/>
  <c r="O19"/>
  <c r="P19" s="1"/>
  <c r="O18"/>
  <c r="P18" s="1"/>
  <c r="O17"/>
  <c r="P17" s="1"/>
  <c r="C31"/>
  <c r="O15"/>
  <c r="P15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3" s="1"/>
  <c r="A35" s="1"/>
  <c r="O10"/>
  <c r="C16" i="66"/>
  <c r="E15" s="1"/>
  <c r="G15" s="1"/>
  <c r="F33" i="67" l="1"/>
  <c r="C33"/>
  <c r="P10"/>
  <c r="E14" i="66"/>
  <c r="G14" s="1"/>
  <c r="I16" s="1"/>
  <c r="E111" i="1" s="1"/>
  <c r="E13" i="66"/>
  <c r="G13" s="1"/>
  <c r="O31" i="67"/>
  <c r="O33" s="1"/>
  <c r="O35" l="1"/>
  <c r="P31"/>
  <c r="P33" s="1"/>
  <c r="E16" i="66"/>
  <c r="J31" i="1"/>
  <c r="P35" i="67" l="1"/>
  <c r="J230" i="1"/>
  <c r="E242" l="1"/>
  <c r="J238"/>
  <c r="J32"/>
  <c r="G37" i="69" s="1"/>
  <c r="J57" i="1"/>
  <c r="J118"/>
  <c r="C20" i="26"/>
  <c r="A19"/>
  <c r="A20" s="1"/>
  <c r="A24" s="1"/>
  <c r="A25" s="1"/>
  <c r="A26" s="1"/>
  <c r="A28" s="1"/>
  <c r="I1" i="41"/>
  <c r="E16" s="1"/>
  <c r="G1" i="50"/>
  <c r="E24" i="26" l="1"/>
  <c r="E243" i="1"/>
  <c r="F241" s="1"/>
  <c r="H241" l="1"/>
  <c r="J241" s="1"/>
  <c r="E167" s="1"/>
  <c r="F24" i="26"/>
  <c r="E25" s="1"/>
  <c r="F242" i="1"/>
  <c r="H242" l="1"/>
  <c r="J242" s="1"/>
  <c r="J243" s="1"/>
  <c r="J245" s="1"/>
  <c r="F25" i="26"/>
  <c r="F26" s="1"/>
  <c r="F28" s="1"/>
  <c r="D37" i="9" l="1"/>
  <c r="D42" s="1"/>
  <c r="G18" i="50" l="1"/>
  <c r="A4" i="64"/>
  <c r="A9" i="41"/>
  <c r="A6" i="50"/>
  <c r="A192" i="1"/>
  <c r="A128"/>
  <c r="A67"/>
  <c r="G19" i="50" l="1"/>
  <c r="G20" s="1"/>
  <c r="G25" s="1"/>
  <c r="G29" s="1"/>
  <c r="G18" i="69"/>
  <c r="G19" s="1"/>
  <c r="G20" s="1"/>
  <c r="G25" s="1"/>
  <c r="A8" i="50"/>
  <c r="A190" i="1"/>
  <c r="A126"/>
  <c r="A65"/>
  <c r="C23" i="32"/>
  <c r="E107" i="1" s="1"/>
  <c r="C21" i="37"/>
  <c r="J199" i="1" s="1"/>
  <c r="E36" i="20"/>
  <c r="E21"/>
  <c r="E24" s="1"/>
  <c r="J254" i="1" s="1"/>
  <c r="D26" i="9"/>
  <c r="D28" s="1"/>
  <c r="E135" i="1" s="1"/>
  <c r="D19" i="9"/>
  <c r="E137" i="1" s="1"/>
  <c r="D23" i="32"/>
  <c r="I4" i="41"/>
  <c r="G5" i="50"/>
  <c r="G29" i="69" l="1"/>
  <c r="G39" s="1"/>
  <c r="J207" i="1"/>
  <c r="E40" i="20"/>
  <c r="E46" s="1"/>
  <c r="J256" i="1" s="1"/>
  <c r="E20" s="1"/>
  <c r="J144"/>
  <c r="E162" l="1"/>
  <c r="C150" l="1"/>
  <c r="C148"/>
  <c r="E139" l="1"/>
  <c r="G22" l="1"/>
  <c r="G21"/>
  <c r="G20"/>
  <c r="K56" i="41" l="1"/>
  <c r="A267" i="1" l="1"/>
  <c r="A189"/>
  <c r="B39" i="50"/>
  <c r="A125" i="1"/>
  <c r="A64"/>
  <c r="E39" i="50" l="1"/>
  <c r="J251" i="1" l="1"/>
  <c r="J252" s="1"/>
  <c r="J223"/>
  <c r="G160"/>
  <c r="G103"/>
  <c r="G87"/>
  <c r="C87"/>
  <c r="C96" s="1"/>
  <c r="G86"/>
  <c r="C86"/>
  <c r="C95" s="1"/>
  <c r="H85"/>
  <c r="G85"/>
  <c r="C85"/>
  <c r="C94" s="1"/>
  <c r="G84"/>
  <c r="C84"/>
  <c r="H83"/>
  <c r="G83"/>
  <c r="G100" s="1"/>
  <c r="G159" s="1"/>
  <c r="C83"/>
  <c r="C91" s="1"/>
  <c r="J265" l="1"/>
  <c r="J63"/>
  <c r="J124"/>
  <c r="G4" i="26" s="1"/>
  <c r="J188" i="1"/>
  <c r="D4" i="37" l="1"/>
  <c r="F4" i="20"/>
  <c r="E4" i="19"/>
  <c r="E4" i="9"/>
  <c r="E4" i="32"/>
  <c r="W84" i="41"/>
  <c r="K55"/>
  <c r="X54"/>
  <c r="E17" i="32" l="1"/>
  <c r="E18"/>
  <c r="E19"/>
  <c r="E20"/>
  <c r="E21"/>
  <c r="E22"/>
  <c r="H218" i="1"/>
  <c r="H219"/>
  <c r="E23" i="32" l="1"/>
  <c r="E227" i="1"/>
  <c r="H225" s="1"/>
  <c r="E19"/>
  <c r="E220"/>
  <c r="E151"/>
  <c r="E168"/>
  <c r="E95"/>
  <c r="E105"/>
  <c r="E96"/>
  <c r="E88"/>
  <c r="E94"/>
  <c r="H216"/>
  <c r="E92"/>
  <c r="J197"/>
  <c r="E80"/>
  <c r="E91"/>
  <c r="J206" l="1"/>
  <c r="J208" s="1"/>
  <c r="J210" s="1"/>
  <c r="G39" i="50"/>
  <c r="E172" i="1"/>
  <c r="E97"/>
  <c r="J200"/>
  <c r="J202" l="1"/>
  <c r="H23" s="1"/>
  <c r="H22" l="1"/>
  <c r="H20"/>
  <c r="H21"/>
  <c r="H148"/>
  <c r="J148" s="1"/>
  <c r="F217"/>
  <c r="H76"/>
  <c r="J76" s="1"/>
  <c r="J211"/>
  <c r="J212" s="1"/>
  <c r="H136" l="1"/>
  <c r="J136" s="1"/>
  <c r="J19"/>
  <c r="H84"/>
  <c r="J84" s="1"/>
  <c r="G19" i="41"/>
  <c r="H217" i="1"/>
  <c r="J107" l="1"/>
  <c r="J92"/>
  <c r="J20"/>
  <c r="H135"/>
  <c r="H111"/>
  <c r="J111" s="1"/>
  <c r="H220"/>
  <c r="J135" l="1"/>
  <c r="H141"/>
  <c r="G20" i="41"/>
  <c r="J22" i="1"/>
  <c r="J21"/>
  <c r="J220"/>
  <c r="D24" i="19" s="1"/>
  <c r="D26" s="1"/>
  <c r="E141" i="1" s="1"/>
  <c r="E145" l="1"/>
  <c r="E110" s="1"/>
  <c r="E113" s="1"/>
  <c r="E115" s="1"/>
  <c r="E176" s="1"/>
  <c r="J141"/>
  <c r="H138"/>
  <c r="J138" s="1"/>
  <c r="H156"/>
  <c r="J156" s="1"/>
  <c r="H155"/>
  <c r="J155" s="1"/>
  <c r="H139"/>
  <c r="J139" s="1"/>
  <c r="H137"/>
  <c r="J137" s="1"/>
  <c r="J225"/>
  <c r="H78"/>
  <c r="J78" s="1"/>
  <c r="H86" l="1"/>
  <c r="J86" s="1"/>
  <c r="E171"/>
  <c r="E173" s="1"/>
  <c r="E178" s="1"/>
  <c r="J95" l="1"/>
  <c r="H79"/>
  <c r="J79" s="1"/>
  <c r="H87" l="1"/>
  <c r="J87" s="1"/>
  <c r="H149"/>
  <c r="J149" s="1"/>
  <c r="H143" l="1"/>
  <c r="J143" s="1"/>
  <c r="J145" s="1"/>
  <c r="J80"/>
  <c r="H150" l="1"/>
  <c r="H80"/>
  <c r="J88"/>
  <c r="J96"/>
  <c r="J150" l="1"/>
  <c r="J151" s="1"/>
  <c r="J110"/>
  <c r="H158"/>
  <c r="J158" s="1"/>
  <c r="H112"/>
  <c r="J112" s="1"/>
  <c r="J97"/>
  <c r="G27" i="41" l="1"/>
  <c r="G28" s="1"/>
  <c r="I28" s="1"/>
  <c r="H161" i="1"/>
  <c r="J161" s="1"/>
  <c r="H160"/>
  <c r="J160" s="1"/>
  <c r="G23" i="41"/>
  <c r="G24" s="1"/>
  <c r="I24" s="1"/>
  <c r="H97" i="1"/>
  <c r="H101" s="1"/>
  <c r="J162" l="1"/>
  <c r="H102"/>
  <c r="J102" s="1"/>
  <c r="J101"/>
  <c r="J113"/>
  <c r="H172"/>
  <c r="H103" l="1"/>
  <c r="J103" s="1"/>
  <c r="H104"/>
  <c r="J104" s="1"/>
  <c r="J172"/>
  <c r="G31" i="41" l="1"/>
  <c r="G32" s="1"/>
  <c r="I32" s="1"/>
  <c r="I34" l="1"/>
  <c r="P66" s="1"/>
  <c r="Q66" s="1"/>
  <c r="P64" l="1"/>
  <c r="Q64" s="1"/>
  <c r="P65"/>
  <c r="Q65" s="1"/>
  <c r="J105" i="1"/>
  <c r="J115" l="1"/>
  <c r="J176" s="1"/>
  <c r="G41" i="41" l="1"/>
  <c r="G42" s="1"/>
  <c r="I42" s="1"/>
  <c r="J171" i="1"/>
  <c r="J173" s="1"/>
  <c r="J178" s="1"/>
  <c r="J15" l="1"/>
  <c r="G38" i="41" l="1"/>
  <c r="I38" s="1"/>
  <c r="I44" s="1"/>
  <c r="S66" l="1"/>
  <c r="T66" s="1"/>
  <c r="V66" s="1"/>
  <c r="X66" s="1"/>
  <c r="S65"/>
  <c r="T65" s="1"/>
  <c r="V65" s="1"/>
  <c r="X65" s="1"/>
  <c r="S64"/>
  <c r="T64" s="1"/>
  <c r="V64" s="1"/>
  <c r="V84" l="1"/>
  <c r="X64"/>
  <c r="X84" s="1"/>
  <c r="X86" s="1"/>
  <c r="E23" i="1" s="1"/>
  <c r="J24" l="1"/>
  <c r="J23"/>
  <c r="E20" i="68"/>
  <c r="E23" s="1"/>
  <c r="E24" l="1"/>
  <c r="J28" i="1" s="1"/>
  <c r="E40" l="1"/>
  <c r="E44" s="1"/>
  <c r="E42"/>
  <c r="J54"/>
  <c r="E54"/>
  <c r="E52" l="1"/>
  <c r="J52"/>
  <c r="E46"/>
  <c r="E50"/>
</calcChain>
</file>

<file path=xl/sharedStrings.xml><?xml version="1.0" encoding="utf-8"?>
<sst xmlns="http://schemas.openxmlformats.org/spreadsheetml/2006/main" count="931" uniqueCount="638">
  <si>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</si>
  <si>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</si>
  <si>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</si>
  <si>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</si>
  <si>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</si>
  <si>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</si>
  <si>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</si>
  <si>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</si>
  <si>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</si>
  <si>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</si>
  <si>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</si>
  <si>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</si>
  <si>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</si>
  <si>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</si>
  <si>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</si>
  <si>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</si>
  <si>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</si>
  <si>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</si>
  <si>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</si>
  <si>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</si>
  <si>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</si>
  <si>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</si>
  <si>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</si>
  <si>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</si>
  <si>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</si>
  <si>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</si>
  <si>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</si>
  <si>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</si>
  <si>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</si>
  <si>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</si>
  <si>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</si>
  <si>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</si>
  <si>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</si>
  <si>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</si>
  <si>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</si>
  <si>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</si>
  <si>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</si>
  <si>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</si>
  <si>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</si>
  <si>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</si>
  <si>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</si>
  <si>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</si>
  <si>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</si>
  <si>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</si>
  <si>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</si>
  <si>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</si>
  <si>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</si>
  <si>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</si>
  <si>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</si>
  <si>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</si>
  <si>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</si>
  <si>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</si>
  <si>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</si>
  <si>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</si>
  <si>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</si>
  <si>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</si>
  <si>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</si>
  <si>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</si>
  <si>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</si>
  <si>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</si>
  <si>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</si>
  <si>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</si>
  <si>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</si>
  <si>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</si>
  <si>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</si>
  <si>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</si>
  <si>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</si>
  <si>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</si>
  <si>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</si>
  <si>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</si>
  <si>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</si>
  <si>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</si>
  <si>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</si>
  <si>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</si>
  <si>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</si>
  <si>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</si>
  <si>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</si>
  <si>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</si>
  <si>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</si>
  <si>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</si>
  <si>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</si>
  <si>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</si>
  <si>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</si>
  <si>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</si>
  <si>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</si>
  <si>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</si>
  <si>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</si>
  <si>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</si>
  <si>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</si>
  <si>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</si>
  <si>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</si>
  <si>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</si>
  <si>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</si>
  <si>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</si>
  <si>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</si>
  <si>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</si>
  <si>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</si>
  <si>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</si>
  <si>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</si>
  <si>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</si>
  <si>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</si>
  <si>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</si>
  <si>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</si>
  <si>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</si>
  <si>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</si>
  <si>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</si>
  <si>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</si>
  <si>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</si>
  <si>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</si>
  <si>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</si>
  <si>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</si>
  <si>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</si>
  <si>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</si>
  <si>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</si>
  <si>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</si>
  <si>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</si>
  <si>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</si>
  <si>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</si>
  <si>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</si>
  <si>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</si>
  <si>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</si>
  <si>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</si>
  <si>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</si>
  <si>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</si>
  <si>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</si>
  <si>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</si>
  <si>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</si>
  <si>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</si>
  <si>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</si>
  <si>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</si>
  <si>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</si>
  <si>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</si>
  <si>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</si>
  <si>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</si>
  <si>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</si>
  <si>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</si>
  <si>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</si>
  <si>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</si>
  <si>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</si>
  <si>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</si>
  <si>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</si>
  <si>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</si>
  <si>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</si>
  <si>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</si>
  <si>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</si>
  <si>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</si>
  <si>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</si>
  <si>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</si>
  <si>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</si>
  <si>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</si>
  <si>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</si>
  <si>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</si>
  <si>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</si>
  <si>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</si>
  <si>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</si>
  <si>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</si>
  <si>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</si>
  <si>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</si>
  <si>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</si>
  <si>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</si>
  <si>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</si>
  <si>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</si>
  <si>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</si>
  <si>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</si>
  <si>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</si>
  <si>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</si>
  <si>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</si>
  <si>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</si>
  <si>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</si>
  <si>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</si>
  <si>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</si>
  <si>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</si>
  <si>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</si>
  <si>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</si>
  <si>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</si>
  <si>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</si>
  <si>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</si>
  <si>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</si>
  <si>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</si>
  <si>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</si>
  <si>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</si>
  <si>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</si>
  <si>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</si>
  <si>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</si>
  <si>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</si>
  <si>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</si>
  <si>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</si>
  <si>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</si>
  <si>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</si>
  <si>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</si>
  <si>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</si>
  <si>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</si>
  <si>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</si>
  <si>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</si>
  <si>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</si>
  <si>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</si>
  <si>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</si>
  <si>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</si>
  <si>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</si>
  <si>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</si>
  <si>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</si>
  <si>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</si>
  <si>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</si>
  <si>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</si>
  <si>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</si>
  <si>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</si>
  <si>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</si>
  <si>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</si>
  <si>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</si>
  <si>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</si>
  <si>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</si>
  <si>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</si>
  <si>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</si>
  <si>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</si>
  <si>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</si>
  <si>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</si>
  <si>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</si>
  <si>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</si>
  <si>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</si>
  <si>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</si>
  <si>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</si>
  <si>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</si>
  <si>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</si>
  <si>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</si>
  <si>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</si>
  <si>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</si>
  <si>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</si>
  <si>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</si>
  <si>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</si>
  <si>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</si>
  <si>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</si>
  <si>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</si>
  <si>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</si>
  <si>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</si>
  <si>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</si>
  <si>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</si>
  <si>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</si>
  <si>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</si>
  <si>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</si>
  <si>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</si>
  <si>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</si>
  <si>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</si>
  <si>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</si>
  <si>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</si>
  <si>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</si>
  <si>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</si>
  <si>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</si>
  <si>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</si>
  <si>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</si>
  <si>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</si>
  <si>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</si>
  <si>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</si>
  <si>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</si>
  <si>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</si>
  <si>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</si>
  <si>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</si>
  <si>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</si>
  <si>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</si>
  <si>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</si>
  <si>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</si>
  <si>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</si>
  <si>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</si>
  <si>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</si>
  <si>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</si>
  <si>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</si>
  <si>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</si>
  <si>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</si>
  <si>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</si>
  <si>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</si>
  <si>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</si>
  <si>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</si>
  <si>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</si>
  <si>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</si>
  <si>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</si>
  <si>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</si>
  <si>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</si>
  <si>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</si>
  <si>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</si>
  <si>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</si>
  <si>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TOTAL O&amp;M   (sum lines 1, 2a, 3, 5a, 6, 7 less lines 1a, 2, 4, 5)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</si>
  <si>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</si>
  <si>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</si>
  <si>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</si>
  <si>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</si>
  <si>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</si>
  <si>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</si>
  <si>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</si>
  <si>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</si>
  <si>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</si>
  <si>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</si>
  <si>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</si>
  <si>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</si>
  <si>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</si>
  <si>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</si>
  <si>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</si>
  <si>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</si>
  <si>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</si>
  <si>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</si>
  <si>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</si>
  <si>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</si>
  <si>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</si>
  <si>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</si>
  <si>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</si>
  <si>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</si>
  <si>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</si>
  <si>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</si>
  <si>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</si>
  <si>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</si>
  <si>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</si>
  <si>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</si>
  <si>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</si>
  <si>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</si>
  <si>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</si>
  <si>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</si>
  <si>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</si>
  <si>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</si>
  <si>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</si>
  <si>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</si>
  <si>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</si>
  <si>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TOTAL REVENUE CREDITS  (sum lines 2-5b)</t>
  </si>
  <si>
    <t>East Kentucky Power Cooperative</t>
  </si>
  <si>
    <t>EKPC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</si>
  <si>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</si>
  <si>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</si>
  <si>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</si>
  <si>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</si>
  <si>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</si>
  <si>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</si>
  <si>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</si>
  <si>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</si>
  <si>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</si>
  <si>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</si>
  <si>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</si>
  <si>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</si>
  <si>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</si>
  <si>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</si>
  <si>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</si>
  <si>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</si>
  <si>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</si>
  <si>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</si>
  <si>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</si>
  <si>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</si>
  <si>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</si>
  <si>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</si>
  <si>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</si>
  <si>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</si>
  <si>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</si>
  <si>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</si>
  <si>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</si>
  <si>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</si>
  <si>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</si>
  <si>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</si>
  <si>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</si>
  <si>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</si>
  <si>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</si>
  <si>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</si>
  <si>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</si>
  <si>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</si>
  <si>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</si>
  <si>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</si>
  <si>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 Falmouth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</si>
  <si>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</si>
  <si>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</si>
  <si>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</si>
  <si>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</si>
  <si>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</si>
  <si>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</si>
  <si>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</si>
  <si>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</si>
  <si>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</si>
  <si>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</si>
  <si>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</si>
  <si>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</si>
  <si>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</si>
  <si>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</si>
  <si>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</si>
  <si>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</si>
  <si>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</si>
  <si>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</si>
  <si>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</si>
  <si>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</si>
  <si>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</si>
  <si>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</si>
  <si>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</si>
  <si>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</si>
  <si>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</si>
  <si>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</si>
  <si>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</si>
  <si>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</si>
  <si>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</si>
  <si>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</si>
  <si>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</si>
  <si>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</si>
  <si>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</si>
  <si>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</si>
  <si>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</si>
  <si>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</si>
  <si>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</si>
  <si>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</si>
  <si>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</si>
  <si>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</si>
  <si>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</si>
  <si>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>Reconciliation Adjustment for Transmission Revenue Requirements</t>
  </si>
  <si>
    <t>Reconciliation Adjustment for Schedule 1A Charges</t>
  </si>
  <si>
    <t>(6)</t>
  </si>
  <si>
    <t>(7)</t>
  </si>
  <si>
    <t>(8)</t>
  </si>
  <si>
    <t>6a</t>
  </si>
  <si>
    <t>(line 1 minus line 6 plus line 6a)</t>
  </si>
  <si>
    <t>Number of Months being Trued Up</t>
  </si>
  <si>
    <t xml:space="preserve"> Monthly Interest Rate--Final FERC rate (4)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</si>
  <si>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</si>
  <si>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</si>
  <si>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</si>
  <si>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</si>
  <si>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</si>
  <si>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</si>
  <si>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</si>
  <si>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</si>
  <si>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</si>
  <si>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</si>
  <si>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</si>
  <si>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</si>
  <si>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</si>
  <si>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</si>
  <si>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</si>
  <si>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</si>
  <si>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</si>
  <si>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</si>
  <si>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</si>
  <si>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</si>
  <si>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 xml:space="preserve">True Up Principal &amp; Interest Under(Over) Recovery--Preliminary  (5)                   (Line 9 + Line 15) </t>
  </si>
  <si>
    <t xml:space="preserve">True-Up Principal Under(Over) Recovery before Interest                                   (Line 10 - Line 11 ) </t>
  </si>
  <si>
    <t>True-Up Principal Under(Over) Recovery before Interest                                    (Line 12 - Line 13)</t>
  </si>
  <si>
    <t xml:space="preserve">True Up Principal &amp; Interest Under(Over) Recovery--Preliminary  (10)                 (Line 9 + Line 15) </t>
  </si>
  <si>
    <t>(9)</t>
  </si>
  <si>
    <t>10)</t>
  </si>
  <si>
    <t>NOTES:</t>
  </si>
  <si>
    <t>Depreciation Rates approved in KPSC Case No. 2006-00236.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</si>
  <si>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</si>
  <si>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</si>
  <si>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</si>
  <si>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</si>
  <si>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</si>
  <si>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</si>
  <si>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</si>
  <si>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</si>
  <si>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</si>
  <si>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</si>
  <si>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</si>
  <si>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</si>
  <si>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</si>
  <si>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</si>
  <si>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</si>
  <si>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</si>
  <si>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</si>
  <si>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</si>
  <si>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</si>
  <si>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</si>
  <si>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</si>
  <si>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</si>
  <si>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</si>
  <si>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</si>
  <si>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</si>
  <si>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</si>
  <si>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</si>
  <si>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</si>
  <si>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</si>
  <si>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</si>
  <si>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</si>
  <si>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</si>
  <si>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</si>
  <si>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</si>
  <si>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</si>
  <si>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</si>
  <si>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</si>
  <si>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</si>
  <si>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</si>
  <si>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</si>
  <si>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</si>
  <si>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</si>
  <si>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</si>
  <si>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</si>
  <si>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</si>
  <si>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</si>
  <si>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</si>
  <si>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</si>
  <si>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</si>
  <si>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</si>
  <si>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</si>
  <si>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</si>
  <si>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</si>
  <si>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</si>
  <si>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</si>
  <si>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</si>
  <si>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</si>
  <si>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</si>
  <si>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</si>
  <si>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</si>
  <si>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</si>
  <si>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</si>
  <si>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</si>
  <si>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</si>
  <si>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</si>
  <si>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</si>
  <si>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</si>
  <si>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</si>
  <si>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</si>
  <si>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</si>
  <si>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</si>
  <si>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</si>
  <si>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</si>
  <si>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</si>
  <si>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</si>
  <si>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</si>
  <si>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</si>
  <si>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</si>
  <si>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</si>
  <si>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</si>
  <si>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 xml:space="preserve">Proprietary Capital Cost calculated to achieve TIER of 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</si>
  <si>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</si>
  <si>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</si>
  <si>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</si>
  <si>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</si>
  <si>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</si>
  <si>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</si>
  <si>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</si>
  <si>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</si>
  <si>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</si>
  <si>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</si>
  <si>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</si>
  <si>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</si>
  <si>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</si>
  <si>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</si>
  <si>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</si>
  <si>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</si>
  <si>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</si>
  <si>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</si>
  <si>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</si>
  <si>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</si>
  <si>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</si>
  <si>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</si>
  <si>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</si>
  <si>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</si>
  <si>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>True-Up Principal Under(Over) Recovery before Interest                                         (Line 3 - Line 4)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</si>
  <si>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</si>
  <si>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</si>
  <si>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</si>
  <si>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</si>
  <si>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</si>
  <si>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</si>
  <si>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</si>
  <si>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</si>
  <si>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</si>
  <si>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</si>
  <si>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</si>
  <si>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</si>
  <si>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Interest                                                                                                        (Line 5 x Line 6 x Line 7)</t>
  </si>
  <si>
    <t>(2) Regulatory fees from Kentucky Public Service Commission,  EKPC Form FF1, Ref Pg 321, Account 928</t>
  </si>
  <si>
    <t>(4) Represents direct costs associated with EKPC's integration into PJM (transmission-related only) with three year amortization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</si>
  <si>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</si>
  <si>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</si>
  <si>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</si>
  <si>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</si>
  <si>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</si>
  <si>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</si>
  <si>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</si>
  <si>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</si>
  <si>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</si>
  <si>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</si>
  <si>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</si>
  <si>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</si>
  <si>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</si>
  <si>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</si>
  <si>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</si>
  <si>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</si>
  <si>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</si>
  <si>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</si>
  <si>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</si>
  <si>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</si>
  <si>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</si>
  <si>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</si>
  <si>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</si>
  <si>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</si>
  <si>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</si>
  <si>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</si>
  <si>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</si>
  <si>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</si>
  <si>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</si>
  <si>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</si>
  <si>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</si>
  <si>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>Sourced from EKPC Form FF1, Ref Pg 401, adjusted for equivalent steam sold</t>
  </si>
  <si>
    <t xml:space="preserve"> (1) GSU capital costs that are included in the Transmission capital Account 353; amounts sourced from EKPC's PeopleSoft Asset Management System.</t>
  </si>
  <si>
    <t>Note 5</t>
  </si>
  <si>
    <t>FF1, Ref Page 401, Line 23</t>
  </si>
  <si>
    <t>FF1, Ref Page 401, Line 24</t>
  </si>
  <si>
    <t>R =</t>
  </si>
  <si>
    <t>Note 6</t>
  </si>
  <si>
    <t>FF1, Ref Page 401, Footnote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</si>
  <si>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</si>
  <si>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</si>
  <si>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</si>
  <si>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</si>
  <si>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</si>
  <si>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</si>
  <si>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</si>
  <si>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(1)  Rent from KU for joint use of Rights of Way, Ref Pg 300, Page 2 of 2 (Acct 456) </t>
  </si>
  <si>
    <t xml:space="preserve">Less:  AEP Revenue from retained legacy agreement </t>
  </si>
  <si>
    <t xml:space="preserve"> TIER value approved by KPSC in Case No. 2010-000167</t>
  </si>
  <si>
    <t>Schedule 1 Calculation for KU/LGE</t>
  </si>
  <si>
    <t>Note 7</t>
  </si>
  <si>
    <t>kW</t>
  </si>
  <si>
    <t>Monthly Schedule 1 Charge for KU/LGE</t>
  </si>
  <si>
    <t>$/kW-month</t>
  </si>
  <si>
    <t>See most recent EKPC Attachment H-24A, Supporting Exh, page 4 of 8, line 11</t>
  </si>
  <si>
    <t>EKPC Form FF1, Ref Page 401, Line 23</t>
  </si>
  <si>
    <t>EKPC Form FF1, Ref Page 401, Line 24</t>
  </si>
  <si>
    <t>EKPC Form FF1, Ref Page 401, Footnote</t>
  </si>
  <si>
    <t>See most recent EKPC Attachment H-24A, Page 1 of 5, line 9</t>
  </si>
  <si>
    <t>For the 12 months ended 12/31/2013</t>
  </si>
  <si>
    <t>Utilizing EKPC 2013 Form FF1 Data</t>
  </si>
  <si>
    <t>For Rates Effective January 1, 2013</t>
  </si>
  <si>
    <t>Average monthly EKPC Transmission Peak for 2013</t>
  </si>
  <si>
    <t>2013 Requirements Sales for Resale</t>
  </si>
  <si>
    <t xml:space="preserve"> (1) Costs related to BA activities not included in Schedule 1 Costs</t>
  </si>
  <si>
    <r>
      <t xml:space="preserve">Total Balancing Authority Costs </t>
    </r>
    <r>
      <rPr>
        <b/>
        <sz val="12"/>
        <color rgb="FFFF0000"/>
        <rFont val="Arial"/>
        <family val="2"/>
      </rPr>
      <t>(561.BA)</t>
    </r>
    <r>
      <rPr>
        <sz val="12"/>
        <color rgb="FFFF0000"/>
        <rFont val="Arial"/>
        <family val="2"/>
      </rPr>
      <t xml:space="preserve"> in Adj Transmission Exp</t>
    </r>
  </si>
  <si>
    <t xml:space="preserve">  Duke Kentucky </t>
  </si>
  <si>
    <t xml:space="preserve">  KU/LGE</t>
  </si>
  <si>
    <t>For the 12 months ended 12/31/2014</t>
  </si>
  <si>
    <t xml:space="preserve"> (1) Reflects the system peak demand (coincident peak) during a 60-minute clock hour.  January 2014 -December 2014 information is sourced from EKPC's forecasted demand per PJM Load Forecast Report (January 2014)</t>
  </si>
  <si>
    <t>EKPC Form FF1 for 2013, Ref Pg 112, Row 23 Bal at End of Year</t>
  </si>
  <si>
    <t xml:space="preserve">EKPC Form FF1 for 2013, Ref Pg 112, Row 15, EOY Balance </t>
  </si>
  <si>
    <t>(EKPC Transmission System Load)</t>
  </si>
  <si>
    <t>Plus</t>
  </si>
  <si>
    <t>Total EKPC Firm Transmission System Peak Load</t>
  </si>
  <si>
    <t>2014 PJM Forecast Report - Feb 2014</t>
  </si>
  <si>
    <t>2014 EKPC Wheel-Out Load to LG&amp;E/KU (Est)</t>
  </si>
  <si>
    <t>2013 EKPC Wheel-Out Load to LG&amp;E/KU (Act)</t>
  </si>
</sst>
</file>

<file path=xl/styles.xml><?xml version="1.0" encoding="utf-8"?>
<styleSheet xmlns="http://schemas.openxmlformats.org/spreadsheetml/2006/main">
  <numFmts count="1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&quot;$&quot;#,##0.00000"/>
    <numFmt numFmtId="281" formatCode="_(* #,##0.00000000_);_(* \(#,##0.00000000\);_(* &quot;-&quot;??_);_(@_)"/>
  </numFmts>
  <fonts count="120">
    <font>
      <sz val="12"/>
      <name val="Arial MT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b/>
      <i/>
      <sz val="12"/>
      <color rgb="FFFF0000"/>
      <name val="Arial"/>
      <family val="2"/>
    </font>
    <font>
      <b/>
      <i/>
      <sz val="12"/>
      <color rgb="FF0000FF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i/>
      <sz val="12"/>
      <name val="Arial MT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84">
    <xf numFmtId="173" fontId="0" fillId="0" borderId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>
      <alignment vertical="top"/>
    </xf>
    <xf numFmtId="173" fontId="2" fillId="0" borderId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178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36" fillId="0" borderId="0"/>
    <xf numFmtId="184" fontId="11" fillId="4" borderId="0" applyNumberFormat="0" applyFill="0" applyBorder="0" applyAlignment="0" applyProtection="0">
      <alignment horizontal="right" vertical="center"/>
    </xf>
    <xf numFmtId="184" fontId="15" fillId="0" borderId="0" applyNumberFormat="0" applyFill="0" applyBorder="0" applyAlignment="0" applyProtection="0"/>
    <xf numFmtId="0" fontId="11" fillId="0" borderId="6" applyNumberFormat="0" applyFont="0" applyFill="0" applyAlignment="0" applyProtection="0"/>
    <xf numFmtId="185" fontId="3" fillId="0" borderId="0" applyFont="0" applyFill="0" applyBorder="0" applyAlignment="0" applyProtection="0"/>
    <xf numFmtId="186" fontId="37" fillId="0" borderId="0" applyFont="0" applyFill="0" applyBorder="0" applyProtection="0">
      <alignment horizontal="left"/>
    </xf>
    <xf numFmtId="187" fontId="37" fillId="0" borderId="0" applyFont="0" applyFill="0" applyBorder="0" applyProtection="0">
      <alignment horizontal="left"/>
    </xf>
    <xf numFmtId="188" fontId="37" fillId="0" borderId="0" applyFont="0" applyFill="0" applyBorder="0" applyProtection="0">
      <alignment horizontal="left"/>
    </xf>
    <xf numFmtId="37" fontId="38" fillId="0" borderId="0" applyFont="0" applyFill="0" applyBorder="0" applyAlignment="0" applyProtection="0">
      <alignment vertical="center"/>
      <protection locked="0"/>
    </xf>
    <xf numFmtId="189" fontId="39" fillId="0" borderId="0" applyFont="0" applyFill="0" applyBorder="0" applyAlignment="0" applyProtection="0"/>
    <xf numFmtId="0" fontId="40" fillId="0" borderId="0"/>
    <xf numFmtId="0" fontId="40" fillId="0" borderId="0"/>
    <xf numFmtId="173" fontId="20" fillId="0" borderId="0" applyFill="0"/>
    <xf numFmtId="173" fontId="20" fillId="0" borderId="0">
      <alignment horizontal="center"/>
    </xf>
    <xf numFmtId="0" fontId="20" fillId="0" borderId="0" applyFill="0">
      <alignment horizontal="center"/>
    </xf>
    <xf numFmtId="173" fontId="23" fillId="0" borderId="14" applyFill="0"/>
    <xf numFmtId="0" fontId="11" fillId="0" borderId="0" applyFont="0" applyAlignment="0"/>
    <xf numFmtId="0" fontId="41" fillId="0" borderId="0" applyFill="0">
      <alignment vertical="top"/>
    </xf>
    <xf numFmtId="0" fontId="23" fillId="0" borderId="0" applyFill="0">
      <alignment horizontal="left" vertical="top"/>
    </xf>
    <xf numFmtId="173" fontId="7" fillId="0" borderId="8" applyFill="0"/>
    <xf numFmtId="0" fontId="11" fillId="0" borderId="0" applyNumberFormat="0" applyFont="0" applyAlignment="0"/>
    <xf numFmtId="0" fontId="41" fillId="0" borderId="0" applyFill="0">
      <alignment wrapText="1"/>
    </xf>
    <xf numFmtId="0" fontId="23" fillId="0" borderId="0" applyFill="0">
      <alignment horizontal="left" vertical="top" wrapText="1"/>
    </xf>
    <xf numFmtId="173" fontId="24" fillId="0" borderId="0" applyFill="0"/>
    <xf numFmtId="0" fontId="42" fillId="0" borderId="0" applyNumberFormat="0" applyFont="0" applyAlignment="0">
      <alignment horizontal="center"/>
    </xf>
    <xf numFmtId="0" fontId="43" fillId="0" borderId="0" applyFill="0">
      <alignment vertical="top" wrapText="1"/>
    </xf>
    <xf numFmtId="0" fontId="7" fillId="0" borderId="0" applyFill="0">
      <alignment horizontal="left" vertical="top" wrapText="1"/>
    </xf>
    <xf numFmtId="173" fontId="11" fillId="0" borderId="0" applyFill="0"/>
    <xf numFmtId="0" fontId="42" fillId="0" borderId="0" applyNumberFormat="0" applyFont="0" applyAlignment="0">
      <alignment horizontal="center"/>
    </xf>
    <xf numFmtId="0" fontId="44" fillId="0" borderId="0" applyFill="0">
      <alignment vertical="center" wrapText="1"/>
    </xf>
    <xf numFmtId="0" fontId="5" fillId="0" borderId="0">
      <alignment horizontal="left" vertical="center" wrapText="1"/>
    </xf>
    <xf numFmtId="173" fontId="36" fillId="0" borderId="0" applyFill="0"/>
    <xf numFmtId="0" fontId="42" fillId="0" borderId="0" applyNumberFormat="0" applyFont="0" applyAlignment="0">
      <alignment horizontal="center"/>
    </xf>
    <xf numFmtId="0" fontId="45" fillId="0" borderId="0" applyFill="0">
      <alignment horizontal="center" vertical="center" wrapText="1"/>
    </xf>
    <xf numFmtId="0" fontId="11" fillId="0" borderId="0" applyFill="0">
      <alignment horizontal="center" vertical="center" wrapText="1"/>
    </xf>
    <xf numFmtId="173" fontId="46" fillId="0" borderId="0" applyFill="0"/>
    <xf numFmtId="0" fontId="42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48" fillId="0" borderId="0" applyFill="0">
      <alignment horizontal="center" vertical="center" wrapText="1"/>
    </xf>
    <xf numFmtId="173" fontId="49" fillId="0" borderId="0" applyFill="0"/>
    <xf numFmtId="0" fontId="42" fillId="0" borderId="0" applyNumberFormat="0" applyFont="0" applyAlignment="0">
      <alignment horizontal="center"/>
    </xf>
    <xf numFmtId="0" fontId="50" fillId="0" borderId="0">
      <alignment horizontal="center" wrapText="1"/>
    </xf>
    <xf numFmtId="0" fontId="46" fillId="0" borderId="0" applyFill="0">
      <alignment horizontal="center" wrapText="1"/>
    </xf>
    <xf numFmtId="190" fontId="51" fillId="0" borderId="0" applyFont="0" applyFill="0" applyBorder="0" applyAlignment="0" applyProtection="0">
      <protection locked="0"/>
    </xf>
    <xf numFmtId="191" fontId="51" fillId="0" borderId="0" applyFont="0" applyFill="0" applyBorder="0" applyAlignment="0" applyProtection="0">
      <protection locked="0"/>
    </xf>
    <xf numFmtId="39" fontId="11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39" fillId="0" borderId="0" applyFont="0" applyFill="0" applyBorder="0" applyAlignment="0" applyProtection="0"/>
    <xf numFmtId="0" fontId="11" fillId="0" borderId="6" applyNumberFormat="0" applyFont="0" applyFill="0" applyBorder="0" applyProtection="0">
      <alignment horizontal="centerContinuous" vertical="center"/>
    </xf>
    <xf numFmtId="0" fontId="53" fillId="0" borderId="0" applyFill="0" applyBorder="0" applyProtection="0">
      <alignment horizontal="center"/>
      <protection locked="0"/>
    </xf>
    <xf numFmtId="0" fontId="1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7" fontId="55" fillId="0" borderId="0" applyFont="0" applyFill="0" applyBorder="0" applyAlignment="0" applyProtection="0"/>
    <xf numFmtId="198" fontId="56" fillId="0" borderId="0" applyFont="0" applyFill="0" applyBorder="0" applyAlignment="0" applyProtection="0"/>
    <xf numFmtId="199" fontId="56" fillId="0" borderId="0" applyFont="0" applyFill="0" applyBorder="0" applyAlignment="0" applyProtection="0"/>
    <xf numFmtId="200" fontId="24" fillId="0" borderId="0" applyFont="0" applyFill="0" applyBorder="0" applyAlignment="0" applyProtection="0"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37" fontId="57" fillId="0" borderId="0" applyFill="0" applyBorder="0" applyAlignment="0" applyProtection="0"/>
    <xf numFmtId="3" fontId="11" fillId="0" borderId="0" applyFont="0" applyFill="0" applyBorder="0" applyAlignment="0" applyProtection="0"/>
    <xf numFmtId="0" fontId="23" fillId="0" borderId="0" applyFill="0" applyBorder="0" applyAlignment="0" applyProtection="0">
      <protection locked="0"/>
    </xf>
    <xf numFmtId="201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204" fontId="56" fillId="0" borderId="0" applyFont="0" applyFill="0" applyBorder="0" applyAlignment="0" applyProtection="0"/>
    <xf numFmtId="205" fontId="56" fillId="0" borderId="0" applyFont="0" applyFill="0" applyBorder="0" applyAlignment="0" applyProtection="0"/>
    <xf numFmtId="206" fontId="56" fillId="0" borderId="0" applyFont="0" applyFill="0" applyBorder="0" applyAlignment="0" applyProtection="0"/>
    <xf numFmtId="207" fontId="24" fillId="0" borderId="0" applyFont="0" applyFill="0" applyBorder="0" applyAlignment="0" applyProtection="0">
      <protection locked="0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57" fillId="0" borderId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208" fontId="39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51" fillId="0" borderId="0" applyFont="0" applyFill="0" applyBorder="0" applyAlignment="0" applyProtection="0">
      <protection locked="0"/>
    </xf>
    <xf numFmtId="7" fontId="20" fillId="0" borderId="0" applyFont="0" applyFill="0" applyBorder="0" applyAlignment="0" applyProtection="0"/>
    <xf numFmtId="211" fontId="52" fillId="0" borderId="0" applyFont="0" applyFill="0" applyBorder="0" applyAlignment="0" applyProtection="0"/>
    <xf numFmtId="212" fontId="58" fillId="0" borderId="0" applyFont="0" applyFill="0" applyBorder="0" applyAlignment="0" applyProtection="0"/>
    <xf numFmtId="0" fontId="59" fillId="5" borderId="15" applyNumberFormat="0" applyFont="0" applyFill="0" applyAlignment="0" applyProtection="0">
      <alignment horizontal="left" indent="1"/>
    </xf>
    <xf numFmtId="14" fontId="11" fillId="0" borderId="0" applyFont="0" applyFill="0" applyBorder="0" applyAlignment="0" applyProtection="0"/>
    <xf numFmtId="213" fontId="37" fillId="0" borderId="0" applyFont="0" applyFill="0" applyBorder="0" applyProtection="0"/>
    <xf numFmtId="214" fontId="37" fillId="0" borderId="0" applyFont="0" applyFill="0" applyBorder="0" applyProtection="0"/>
    <xf numFmtId="215" fontId="37" fillId="0" borderId="0" applyFont="0" applyFill="0" applyBorder="0" applyAlignment="0" applyProtection="0"/>
    <xf numFmtId="216" fontId="37" fillId="0" borderId="0" applyFont="0" applyFill="0" applyBorder="0" applyAlignment="0" applyProtection="0"/>
    <xf numFmtId="217" fontId="37" fillId="0" borderId="0" applyFont="0" applyFill="0" applyBorder="0" applyAlignment="0" applyProtection="0"/>
    <xf numFmtId="218" fontId="60" fillId="0" borderId="0" applyFont="0" applyFill="0" applyBorder="0" applyAlignment="0" applyProtection="0"/>
    <xf numFmtId="5" fontId="61" fillId="0" borderId="0" applyBorder="0"/>
    <xf numFmtId="209" fontId="61" fillId="0" borderId="0" applyBorder="0"/>
    <xf numFmtId="7" fontId="61" fillId="0" borderId="0" applyBorder="0"/>
    <xf numFmtId="37" fontId="61" fillId="0" borderId="0" applyBorder="0"/>
    <xf numFmtId="190" fontId="61" fillId="0" borderId="0" applyBorder="0"/>
    <xf numFmtId="219" fontId="61" fillId="0" borderId="0" applyBorder="0"/>
    <xf numFmtId="39" fontId="61" fillId="0" borderId="0" applyBorder="0"/>
    <xf numFmtId="220" fontId="61" fillId="0" borderId="0" applyBorder="0"/>
    <xf numFmtId="7" fontId="1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39" fillId="0" borderId="0" applyFont="0" applyFill="0" applyAlignment="0" applyProtection="0"/>
    <xf numFmtId="221" fontId="39" fillId="0" borderId="0" applyFont="0" applyFill="0" applyBorder="0" applyAlignment="0" applyProtection="0"/>
    <xf numFmtId="223" fontId="20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62" fillId="0" borderId="0"/>
    <xf numFmtId="190" fontId="63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37" fillId="0" borderId="0" applyFont="0" applyFill="0" applyBorder="0" applyProtection="0">
      <alignment horizontal="center" wrapText="1"/>
    </xf>
    <xf numFmtId="224" fontId="37" fillId="0" borderId="0" applyFont="0" applyFill="0" applyBorder="0" applyProtection="0">
      <alignment horizontal="right"/>
    </xf>
    <xf numFmtId="0" fontId="63" fillId="0" borderId="0" applyNumberFormat="0" applyFill="0" applyBorder="0" applyAlignment="0" applyProtection="0"/>
    <xf numFmtId="0" fontId="64" fillId="6" borderId="0" applyNumberFormat="0" applyFill="0" applyBorder="0" applyAlignment="0" applyProtection="0"/>
    <xf numFmtId="0" fontId="7" fillId="0" borderId="16" applyNumberFormat="0" applyAlignment="0" applyProtection="0">
      <alignment horizontal="left" vertical="center"/>
    </xf>
    <xf numFmtId="0" fontId="7" fillId="0" borderId="12">
      <alignment horizontal="left" vertical="center"/>
    </xf>
    <xf numFmtId="14" fontId="13" fillId="7" borderId="1">
      <alignment horizontal="center" vertical="center" wrapText="1"/>
    </xf>
    <xf numFmtId="0" fontId="53" fillId="0" borderId="0" applyFill="0" applyAlignment="0" applyProtection="0">
      <protection locked="0"/>
    </xf>
    <xf numFmtId="0" fontId="53" fillId="0" borderId="6" applyFill="0" applyAlignment="0" applyProtection="0">
      <protection locked="0"/>
    </xf>
    <xf numFmtId="0" fontId="65" fillId="0" borderId="1"/>
    <xf numFmtId="0" fontId="66" fillId="0" borderId="0"/>
    <xf numFmtId="0" fontId="67" fillId="0" borderId="6" applyNumberFormat="0" applyFill="0" applyAlignment="0" applyProtection="0"/>
    <xf numFmtId="0" fontId="60" fillId="8" borderId="0" applyNumberFormat="0" applyFont="0" applyBorder="0" applyAlignment="0" applyProtection="0"/>
    <xf numFmtId="0" fontId="35" fillId="2" borderId="10" applyNumberFormat="0" applyAlignment="0" applyProtection="0"/>
    <xf numFmtId="225" fontId="37" fillId="0" borderId="0" applyFont="0" applyFill="0" applyBorder="0" applyProtection="0">
      <alignment horizontal="left"/>
    </xf>
    <xf numFmtId="226" fontId="37" fillId="0" borderId="0" applyFont="0" applyFill="0" applyBorder="0" applyProtection="0">
      <alignment horizontal="left"/>
    </xf>
    <xf numFmtId="227" fontId="37" fillId="0" borderId="0" applyFont="0" applyFill="0" applyBorder="0" applyProtection="0">
      <alignment horizontal="left"/>
    </xf>
    <xf numFmtId="228" fontId="37" fillId="0" borderId="0" applyFont="0" applyFill="0" applyBorder="0" applyProtection="0">
      <alignment horizontal="left"/>
    </xf>
    <xf numFmtId="10" fontId="20" fillId="9" borderId="10" applyNumberFormat="0" applyBorder="0" applyAlignment="0" applyProtection="0"/>
    <xf numFmtId="5" fontId="68" fillId="0" borderId="0" applyBorder="0"/>
    <xf numFmtId="209" fontId="68" fillId="0" borderId="0" applyBorder="0"/>
    <xf numFmtId="7" fontId="68" fillId="0" borderId="0" applyBorder="0"/>
    <xf numFmtId="37" fontId="68" fillId="0" borderId="0" applyBorder="0"/>
    <xf numFmtId="190" fontId="68" fillId="0" borderId="0" applyBorder="0"/>
    <xf numFmtId="219" fontId="68" fillId="0" borderId="0" applyBorder="0"/>
    <xf numFmtId="39" fontId="68" fillId="0" borderId="0" applyBorder="0"/>
    <xf numFmtId="220" fontId="68" fillId="0" borderId="0" applyBorder="0"/>
    <xf numFmtId="0" fontId="60" fillId="0" borderId="3" applyNumberFormat="0" applyFont="0" applyFill="0" applyAlignment="0" applyProtection="0"/>
    <xf numFmtId="0" fontId="69" fillId="0" borderId="0"/>
    <xf numFmtId="229" fontId="11" fillId="0" borderId="0" applyFont="0" applyFill="0" applyBorder="0" applyAlignment="0" applyProtection="0"/>
    <xf numFmtId="230" fontId="11" fillId="0" borderId="0" applyFont="0" applyFill="0" applyBorder="0" applyAlignment="0" applyProtection="0"/>
    <xf numFmtId="231" fontId="11" fillId="0" borderId="0" applyFont="0" applyFill="0" applyBorder="0" applyAlignment="0" applyProtection="0"/>
    <xf numFmtId="232" fontId="11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right"/>
    </xf>
    <xf numFmtId="233" fontId="11" fillId="0" borderId="0" applyFont="0" applyFill="0" applyBorder="0" applyAlignment="0" applyProtection="0"/>
    <xf numFmtId="37" fontId="70" fillId="0" borderId="0"/>
    <xf numFmtId="0" fontId="39" fillId="0" borderId="0"/>
    <xf numFmtId="0" fontId="11" fillId="0" borderId="0"/>
    <xf numFmtId="0" fontId="11" fillId="0" borderId="0"/>
    <xf numFmtId="173" fontId="2" fillId="0" borderId="0" applyProtection="0"/>
    <xf numFmtId="0" fontId="11" fillId="0" borderId="0"/>
    <xf numFmtId="0" fontId="11" fillId="0" borderId="0"/>
    <xf numFmtId="0" fontId="11" fillId="0" borderId="0"/>
    <xf numFmtId="0" fontId="3" fillId="10" borderId="0" applyNumberFormat="0" applyFont="0" applyBorder="0" applyAlignment="0"/>
    <xf numFmtId="234" fontId="11" fillId="0" borderId="0" applyFont="0" applyFill="0" applyBorder="0" applyAlignment="0" applyProtection="0"/>
    <xf numFmtId="235" fontId="71" fillId="0" borderId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6" fontId="11" fillId="0" borderId="0"/>
    <xf numFmtId="237" fontId="39" fillId="0" borderId="0"/>
    <xf numFmtId="237" fontId="39" fillId="0" borderId="0"/>
    <xf numFmtId="235" fontId="71" fillId="0" borderId="0"/>
    <xf numFmtId="0" fontId="39" fillId="0" borderId="0"/>
    <xf numFmtId="235" fontId="57" fillId="0" borderId="0"/>
    <xf numFmtId="236" fontId="11" fillId="0" borderId="0"/>
    <xf numFmtId="237" fontId="39" fillId="0" borderId="0"/>
    <xf numFmtId="237" fontId="39" fillId="0" borderId="0"/>
    <xf numFmtId="0" fontId="39" fillId="0" borderId="0"/>
    <xf numFmtId="0" fontId="39" fillId="0" borderId="0"/>
    <xf numFmtId="238" fontId="39" fillId="0" borderId="0"/>
    <xf numFmtId="170" fontId="39" fillId="0" borderId="0"/>
    <xf numFmtId="239" fontId="39" fillId="0" borderId="0"/>
    <xf numFmtId="238" fontId="39" fillId="0" borderId="0"/>
    <xf numFmtId="170" fontId="39" fillId="0" borderId="0"/>
    <xf numFmtId="240" fontId="39" fillId="0" borderId="0"/>
    <xf numFmtId="240" fontId="39" fillId="0" borderId="0"/>
    <xf numFmtId="241" fontId="39" fillId="0" borderId="0"/>
    <xf numFmtId="239" fontId="39" fillId="0" borderId="0"/>
    <xf numFmtId="169" fontId="39" fillId="0" borderId="0"/>
    <xf numFmtId="241" fontId="39" fillId="0" borderId="0"/>
    <xf numFmtId="241" fontId="39" fillId="0" borderId="0"/>
    <xf numFmtId="0" fontId="39" fillId="0" borderId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71" fillId="0" borderId="0"/>
    <xf numFmtId="235" fontId="71" fillId="0" borderId="0"/>
    <xf numFmtId="234" fontId="11" fillId="0" borderId="0" applyFont="0" applyFill="0" applyBorder="0" applyAlignment="0" applyProtection="0"/>
    <xf numFmtId="235" fontId="71" fillId="0" borderId="0"/>
    <xf numFmtId="235" fontId="71" fillId="0" borderId="0"/>
    <xf numFmtId="238" fontId="39" fillId="0" borderId="0"/>
    <xf numFmtId="170" fontId="39" fillId="0" borderId="0"/>
    <xf numFmtId="239" fontId="39" fillId="0" borderId="0"/>
    <xf numFmtId="238" fontId="39" fillId="0" borderId="0"/>
    <xf numFmtId="170" fontId="39" fillId="0" borderId="0"/>
    <xf numFmtId="240" fontId="39" fillId="0" borderId="0"/>
    <xf numFmtId="240" fontId="39" fillId="0" borderId="0"/>
    <xf numFmtId="241" fontId="39" fillId="0" borderId="0"/>
    <xf numFmtId="239" fontId="39" fillId="0" borderId="0"/>
    <xf numFmtId="169" fontId="39" fillId="0" borderId="0"/>
    <xf numFmtId="241" fontId="39" fillId="0" borderId="0"/>
    <xf numFmtId="241" fontId="39" fillId="0" borderId="0"/>
    <xf numFmtId="242" fontId="36" fillId="3" borderId="0" applyFont="0" applyFill="0" applyBorder="0" applyAlignment="0" applyProtection="0"/>
    <xf numFmtId="243" fontId="36" fillId="3" borderId="0" applyFont="0" applyFill="0" applyBorder="0" applyAlignment="0" applyProtection="0"/>
    <xf numFmtId="244" fontId="11" fillId="0" borderId="0" applyFont="0" applyFill="0" applyBorder="0" applyAlignment="0" applyProtection="0"/>
    <xf numFmtId="245" fontId="56" fillId="0" borderId="0" applyFont="0" applyFill="0" applyBorder="0" applyAlignment="0" applyProtection="0"/>
    <xf numFmtId="246" fontId="55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37" fillId="0" borderId="0" applyFont="0" applyFill="0" applyBorder="0" applyAlignment="0" applyProtection="0"/>
    <xf numFmtId="249" fontId="37" fillId="0" borderId="0" applyFont="0" applyFill="0" applyBorder="0" applyAlignment="0" applyProtection="0"/>
    <xf numFmtId="250" fontId="37" fillId="0" borderId="0" applyFont="0" applyFill="0" applyBorder="0" applyAlignment="0" applyProtection="0"/>
    <xf numFmtId="251" fontId="37" fillId="0" borderId="0" applyFont="0" applyFill="0" applyBorder="0" applyAlignment="0" applyProtection="0"/>
    <xf numFmtId="252" fontId="56" fillId="0" borderId="0" applyFont="0" applyFill="0" applyBorder="0" applyAlignment="0" applyProtection="0"/>
    <xf numFmtId="253" fontId="55" fillId="0" borderId="0" applyFont="0" applyFill="0" applyBorder="0" applyAlignment="0" applyProtection="0"/>
    <xf numFmtId="254" fontId="56" fillId="0" borderId="0" applyFont="0" applyFill="0" applyBorder="0" applyAlignment="0" applyProtection="0"/>
    <xf numFmtId="255" fontId="55" fillId="0" borderId="0" applyFont="0" applyFill="0" applyBorder="0" applyAlignment="0" applyProtection="0"/>
    <xf numFmtId="256" fontId="56" fillId="0" borderId="0" applyFont="0" applyFill="0" applyBorder="0" applyAlignment="0" applyProtection="0"/>
    <xf numFmtId="257" fontId="55" fillId="0" borderId="0" applyFont="0" applyFill="0" applyBorder="0" applyAlignment="0" applyProtection="0"/>
    <xf numFmtId="258" fontId="24" fillId="0" borderId="0" applyFont="0" applyFill="0" applyBorder="0" applyAlignment="0" applyProtection="0">
      <protection locked="0"/>
    </xf>
    <xf numFmtId="259" fontId="5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84" fontId="57" fillId="0" borderId="0" applyFill="0" applyBorder="0" applyAlignment="0" applyProtection="0"/>
    <xf numFmtId="9" fontId="61" fillId="0" borderId="0" applyBorder="0"/>
    <xf numFmtId="260" fontId="61" fillId="0" borderId="0" applyBorder="0"/>
    <xf numFmtId="10" fontId="61" fillId="0" borderId="0" applyBorder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3" fontId="11" fillId="0" borderId="0">
      <alignment horizontal="left" vertical="top"/>
    </xf>
    <xf numFmtId="0" fontId="72" fillId="0" borderId="1">
      <alignment horizontal="center"/>
    </xf>
    <xf numFmtId="3" fontId="28" fillId="0" borderId="0" applyFont="0" applyFill="0" applyBorder="0" applyAlignment="0" applyProtection="0"/>
    <xf numFmtId="0" fontId="28" fillId="11" borderId="0" applyNumberFormat="0" applyFont="0" applyBorder="0" applyAlignment="0" applyProtection="0"/>
    <xf numFmtId="3" fontId="11" fillId="0" borderId="0">
      <alignment horizontal="right" vertical="top"/>
    </xf>
    <xf numFmtId="41" fontId="5" fillId="12" borderId="13" applyFill="0"/>
    <xf numFmtId="0" fontId="73" fillId="0" borderId="0">
      <alignment horizontal="left" indent="7"/>
    </xf>
    <xf numFmtId="41" fontId="5" fillId="0" borderId="13" applyFill="0">
      <alignment horizontal="left" indent="2"/>
    </xf>
    <xf numFmtId="173" fontId="53" fillId="0" borderId="6" applyFill="0">
      <alignment horizontal="right"/>
    </xf>
    <xf numFmtId="0" fontId="13" fillId="0" borderId="10" applyNumberFormat="0" applyFont="0" applyBorder="0">
      <alignment horizontal="right"/>
    </xf>
    <xf numFmtId="0" fontId="74" fillId="0" borderId="0" applyFill="0"/>
    <xf numFmtId="0" fontId="7" fillId="0" borderId="0" applyFill="0"/>
    <xf numFmtId="4" fontId="53" fillId="0" borderId="6" applyFill="0"/>
    <xf numFmtId="0" fontId="11" fillId="0" borderId="0" applyNumberFormat="0" applyFont="0" applyBorder="0" applyAlignment="0"/>
    <xf numFmtId="0" fontId="43" fillId="0" borderId="0" applyFill="0">
      <alignment horizontal="left" indent="1"/>
    </xf>
    <xf numFmtId="0" fontId="75" fillId="0" borderId="0" applyFill="0">
      <alignment horizontal="left" indent="1"/>
    </xf>
    <xf numFmtId="4" fontId="36" fillId="0" borderId="0" applyFill="0"/>
    <xf numFmtId="0" fontId="11" fillId="0" borderId="0" applyNumberFormat="0" applyFont="0" applyFill="0" applyBorder="0" applyAlignment="0"/>
    <xf numFmtId="0" fontId="43" fillId="0" borderId="0" applyFill="0">
      <alignment horizontal="left" indent="2"/>
    </xf>
    <xf numFmtId="0" fontId="7" fillId="0" borderId="0" applyFill="0">
      <alignment horizontal="left" indent="2"/>
    </xf>
    <xf numFmtId="4" fontId="36" fillId="0" borderId="0" applyFill="0"/>
    <xf numFmtId="0" fontId="11" fillId="0" borderId="0" applyNumberFormat="0" applyFont="0" applyBorder="0" applyAlignment="0"/>
    <xf numFmtId="0" fontId="76" fillId="0" borderId="0">
      <alignment horizontal="left" indent="3"/>
    </xf>
    <xf numFmtId="0" fontId="8" fillId="0" borderId="0" applyFill="0">
      <alignment horizontal="left" indent="3"/>
    </xf>
    <xf numFmtId="4" fontId="36" fillId="0" borderId="0" applyFill="0"/>
    <xf numFmtId="0" fontId="11" fillId="0" borderId="0" applyNumberFormat="0" applyFont="0" applyBorder="0" applyAlignment="0"/>
    <xf numFmtId="0" fontId="45" fillId="0" borderId="0">
      <alignment horizontal="left" indent="4"/>
    </xf>
    <xf numFmtId="0" fontId="11" fillId="0" borderId="0" applyFill="0">
      <alignment horizontal="left" indent="4"/>
    </xf>
    <xf numFmtId="4" fontId="46" fillId="0" borderId="0" applyFill="0"/>
    <xf numFmtId="0" fontId="11" fillId="0" borderId="0" applyNumberFormat="0" applyFont="0" applyBorder="0" applyAlignment="0"/>
    <xf numFmtId="0" fontId="47" fillId="0" borderId="0">
      <alignment horizontal="left" indent="5"/>
    </xf>
    <xf numFmtId="0" fontId="48" fillId="0" borderId="0" applyFill="0">
      <alignment horizontal="left" indent="5"/>
    </xf>
    <xf numFmtId="4" fontId="49" fillId="0" borderId="0" applyFill="0"/>
    <xf numFmtId="0" fontId="11" fillId="0" borderId="0" applyNumberFormat="0" applyFont="0" applyFill="0" applyBorder="0" applyAlignment="0"/>
    <xf numFmtId="0" fontId="50" fillId="0" borderId="0" applyFill="0">
      <alignment horizontal="left" indent="6"/>
    </xf>
    <xf numFmtId="0" fontId="46" fillId="0" borderId="0" applyFill="0">
      <alignment horizontal="left" indent="6"/>
    </xf>
    <xf numFmtId="0" fontId="60" fillId="0" borderId="4" applyNumberFormat="0" applyFont="0" applyFill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78" fillId="0" borderId="0"/>
    <xf numFmtId="0" fontId="79" fillId="0" borderId="1">
      <alignment horizontal="right"/>
    </xf>
    <xf numFmtId="261" fontId="58" fillId="0" borderId="0">
      <alignment horizontal="center"/>
    </xf>
    <xf numFmtId="262" fontId="80" fillId="0" borderId="0">
      <alignment horizontal="center"/>
    </xf>
    <xf numFmtId="0" fontId="81" fillId="0" borderId="0" applyNumberFormat="0" applyFill="0" applyBorder="0" applyAlignment="0" applyProtection="0"/>
    <xf numFmtId="0" fontId="82" fillId="0" borderId="0" applyNumberFormat="0" applyBorder="0" applyAlignment="0"/>
    <xf numFmtId="0" fontId="83" fillId="0" borderId="0" applyNumberFormat="0" applyBorder="0" applyAlignment="0"/>
    <xf numFmtId="0" fontId="60" fillId="5" borderId="0" applyNumberFormat="0" applyFont="0" applyBorder="0" applyAlignment="0" applyProtection="0"/>
    <xf numFmtId="242" fontId="84" fillId="0" borderId="12" applyNumberFormat="0" applyFont="0" applyFill="0" applyAlignment="0" applyProtection="0"/>
    <xf numFmtId="0" fontId="85" fillId="0" borderId="0" applyFill="0" applyBorder="0" applyProtection="0">
      <alignment horizontal="left" vertical="top"/>
    </xf>
    <xf numFmtId="0" fontId="86" fillId="0" borderId="0" applyAlignment="0">
      <alignment horizontal="centerContinuous"/>
    </xf>
    <xf numFmtId="0" fontId="11" fillId="0" borderId="8" applyNumberFormat="0" applyFont="0" applyFill="0" applyAlignment="0" applyProtection="0"/>
    <xf numFmtId="0" fontId="87" fillId="0" borderId="0" applyNumberFormat="0" applyFill="0" applyBorder="0" applyAlignment="0" applyProtection="0"/>
    <xf numFmtId="263" fontId="55" fillId="0" borderId="0" applyFont="0" applyFill="0" applyBorder="0" applyAlignment="0" applyProtection="0"/>
    <xf numFmtId="264" fontId="55" fillId="0" borderId="0" applyFont="0" applyFill="0" applyBorder="0" applyAlignment="0" applyProtection="0"/>
    <xf numFmtId="265" fontId="55" fillId="0" borderId="0" applyFont="0" applyFill="0" applyBorder="0" applyAlignment="0" applyProtection="0"/>
    <xf numFmtId="266" fontId="55" fillId="0" borderId="0" applyFont="0" applyFill="0" applyBorder="0" applyAlignment="0" applyProtection="0"/>
    <xf numFmtId="267" fontId="55" fillId="0" borderId="0" applyFont="0" applyFill="0" applyBorder="0" applyAlignment="0" applyProtection="0"/>
    <xf numFmtId="268" fontId="55" fillId="0" borderId="0" applyFont="0" applyFill="0" applyBorder="0" applyAlignment="0" applyProtection="0"/>
    <xf numFmtId="269" fontId="55" fillId="0" borderId="0" applyFont="0" applyFill="0" applyBorder="0" applyAlignment="0" applyProtection="0"/>
    <xf numFmtId="270" fontId="55" fillId="0" borderId="0" applyFont="0" applyFill="0" applyBorder="0" applyAlignment="0" applyProtection="0"/>
    <xf numFmtId="271" fontId="88" fillId="5" borderId="17" applyFont="0" applyFill="0" applyBorder="0" applyAlignment="0" applyProtection="0"/>
    <xf numFmtId="271" fontId="39" fillId="0" borderId="0" applyFont="0" applyFill="0" applyBorder="0" applyAlignment="0" applyProtection="0"/>
    <xf numFmtId="272" fontId="52" fillId="0" borderId="0" applyFont="0" applyFill="0" applyBorder="0" applyAlignment="0" applyProtection="0"/>
    <xf numFmtId="273" fontId="58" fillId="0" borderId="12" applyFont="0" applyFill="0" applyBorder="0" applyAlignment="0" applyProtection="0">
      <alignment horizontal="right"/>
      <protection locked="0"/>
    </xf>
    <xf numFmtId="173" fontId="2" fillId="0" borderId="0" applyProtection="0"/>
    <xf numFmtId="0" fontId="9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93" fillId="0" borderId="0"/>
    <xf numFmtId="0" fontId="3" fillId="0" borderId="0"/>
    <xf numFmtId="40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8" fontId="3" fillId="0" borderId="0" applyFont="0" applyFill="0" applyBorder="0" applyAlignment="0" applyProtection="0"/>
    <xf numFmtId="0" fontId="11" fillId="0" borderId="0"/>
    <xf numFmtId="40" fontId="3" fillId="0" borderId="0" applyFont="0" applyFill="0" applyBorder="0" applyAlignment="0" applyProtection="0"/>
    <xf numFmtId="0" fontId="3" fillId="0" borderId="0"/>
    <xf numFmtId="0" fontId="3" fillId="0" borderId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3" fillId="0" borderId="0"/>
    <xf numFmtId="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3" fillId="0" borderId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3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0" fontId="3" fillId="0" borderId="0"/>
    <xf numFmtId="8" fontId="3" fillId="0" borderId="0" applyFont="0" applyFill="0" applyBorder="0" applyAlignment="0" applyProtection="0"/>
    <xf numFmtId="0" fontId="3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0" fontId="3" fillId="0" borderId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3" fillId="0" borderId="0"/>
    <xf numFmtId="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3" fillId="0" borderId="0"/>
    <xf numFmtId="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3" fillId="0" borderId="0"/>
    <xf numFmtId="40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02" fillId="0" borderId="0"/>
    <xf numFmtId="43" fontId="103" fillId="0" borderId="0" applyFont="0" applyFill="0" applyBorder="0" applyAlignment="0" applyProtection="0"/>
    <xf numFmtId="0" fontId="102" fillId="0" borderId="0"/>
    <xf numFmtId="0" fontId="102" fillId="0" borderId="0"/>
    <xf numFmtId="43" fontId="103" fillId="0" borderId="0" applyFont="0" applyFill="0" applyBorder="0" applyAlignment="0" applyProtection="0"/>
    <xf numFmtId="0" fontId="104" fillId="16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46">
    <xf numFmtId="173" fontId="0" fillId="0" borderId="0" xfId="0" applyAlignment="1"/>
    <xf numFmtId="173" fontId="5" fillId="0" borderId="0" xfId="0" applyFont="1" applyAlignment="1"/>
    <xf numFmtId="173" fontId="5" fillId="0" borderId="0" xfId="0" applyFont="1" applyFill="1" applyAlignment="1"/>
    <xf numFmtId="0" fontId="5" fillId="0" borderId="0" xfId="0" applyNumberFormat="1" applyFont="1" applyAlignment="1">
      <alignment horizontal="right"/>
    </xf>
    <xf numFmtId="0" fontId="18" fillId="0" borderId="0" xfId="10" applyFont="1" applyAlignment="1">
      <alignment horizontal="center"/>
    </xf>
    <xf numFmtId="0" fontId="19" fillId="0" borderId="0" xfId="10" applyFont="1" applyAlignment="1">
      <alignment horizontal="center"/>
    </xf>
    <xf numFmtId="0" fontId="5" fillId="0" borderId="0" xfId="0" applyNumberFormat="1" applyFont="1" applyAlignment="1" applyProtection="1">
      <alignment horizontal="right"/>
      <protection locked="0"/>
    </xf>
    <xf numFmtId="173" fontId="11" fillId="0" borderId="0" xfId="0" applyFont="1" applyFill="1" applyBorder="1" applyAlignment="1"/>
    <xf numFmtId="173" fontId="5" fillId="0" borderId="0" xfId="0" applyFont="1"/>
    <xf numFmtId="173" fontId="5" fillId="0" borderId="0" xfId="0" applyFont="1" applyFill="1" applyBorder="1" applyAlignment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3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 applyProtection="1">
      <protection locked="0"/>
    </xf>
    <xf numFmtId="173" fontId="5" fillId="0" borderId="0" xfId="0" applyFont="1" applyFill="1" applyBorder="1" applyAlignment="1">
      <alignment horizontal="center"/>
    </xf>
    <xf numFmtId="173" fontId="7" fillId="0" borderId="0" xfId="0" applyFont="1" applyAlignment="1">
      <alignment horizontal="centerContinuous"/>
    </xf>
    <xf numFmtId="173" fontId="5" fillId="0" borderId="0" xfId="0" applyFont="1" applyAlignment="1">
      <alignment horizontal="centerContinuous"/>
    </xf>
    <xf numFmtId="0" fontId="5" fillId="0" borderId="0" xfId="7" applyFont="1"/>
    <xf numFmtId="0" fontId="7" fillId="0" borderId="0" xfId="5" applyFont="1" applyBorder="1" applyAlignment="1">
      <alignment horizontal="center"/>
    </xf>
    <xf numFmtId="0" fontId="5" fillId="0" borderId="0" xfId="5" applyFont="1" applyAlignment="1">
      <alignment horizontal="centerContinuous"/>
    </xf>
    <xf numFmtId="0" fontId="21" fillId="0" borderId="0" xfId="7" applyFont="1" applyAlignment="1">
      <alignment horizontal="center"/>
    </xf>
    <xf numFmtId="0" fontId="5" fillId="0" borderId="0" xfId="5" applyFont="1" applyBorder="1" applyAlignment="1">
      <alignment horizontal="left"/>
    </xf>
    <xf numFmtId="0" fontId="5" fillId="0" borderId="0" xfId="7" applyFont="1" applyAlignment="1">
      <alignment horizontal="left"/>
    </xf>
    <xf numFmtId="0" fontId="5" fillId="0" borderId="0" xfId="7" applyFont="1" applyAlignment="1">
      <alignment horizontal="left" vertical="center"/>
    </xf>
    <xf numFmtId="173" fontId="23" fillId="0" borderId="0" xfId="0" applyFont="1" applyAlignment="1">
      <alignment horizontal="centerContinuous"/>
    </xf>
    <xf numFmtId="41" fontId="22" fillId="0" borderId="0" xfId="6" applyNumberFormat="1" applyFont="1" applyFill="1"/>
    <xf numFmtId="0" fontId="5" fillId="0" borderId="0" xfId="7" applyFont="1" applyAlignment="1">
      <alignment horizontal="left" vertical="center" indent="1"/>
    </xf>
    <xf numFmtId="0" fontId="5" fillId="0" borderId="0" xfId="6" applyFont="1"/>
    <xf numFmtId="0" fontId="7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0" fontId="32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7" fillId="0" borderId="0" xfId="0" applyNumberFormat="1" applyFont="1" applyFill="1" applyBorder="1" applyAlignment="1"/>
    <xf numFmtId="3" fontId="9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173" fontId="9" fillId="0" borderId="0" xfId="0" applyFont="1" applyFill="1" applyBorder="1" applyAlignment="1"/>
    <xf numFmtId="3" fontId="7" fillId="0" borderId="0" xfId="0" applyNumberFormat="1" applyFont="1" applyFill="1" applyBorder="1" applyAlignment="1"/>
    <xf numFmtId="10" fontId="7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center"/>
    </xf>
    <xf numFmtId="10" fontId="5" fillId="0" borderId="0" xfId="11" applyNumberFormat="1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right"/>
    </xf>
    <xf numFmtId="173" fontId="5" fillId="0" borderId="0" xfId="0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 wrapText="1"/>
    </xf>
    <xf numFmtId="3" fontId="7" fillId="0" borderId="10" xfId="0" applyNumberFormat="1" applyFont="1" applyFill="1" applyBorder="1" applyAlignment="1">
      <alignment horizontal="center" wrapText="1"/>
    </xf>
    <xf numFmtId="3" fontId="7" fillId="0" borderId="12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/>
    <xf numFmtId="0" fontId="5" fillId="0" borderId="13" xfId="0" applyNumberFormat="1" applyFont="1" applyFill="1" applyBorder="1"/>
    <xf numFmtId="3" fontId="5" fillId="0" borderId="13" xfId="0" applyNumberFormat="1" applyFont="1" applyFill="1" applyBorder="1" applyAlignment="1"/>
    <xf numFmtId="173" fontId="4" fillId="0" borderId="0" xfId="0" applyFont="1" applyFill="1" applyBorder="1" applyAlignment="1"/>
    <xf numFmtId="1" fontId="5" fillId="0" borderId="0" xfId="13" applyNumberFormat="1" applyFont="1" applyFill="1" applyBorder="1" applyAlignment="1">
      <alignment horizontal="center"/>
    </xf>
    <xf numFmtId="170" fontId="5" fillId="0" borderId="0" xfId="0" applyNumberFormat="1" applyFont="1" applyFill="1" applyBorder="1" applyAlignment="1"/>
    <xf numFmtId="173" fontId="5" fillId="0" borderId="1" xfId="0" applyFont="1" applyFill="1" applyBorder="1" applyAlignment="1"/>
    <xf numFmtId="173" fontId="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0" fontId="21" fillId="0" borderId="0" xfId="5" applyFont="1" applyFill="1" applyAlignment="1">
      <alignment horizontal="centerContinuous"/>
    </xf>
    <xf numFmtId="0" fontId="21" fillId="0" borderId="0" xfId="7" applyFont="1" applyFill="1" applyAlignment="1">
      <alignment horizontal="center"/>
    </xf>
    <xf numFmtId="42" fontId="5" fillId="0" borderId="0" xfId="7" applyNumberFormat="1" applyFont="1" applyFill="1"/>
    <xf numFmtId="0" fontId="5" fillId="0" borderId="0" xfId="7" applyFont="1" applyFill="1"/>
    <xf numFmtId="42" fontId="29" fillId="0" borderId="0" xfId="7" applyNumberFormat="1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3" fontId="5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173" fontId="5" fillId="0" borderId="0" xfId="0" applyFont="1" applyFill="1" applyBorder="1" applyAlignment="1">
      <alignment horizontal="centerContinuous"/>
    </xf>
    <xf numFmtId="0" fontId="11" fillId="0" borderId="0" xfId="8" applyFont="1" applyAlignment="1">
      <alignment horizontal="right"/>
    </xf>
    <xf numFmtId="0" fontId="8" fillId="0" borderId="0" xfId="15" applyFont="1" applyFill="1"/>
    <xf numFmtId="0" fontId="8" fillId="0" borderId="0" xfId="15" applyFont="1" applyFill="1" applyBorder="1"/>
    <xf numFmtId="0" fontId="24" fillId="0" borderId="0" xfId="15" applyFont="1" applyFill="1"/>
    <xf numFmtId="0" fontId="8" fillId="0" borderId="0" xfId="15" quotePrefix="1" applyFont="1" applyFill="1"/>
    <xf numFmtId="175" fontId="8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7" fillId="0" borderId="0" xfId="0" applyNumberFormat="1" applyFont="1" applyFill="1" applyBorder="1" applyAlignment="1">
      <alignment horizontal="centerContinuous"/>
    </xf>
    <xf numFmtId="49" fontId="5" fillId="0" borderId="0" xfId="0" applyNumberFormat="1" applyFont="1" applyFill="1" applyBorder="1" applyAlignment="1">
      <alignment horizontal="centerContinuous"/>
    </xf>
    <xf numFmtId="0" fontId="11" fillId="0" borderId="0" xfId="10" applyFont="1"/>
    <xf numFmtId="0" fontId="11" fillId="0" borderId="0" xfId="6" applyFont="1"/>
    <xf numFmtId="173" fontId="5" fillId="0" borderId="0" xfId="325" applyFont="1" applyAlignment="1"/>
    <xf numFmtId="173" fontId="2" fillId="0" borderId="0" xfId="325" applyFont="1" applyAlignment="1"/>
    <xf numFmtId="173" fontId="5" fillId="0" borderId="0" xfId="325" applyFont="1" applyFill="1" applyAlignment="1"/>
    <xf numFmtId="173" fontId="2" fillId="0" borderId="0" xfId="325" applyFont="1" applyFill="1" applyAlignment="1"/>
    <xf numFmtId="0" fontId="5" fillId="0" borderId="0" xfId="325" applyNumberFormat="1" applyFont="1" applyFill="1"/>
    <xf numFmtId="0" fontId="2" fillId="0" borderId="0" xfId="325" applyNumberFormat="1" applyFont="1" applyFill="1"/>
    <xf numFmtId="0" fontId="91" fillId="0" borderId="0" xfId="326"/>
    <xf numFmtId="0" fontId="5" fillId="0" borderId="0" xfId="325" applyNumberFormat="1" applyFont="1" applyFill="1" applyProtection="1">
      <protection locked="0"/>
    </xf>
    <xf numFmtId="0" fontId="5" fillId="0" borderId="0" xfId="326" applyFont="1"/>
    <xf numFmtId="173" fontId="5" fillId="0" borderId="0" xfId="325" applyFont="1" applyAlignment="1" applyProtection="1">
      <protection locked="0"/>
    </xf>
    <xf numFmtId="0" fontId="5" fillId="0" borderId="0" xfId="326" applyNumberFormat="1" applyFont="1" applyFill="1"/>
    <xf numFmtId="0" fontId="5" fillId="0" borderId="0" xfId="326" applyFont="1" applyFill="1"/>
    <xf numFmtId="0" fontId="2" fillId="0" borderId="0" xfId="325" applyNumberFormat="1" applyFont="1" applyFill="1" applyAlignment="1" applyProtection="1">
      <alignment horizontal="center"/>
      <protection locked="0"/>
    </xf>
    <xf numFmtId="274" fontId="5" fillId="0" borderId="0" xfId="325" applyNumberFormat="1" applyFont="1" applyAlignment="1"/>
    <xf numFmtId="0" fontId="5" fillId="0" borderId="0" xfId="326" quotePrefix="1" applyFont="1"/>
    <xf numFmtId="0" fontId="5" fillId="0" borderId="0" xfId="326" applyFont="1" applyAlignment="1">
      <alignment horizontal="center"/>
    </xf>
    <xf numFmtId="0" fontId="5" fillId="0" borderId="0" xfId="325" applyNumberFormat="1" applyFont="1" applyProtection="1">
      <protection locked="0"/>
    </xf>
    <xf numFmtId="43" fontId="5" fillId="0" borderId="0" xfId="89" applyFont="1" applyAlignment="1"/>
    <xf numFmtId="1" fontId="5" fillId="0" borderId="0" xfId="325" applyNumberFormat="1" applyFont="1" applyAlignment="1" applyProtection="1">
      <alignment horizontal="center"/>
      <protection locked="0"/>
    </xf>
    <xf numFmtId="0" fontId="5" fillId="0" borderId="0" xfId="325" applyNumberFormat="1" applyFont="1" applyAlignment="1" applyProtection="1">
      <alignment horizontal="center"/>
      <protection locked="0"/>
    </xf>
    <xf numFmtId="0" fontId="2" fillId="0" borderId="0" xfId="325" applyNumberFormat="1" applyFont="1" applyAlignment="1" applyProtection="1">
      <alignment horizontal="center"/>
      <protection locked="0"/>
    </xf>
    <xf numFmtId="0" fontId="5" fillId="0" borderId="0" xfId="325" applyNumberFormat="1" applyFont="1" applyBorder="1" applyAlignment="1" applyProtection="1">
      <alignment horizontal="center"/>
      <protection locked="0"/>
    </xf>
    <xf numFmtId="173" fontId="7" fillId="0" borderId="0" xfId="325" applyFont="1" applyAlignment="1">
      <alignment horizontal="center"/>
    </xf>
    <xf numFmtId="170" fontId="5" fillId="0" borderId="0" xfId="325" applyNumberFormat="1" applyFont="1" applyFill="1" applyBorder="1" applyAlignment="1" applyProtection="1">
      <protection locked="0"/>
    </xf>
    <xf numFmtId="0" fontId="5" fillId="0" borderId="0" xfId="325" applyNumberFormat="1" applyFont="1" applyFill="1" applyBorder="1" applyProtection="1">
      <protection locked="0"/>
    </xf>
    <xf numFmtId="0" fontId="5" fillId="0" borderId="0" xfId="326" applyNumberFormat="1" applyFont="1"/>
    <xf numFmtId="42" fontId="5" fillId="0" borderId="0" xfId="325" applyNumberFormat="1" applyFont="1" applyFill="1" applyBorder="1" applyProtection="1">
      <protection locked="0"/>
    </xf>
    <xf numFmtId="42" fontId="5" fillId="0" borderId="0" xfId="325" applyNumberFormat="1" applyFont="1" applyBorder="1" applyProtection="1">
      <protection locked="0"/>
    </xf>
    <xf numFmtId="0" fontId="2" fillId="0" borderId="0" xfId="325" applyNumberFormat="1" applyFont="1" applyBorder="1" applyAlignment="1" applyProtection="1">
      <alignment horizontal="center"/>
      <protection locked="0"/>
    </xf>
    <xf numFmtId="0" fontId="7" fillId="0" borderId="0" xfId="325" applyNumberFormat="1" applyFont="1" applyAlignment="1" applyProtection="1">
      <alignment horizontal="center"/>
      <protection locked="0"/>
    </xf>
    <xf numFmtId="49" fontId="5" fillId="0" borderId="0" xfId="325" applyNumberFormat="1" applyFont="1" applyAlignment="1" applyProtection="1">
      <alignment horizontal="center"/>
      <protection locked="0"/>
    </xf>
    <xf numFmtId="49" fontId="17" fillId="0" borderId="0" xfId="325" applyNumberFormat="1" applyFont="1" applyAlignment="1" applyProtection="1">
      <alignment horizontal="center"/>
      <protection locked="0"/>
    </xf>
    <xf numFmtId="49" fontId="17" fillId="0" borderId="0" xfId="325" applyNumberFormat="1" applyFont="1" applyAlignment="1" applyProtection="1">
      <alignment horizontal="left"/>
      <protection locked="0"/>
    </xf>
    <xf numFmtId="0" fontId="5" fillId="0" borderId="0" xfId="326" applyNumberFormat="1" applyFont="1" applyAlignment="1">
      <alignment horizontal="left"/>
    </xf>
    <xf numFmtId="0" fontId="5" fillId="0" borderId="0" xfId="326" applyNumberFormat="1" applyFont="1" applyAlignment="1">
      <alignment horizontal="centerContinuous"/>
    </xf>
    <xf numFmtId="3" fontId="5" fillId="0" borderId="0" xfId="326" applyNumberFormat="1" applyFont="1" applyAlignment="1">
      <alignment horizontal="left"/>
    </xf>
    <xf numFmtId="3" fontId="5" fillId="0" borderId="0" xfId="326" applyNumberFormat="1" applyFont="1" applyAlignment="1">
      <alignment horizontal="centerContinuous"/>
    </xf>
    <xf numFmtId="174" fontId="5" fillId="0" borderId="0" xfId="89" applyNumberFormat="1" applyFont="1" applyAlignment="1"/>
    <xf numFmtId="173" fontId="5" fillId="0" borderId="0" xfId="325" applyFont="1" applyAlignment="1">
      <alignment horizontal="right"/>
    </xf>
    <xf numFmtId="173" fontId="5" fillId="0" borderId="0" xfId="325" applyFont="1" applyAlignment="1">
      <alignment horizontal="center"/>
    </xf>
    <xf numFmtId="0" fontId="7" fillId="0" borderId="0" xfId="7" applyFont="1" applyAlignment="1">
      <alignment horizontal="left" vertical="center"/>
    </xf>
    <xf numFmtId="42" fontId="5" fillId="0" borderId="0" xfId="0" applyNumberFormat="1" applyFont="1" applyAlignment="1"/>
    <xf numFmtId="49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173" fontId="5" fillId="0" borderId="0" xfId="0" applyFont="1" applyAlignment="1">
      <alignment horizontal="center"/>
    </xf>
    <xf numFmtId="173" fontId="22" fillId="0" borderId="0" xfId="0" applyFont="1" applyAlignment="1">
      <alignment horizontal="center"/>
    </xf>
    <xf numFmtId="173" fontId="22" fillId="0" borderId="0" xfId="0" applyFont="1" applyAlignment="1">
      <alignment horizontal="center" wrapText="1"/>
    </xf>
    <xf numFmtId="173" fontId="22" fillId="0" borderId="0" xfId="0" applyFont="1" applyAlignment="1"/>
    <xf numFmtId="41" fontId="5" fillId="0" borderId="0" xfId="0" applyNumberFormat="1" applyFont="1" applyAlignment="1"/>
    <xf numFmtId="41" fontId="22" fillId="0" borderId="0" xfId="0" applyNumberFormat="1" applyFont="1" applyAlignment="1"/>
    <xf numFmtId="42" fontId="29" fillId="0" borderId="0" xfId="0" applyNumberFormat="1" applyFont="1" applyAlignment="1"/>
    <xf numFmtId="173" fontId="0" fillId="0" borderId="0" xfId="0" applyFont="1" applyAlignment="1"/>
    <xf numFmtId="173" fontId="5" fillId="0" borderId="0" xfId="0" applyFont="1" applyFill="1"/>
    <xf numFmtId="0" fontId="5" fillId="0" borderId="0" xfId="5" applyFont="1"/>
    <xf numFmtId="0" fontId="5" fillId="0" borderId="0" xfId="5" applyFont="1" applyAlignment="1">
      <alignment horizontal="center"/>
    </xf>
    <xf numFmtId="0" fontId="22" fillId="0" borderId="0" xfId="5" applyFont="1" applyBorder="1" applyAlignment="1">
      <alignment horizontal="centerContinuous"/>
    </xf>
    <xf numFmtId="0" fontId="5" fillId="0" borderId="0" xfId="5" applyFont="1" applyBorder="1" applyAlignment="1">
      <alignment horizontal="left" indent="1"/>
    </xf>
    <xf numFmtId="0" fontId="5" fillId="0" borderId="0" xfId="7" applyFont="1" applyAlignment="1">
      <alignment horizontal="left" indent="1"/>
    </xf>
    <xf numFmtId="173" fontId="0" fillId="0" borderId="0" xfId="0" applyFont="1" applyFill="1" applyAlignment="1"/>
    <xf numFmtId="42" fontId="29" fillId="0" borderId="0" xfId="7" applyNumberFormat="1" applyFont="1" applyFill="1"/>
    <xf numFmtId="0" fontId="5" fillId="0" borderId="0" xfId="7" applyFont="1" applyAlignment="1">
      <alignment horizontal="right"/>
    </xf>
    <xf numFmtId="0" fontId="92" fillId="0" borderId="0" xfId="325" applyNumberFormat="1" applyFont="1" applyBorder="1" applyAlignment="1" applyProtection="1">
      <alignment horizontal="left"/>
      <protection locked="0"/>
    </xf>
    <xf numFmtId="0" fontId="2" fillId="0" borderId="6" xfId="325" applyNumberFormat="1" applyFont="1" applyBorder="1" applyAlignment="1" applyProtection="1">
      <alignment horizontal="center"/>
      <protection locked="0"/>
    </xf>
    <xf numFmtId="0" fontId="89" fillId="0" borderId="0" xfId="0" applyNumberFormat="1" applyFont="1" applyFill="1" applyBorder="1" applyAlignment="1" applyProtection="1">
      <alignment horizontal="center"/>
      <protection locked="0"/>
    </xf>
    <xf numFmtId="173" fontId="92" fillId="0" borderId="0" xfId="0" applyFont="1" applyFill="1" applyBorder="1" applyAlignment="1"/>
    <xf numFmtId="0" fontId="89" fillId="0" borderId="0" xfId="0" applyNumberFormat="1" applyFont="1" applyFill="1" applyBorder="1" applyAlignment="1"/>
    <xf numFmtId="173" fontId="89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5" fillId="0" borderId="0" xfId="0" applyNumberFormat="1" applyFont="1" applyFill="1" applyBorder="1" applyAlignment="1">
      <alignment horizontal="right"/>
    </xf>
    <xf numFmtId="0" fontId="5" fillId="0" borderId="0" xfId="8" applyFont="1" applyAlignment="1">
      <alignment horizontal="right"/>
    </xf>
    <xf numFmtId="173" fontId="7" fillId="0" borderId="0" xfId="0" applyFont="1" applyBorder="1" applyAlignment="1">
      <alignment horizontal="left"/>
    </xf>
    <xf numFmtId="41" fontId="5" fillId="0" borderId="0" xfId="7" applyNumberFormat="1" applyFont="1" applyFill="1"/>
    <xf numFmtId="0" fontId="5" fillId="0" borderId="0" xfId="7" applyFont="1" applyAlignment="1">
      <alignment horizontal="left" vertical="center" wrapText="1" indent="1"/>
    </xf>
    <xf numFmtId="41" fontId="22" fillId="0" borderId="0" xfId="7" applyNumberFormat="1" applyFont="1" applyFill="1"/>
    <xf numFmtId="0" fontId="5" fillId="0" borderId="0" xfId="7" applyFont="1" applyBorder="1"/>
    <xf numFmtId="0" fontId="5" fillId="0" borderId="0" xfId="7" applyFont="1" applyBorder="1" applyAlignment="1">
      <alignment horizontal="right"/>
    </xf>
    <xf numFmtId="0" fontId="5" fillId="0" borderId="0" xfId="7" applyFont="1" applyFill="1" applyBorder="1"/>
    <xf numFmtId="0" fontId="5" fillId="0" borderId="0" xfId="5" applyFont="1" applyFill="1" applyBorder="1" applyAlignment="1">
      <alignment horizontal="left"/>
    </xf>
    <xf numFmtId="0" fontId="8" fillId="0" borderId="0" xfId="9" applyFont="1" applyFill="1"/>
    <xf numFmtId="0" fontId="1" fillId="0" borderId="0" xfId="329"/>
    <xf numFmtId="0" fontId="1" fillId="0" borderId="0" xfId="329" applyAlignment="1">
      <alignment horizontal="center"/>
    </xf>
    <xf numFmtId="0" fontId="1" fillId="0" borderId="0" xfId="329" applyFill="1"/>
    <xf numFmtId="0" fontId="5" fillId="0" borderId="0" xfId="330" applyFont="1" applyAlignment="1" applyProtection="1">
      <alignment horizontal="center"/>
    </xf>
    <xf numFmtId="0" fontId="94" fillId="0" borderId="0" xfId="329" quotePrefix="1" applyFont="1"/>
    <xf numFmtId="0" fontId="8" fillId="0" borderId="0" xfId="0" applyNumberFormat="1" applyFont="1" applyFill="1"/>
    <xf numFmtId="0" fontId="5" fillId="0" borderId="0" xfId="7" applyFont="1" applyFill="1" applyAlignment="1">
      <alignment horizontal="right"/>
    </xf>
    <xf numFmtId="0" fontId="7" fillId="0" borderId="0" xfId="7" applyFont="1" applyFill="1"/>
    <xf numFmtId="0" fontId="31" fillId="0" borderId="0" xfId="7" applyFont="1" applyFill="1"/>
    <xf numFmtId="0" fontId="7" fillId="0" borderId="0" xfId="7" applyFont="1" applyFill="1" applyAlignment="1">
      <alignment horizontal="right"/>
    </xf>
    <xf numFmtId="174" fontId="5" fillId="0" borderId="0" xfId="7" applyNumberFormat="1" applyFont="1" applyFill="1"/>
    <xf numFmtId="174" fontId="5" fillId="0" borderId="0" xfId="89" applyNumberFormat="1" applyFont="1" applyFill="1"/>
    <xf numFmtId="173" fontId="34" fillId="14" borderId="0" xfId="0" applyFont="1" applyFill="1" applyAlignment="1"/>
    <xf numFmtId="173" fontId="5" fillId="14" borderId="0" xfId="0" applyFont="1" applyFill="1" applyAlignment="1"/>
    <xf numFmtId="0" fontId="5" fillId="14" borderId="0" xfId="0" applyNumberFormat="1" applyFont="1" applyFill="1" applyAlignment="1" applyProtection="1">
      <protection locked="0"/>
    </xf>
    <xf numFmtId="0" fontId="5" fillId="14" borderId="0" xfId="0" applyNumberFormat="1" applyFont="1" applyFill="1" applyAlignment="1" applyProtection="1">
      <alignment horizontal="left"/>
      <protection locked="0"/>
    </xf>
    <xf numFmtId="0" fontId="5" fillId="14" borderId="0" xfId="0" applyNumberFormat="1" applyFont="1" applyFill="1" applyProtection="1">
      <protection locked="0"/>
    </xf>
    <xf numFmtId="0" fontId="5" fillId="14" borderId="0" xfId="0" applyNumberFormat="1" applyFont="1" applyFill="1" applyAlignment="1">
      <alignment horizontal="right"/>
    </xf>
    <xf numFmtId="0" fontId="5" fillId="14" borderId="0" xfId="0" applyNumberFormat="1" applyFont="1" applyFill="1"/>
    <xf numFmtId="173" fontId="5" fillId="14" borderId="0" xfId="0" applyFont="1" applyFill="1" applyAlignment="1">
      <alignment horizontal="centerContinuous"/>
    </xf>
    <xf numFmtId="0" fontId="5" fillId="14" borderId="0" xfId="0" applyNumberFormat="1" applyFont="1" applyFill="1" applyAlignment="1" applyProtection="1">
      <alignment horizontal="centerContinuous"/>
      <protection locked="0"/>
    </xf>
    <xf numFmtId="3" fontId="5" fillId="14" borderId="0" xfId="0" applyNumberFormat="1" applyFont="1" applyFill="1" applyAlignment="1">
      <alignment horizontal="centerContinuous"/>
    </xf>
    <xf numFmtId="0" fontId="5" fillId="14" borderId="0" xfId="0" applyNumberFormat="1" applyFont="1" applyFill="1" applyAlignment="1">
      <alignment horizontal="centerContinuous"/>
    </xf>
    <xf numFmtId="0" fontId="5" fillId="14" borderId="0" xfId="0" applyNumberFormat="1" applyFont="1" applyFill="1" applyAlignment="1" applyProtection="1">
      <alignment horizontal="center"/>
      <protection locked="0"/>
    </xf>
    <xf numFmtId="49" fontId="5" fillId="14" borderId="0" xfId="0" applyNumberFormat="1" applyFont="1" applyFill="1"/>
    <xf numFmtId="0" fontId="89" fillId="14" borderId="0" xfId="0" applyNumberFormat="1" applyFont="1" applyFill="1" applyBorder="1" applyAlignment="1" applyProtection="1">
      <alignment horizontal="center"/>
      <protection locked="0"/>
    </xf>
    <xf numFmtId="173" fontId="5" fillId="14" borderId="0" xfId="0" applyFont="1" applyFill="1" applyBorder="1" applyAlignment="1"/>
    <xf numFmtId="0" fontId="5" fillId="14" borderId="0" xfId="0" applyNumberFormat="1" applyFont="1" applyFill="1" applyBorder="1"/>
    <xf numFmtId="3" fontId="5" fillId="14" borderId="0" xfId="0" applyNumberFormat="1" applyFont="1" applyFill="1"/>
    <xf numFmtId="42" fontId="5" fillId="14" borderId="0" xfId="0" applyNumberFormat="1" applyFont="1" applyFill="1"/>
    <xf numFmtId="0" fontId="5" fillId="14" borderId="0" xfId="0" quotePrefix="1" applyNumberFormat="1" applyFont="1" applyFill="1" applyAlignment="1">
      <alignment horizontal="left"/>
    </xf>
    <xf numFmtId="0" fontId="5" fillId="14" borderId="1" xfId="0" applyNumberFormat="1" applyFont="1" applyFill="1" applyBorder="1" applyAlignment="1" applyProtection="1">
      <alignment horizontal="center"/>
      <protection locked="0"/>
    </xf>
    <xf numFmtId="3" fontId="5" fillId="14" borderId="0" xfId="0" applyNumberFormat="1" applyFont="1" applyFill="1" applyAlignment="1"/>
    <xf numFmtId="0" fontId="5" fillId="14" borderId="1" xfId="0" applyNumberFormat="1" applyFont="1" applyFill="1" applyBorder="1" applyAlignment="1" applyProtection="1">
      <alignment horizontal="centerContinuous"/>
      <protection locked="0"/>
    </xf>
    <xf numFmtId="0" fontId="5" fillId="14" borderId="0" xfId="0" applyNumberFormat="1" applyFont="1" applyFill="1" applyAlignment="1"/>
    <xf numFmtId="42" fontId="5" fillId="14" borderId="0" xfId="0" applyNumberFormat="1" applyFont="1" applyFill="1" applyAlignment="1"/>
    <xf numFmtId="166" fontId="5" fillId="14" borderId="0" xfId="0" applyNumberFormat="1" applyFont="1" applyFill="1" applyAlignment="1"/>
    <xf numFmtId="37" fontId="5" fillId="14" borderId="0" xfId="0" applyNumberFormat="1" applyFont="1" applyFill="1" applyAlignment="1"/>
    <xf numFmtId="3" fontId="5" fillId="14" borderId="0" xfId="0" applyNumberFormat="1" applyFont="1" applyFill="1" applyAlignment="1">
      <alignment horizontal="fill"/>
    </xf>
    <xf numFmtId="42" fontId="5" fillId="14" borderId="2" xfId="0" applyNumberFormat="1" applyFont="1" applyFill="1" applyBorder="1" applyAlignment="1" applyProtection="1">
      <alignment horizontal="right"/>
      <protection locked="0"/>
    </xf>
    <xf numFmtId="37" fontId="5" fillId="14" borderId="0" xfId="0" applyNumberFormat="1" applyFont="1" applyFill="1"/>
    <xf numFmtId="172" fontId="5" fillId="14" borderId="0" xfId="0" applyNumberFormat="1" applyFont="1" applyFill="1" applyAlignment="1"/>
    <xf numFmtId="172" fontId="5" fillId="14" borderId="0" xfId="0" applyNumberFormat="1" applyFont="1" applyFill="1" applyAlignment="1">
      <alignment horizontal="center"/>
    </xf>
    <xf numFmtId="42" fontId="5" fillId="14" borderId="0" xfId="0" applyNumberFormat="1" applyFont="1" applyFill="1" applyAlignment="1">
      <alignment horizontal="center"/>
    </xf>
    <xf numFmtId="0" fontId="5" fillId="14" borderId="0" xfId="0" applyNumberFormat="1" applyFont="1" applyFill="1" applyAlignment="1">
      <alignment wrapText="1"/>
    </xf>
    <xf numFmtId="0" fontId="5" fillId="14" borderId="0" xfId="0" applyNumberFormat="1" applyFont="1" applyFill="1" applyAlignment="1" applyProtection="1">
      <alignment horizontal="right"/>
      <protection locked="0"/>
    </xf>
    <xf numFmtId="0" fontId="5" fillId="14" borderId="0" xfId="0" applyNumberFormat="1" applyFont="1" applyFill="1" applyAlignment="1">
      <alignment horizontal="center"/>
    </xf>
    <xf numFmtId="49" fontId="5" fillId="14" borderId="0" xfId="0" applyNumberFormat="1" applyFont="1" applyFill="1" applyAlignment="1">
      <alignment horizontal="left"/>
    </xf>
    <xf numFmtId="49" fontId="5" fillId="14" borderId="0" xfId="0" applyNumberFormat="1" applyFont="1" applyFill="1" applyAlignment="1">
      <alignment horizontal="center"/>
    </xf>
    <xf numFmtId="0" fontId="7" fillId="14" borderId="0" xfId="0" applyNumberFormat="1" applyFont="1" applyFill="1" applyAlignment="1" applyProtection="1">
      <alignment horizontal="center"/>
      <protection locked="0"/>
    </xf>
    <xf numFmtId="0" fontId="7" fillId="14" borderId="0" xfId="0" applyNumberFormat="1" applyFont="1" applyFill="1" applyAlignment="1"/>
    <xf numFmtId="3" fontId="7" fillId="14" borderId="0" xfId="0" applyNumberFormat="1" applyFont="1" applyFill="1" applyAlignment="1"/>
    <xf numFmtId="3" fontId="6" fillId="14" borderId="0" xfId="0" applyNumberFormat="1" applyFont="1" applyFill="1" applyAlignment="1"/>
    <xf numFmtId="165" fontId="5" fillId="14" borderId="0" xfId="0" applyNumberFormat="1" applyFont="1" applyFill="1" applyAlignment="1"/>
    <xf numFmtId="37" fontId="5" fillId="14" borderId="1" xfId="0" applyNumberFormat="1" applyFont="1" applyFill="1" applyBorder="1" applyAlignment="1"/>
    <xf numFmtId="164" fontId="5" fillId="14" borderId="0" xfId="0" applyNumberFormat="1" applyFont="1" applyFill="1" applyAlignment="1">
      <alignment horizontal="right"/>
    </xf>
    <xf numFmtId="164" fontId="5" fillId="14" borderId="0" xfId="0" applyNumberFormat="1" applyFont="1" applyFill="1" applyAlignment="1">
      <alignment horizontal="center"/>
    </xf>
    <xf numFmtId="0" fontId="5" fillId="14" borderId="0" xfId="0" applyNumberFormat="1" applyFont="1" applyFill="1" applyAlignment="1">
      <alignment horizontal="fill"/>
    </xf>
    <xf numFmtId="0" fontId="5" fillId="14" borderId="0" xfId="0" quotePrefix="1" applyNumberFormat="1" applyFont="1" applyFill="1" applyAlignment="1" applyProtection="1">
      <alignment horizontal="left"/>
      <protection locked="0"/>
    </xf>
    <xf numFmtId="37" fontId="5" fillId="14" borderId="0" xfId="0" applyNumberFormat="1" applyFont="1" applyFill="1" applyBorder="1" applyAlignment="1"/>
    <xf numFmtId="3" fontId="5" fillId="14" borderId="0" xfId="0" applyNumberFormat="1" applyFont="1" applyFill="1" applyAlignment="1">
      <alignment horizontal="center"/>
    </xf>
    <xf numFmtId="42" fontId="5" fillId="14" borderId="2" xfId="0" applyNumberFormat="1" applyFont="1" applyFill="1" applyBorder="1" applyAlignment="1"/>
    <xf numFmtId="3" fontId="5" fillId="14" borderId="0" xfId="0" applyNumberFormat="1" applyFont="1" applyFill="1" applyAlignment="1" applyProtection="1">
      <alignment horizontal="centerContinuous"/>
      <protection locked="0"/>
    </xf>
    <xf numFmtId="0" fontId="5" fillId="14" borderId="0" xfId="0" applyNumberFormat="1" applyFont="1" applyFill="1" applyBorder="1" applyAlignment="1" applyProtection="1">
      <alignment horizontal="center"/>
      <protection locked="0"/>
    </xf>
    <xf numFmtId="173" fontId="89" fillId="14" borderId="0" xfId="0" applyFont="1" applyFill="1" applyAlignment="1"/>
    <xf numFmtId="0" fontId="89" fillId="14" borderId="0" xfId="0" applyNumberFormat="1" applyFont="1" applyFill="1" applyAlignment="1"/>
    <xf numFmtId="173" fontId="89" fillId="14" borderId="0" xfId="0" applyFont="1" applyFill="1" applyAlignment="1">
      <alignment horizontal="center"/>
    </xf>
    <xf numFmtId="0" fontId="89" fillId="14" borderId="0" xfId="0" applyNumberFormat="1" applyFont="1" applyFill="1" applyAlignment="1" applyProtection="1">
      <alignment horizontal="center"/>
      <protection locked="0"/>
    </xf>
    <xf numFmtId="3" fontId="89" fillId="14" borderId="0" xfId="0" applyNumberFormat="1" applyFont="1" applyFill="1" applyAlignment="1"/>
    <xf numFmtId="0" fontId="89" fillId="14" borderId="0" xfId="0" applyNumberFormat="1" applyFont="1" applyFill="1" applyAlignment="1" applyProtection="1">
      <alignment horizontal="centerContinuous"/>
      <protection locked="0"/>
    </xf>
    <xf numFmtId="173" fontId="89" fillId="14" borderId="0" xfId="0" applyFont="1" applyFill="1" applyAlignment="1">
      <alignment horizontal="centerContinuous"/>
    </xf>
    <xf numFmtId="0" fontId="90" fillId="14" borderId="0" xfId="0" applyNumberFormat="1" applyFont="1" applyFill="1" applyAlignment="1" applyProtection="1">
      <alignment horizontal="center"/>
      <protection locked="0"/>
    </xf>
    <xf numFmtId="0" fontId="7" fillId="14" borderId="0" xfId="0" applyNumberFormat="1" applyFont="1" applyFill="1" applyProtection="1">
      <protection locked="0"/>
    </xf>
    <xf numFmtId="0" fontId="6" fillId="14" borderId="0" xfId="0" applyNumberFormat="1" applyFont="1" applyFill="1" applyAlignment="1">
      <alignment horizontal="center"/>
    </xf>
    <xf numFmtId="0" fontId="7" fillId="14" borderId="0" xfId="0" applyNumberFormat="1" applyFont="1" applyFill="1" applyAlignment="1">
      <alignment horizontal="center"/>
    </xf>
    <xf numFmtId="0" fontId="5" fillId="14" borderId="0" xfId="0" applyNumberFormat="1" applyFont="1" applyFill="1" applyAlignment="1">
      <alignment horizontal="left" indent="1"/>
    </xf>
    <xf numFmtId="0" fontId="5" fillId="14" borderId="0" xfId="0" quotePrefix="1" applyNumberFormat="1" applyFont="1" applyFill="1" applyAlignment="1" applyProtection="1">
      <alignment horizontal="center"/>
      <protection locked="0"/>
    </xf>
    <xf numFmtId="0" fontId="5" fillId="14" borderId="0" xfId="0" applyNumberFormat="1" applyFont="1" applyFill="1" applyAlignment="1">
      <alignment horizontal="left" indent="3"/>
    </xf>
    <xf numFmtId="166" fontId="5" fillId="14" borderId="0" xfId="0" applyNumberFormat="1" applyFont="1" applyFill="1" applyAlignment="1">
      <alignment horizontal="center"/>
    </xf>
    <xf numFmtId="164" fontId="5" fillId="14" borderId="0" xfId="0" applyNumberFormat="1" applyFont="1" applyFill="1" applyAlignment="1">
      <alignment horizontal="left"/>
    </xf>
    <xf numFmtId="275" fontId="5" fillId="14" borderId="0" xfId="0" applyNumberFormat="1" applyFont="1" applyFill="1" applyAlignment="1">
      <alignment horizontal="right"/>
    </xf>
    <xf numFmtId="169" fontId="5" fillId="14" borderId="0" xfId="0" applyNumberFormat="1" applyFont="1" applyFill="1" applyAlignment="1">
      <alignment horizontal="right"/>
    </xf>
    <xf numFmtId="10" fontId="5" fillId="14" borderId="0" xfId="0" applyNumberFormat="1" applyFont="1" applyFill="1" applyAlignment="1">
      <alignment horizontal="left"/>
    </xf>
    <xf numFmtId="3" fontId="5" fillId="14" borderId="0" xfId="0" applyNumberFormat="1" applyFont="1" applyFill="1" applyAlignment="1">
      <alignment horizontal="left"/>
    </xf>
    <xf numFmtId="164" fontId="5" fillId="14" borderId="0" xfId="0" applyNumberFormat="1" applyFont="1" applyFill="1" applyAlignment="1" applyProtection="1">
      <alignment horizontal="left"/>
      <protection locked="0"/>
    </xf>
    <xf numFmtId="42" fontId="5" fillId="14" borderId="0" xfId="0" applyNumberFormat="1" applyFont="1" applyFill="1" applyAlignment="1">
      <alignment horizontal="right"/>
    </xf>
    <xf numFmtId="167" fontId="5" fillId="14" borderId="0" xfId="0" applyNumberFormat="1" applyFont="1" applyFill="1" applyAlignment="1"/>
    <xf numFmtId="3" fontId="5" fillId="14" borderId="0" xfId="0" applyNumberFormat="1" applyFont="1" applyFill="1" applyBorder="1" applyAlignment="1"/>
    <xf numFmtId="0" fontId="7" fillId="14" borderId="0" xfId="0" applyNumberFormat="1" applyFont="1" applyFill="1" applyAlignment="1">
      <alignment horizontal="centerContinuous"/>
    </xf>
    <xf numFmtId="0" fontId="7" fillId="14" borderId="0" xfId="0" applyNumberFormat="1" applyFont="1" applyFill="1" applyBorder="1" applyAlignment="1" applyProtection="1">
      <protection locked="0"/>
    </xf>
    <xf numFmtId="3" fontId="5" fillId="14" borderId="1" xfId="0" applyNumberFormat="1" applyFont="1" applyFill="1" applyBorder="1" applyAlignment="1"/>
    <xf numFmtId="49" fontId="5" fillId="14" borderId="0" xfId="0" applyNumberFormat="1" applyFont="1" applyFill="1" applyAlignment="1"/>
    <xf numFmtId="165" fontId="5" fillId="14" borderId="0" xfId="0" applyNumberFormat="1" applyFont="1" applyFill="1" applyAlignment="1">
      <alignment horizontal="right"/>
    </xf>
    <xf numFmtId="165" fontId="5" fillId="14" borderId="0" xfId="0" applyNumberFormat="1" applyFont="1" applyFill="1"/>
    <xf numFmtId="166" fontId="5" fillId="14" borderId="0" xfId="0" applyNumberFormat="1" applyFont="1" applyFill="1"/>
    <xf numFmtId="3" fontId="5" fillId="14" borderId="1" xfId="0" applyNumberFormat="1" applyFont="1" applyFill="1" applyBorder="1" applyAlignment="1">
      <alignment horizontal="center"/>
    </xf>
    <xf numFmtId="4" fontId="5" fillId="14" borderId="0" xfId="0" applyNumberFormat="1" applyFont="1" applyFill="1" applyAlignment="1"/>
    <xf numFmtId="3" fontId="5" fillId="14" borderId="0" xfId="0" applyNumberFormat="1" applyFont="1" applyFill="1" applyBorder="1" applyAlignment="1">
      <alignment horizontal="center"/>
    </xf>
    <xf numFmtId="166" fontId="5" fillId="14" borderId="0" xfId="0" applyNumberFormat="1" applyFont="1" applyFill="1" applyAlignment="1" applyProtection="1">
      <alignment horizontal="center"/>
      <protection locked="0"/>
    </xf>
    <xf numFmtId="0" fontId="5" fillId="14" borderId="0" xfId="0" applyNumberFormat="1" applyFont="1" applyFill="1" applyAlignment="1">
      <alignment horizontal="left"/>
    </xf>
    <xf numFmtId="0" fontId="5" fillId="14" borderId="1" xfId="0" applyNumberFormat="1" applyFont="1" applyFill="1" applyBorder="1" applyAlignment="1"/>
    <xf numFmtId="0" fontId="7" fillId="14" borderId="0" xfId="0" applyNumberFormat="1" applyFont="1" applyFill="1" applyAlignment="1" applyProtection="1">
      <protection locked="0"/>
    </xf>
    <xf numFmtId="173" fontId="5" fillId="14" borderId="0" xfId="0" applyFont="1" applyFill="1" applyAlignment="1" applyProtection="1"/>
    <xf numFmtId="38" fontId="5" fillId="14" borderId="0" xfId="0" applyNumberFormat="1" applyFont="1" applyFill="1" applyAlignment="1" applyProtection="1"/>
    <xf numFmtId="173" fontId="5" fillId="14" borderId="1" xfId="0" applyFont="1" applyFill="1" applyBorder="1" applyAlignment="1"/>
    <xf numFmtId="0" fontId="5" fillId="14" borderId="1" xfId="0" applyNumberFormat="1" applyFont="1" applyFill="1" applyBorder="1" applyProtection="1">
      <protection locked="0"/>
    </xf>
    <xf numFmtId="38" fontId="5" fillId="14" borderId="0" xfId="0" applyNumberFormat="1" applyFont="1" applyFill="1" applyAlignment="1"/>
    <xf numFmtId="172" fontId="5" fillId="14" borderId="0" xfId="0" applyNumberFormat="1" applyFont="1" applyFill="1" applyProtection="1">
      <protection locked="0"/>
    </xf>
    <xf numFmtId="170" fontId="5" fillId="14" borderId="0" xfId="0" applyNumberFormat="1" applyFont="1" applyFill="1" applyBorder="1" applyProtection="1"/>
    <xf numFmtId="1" fontId="5" fillId="14" borderId="0" xfId="0" applyNumberFormat="1" applyFont="1" applyFill="1" applyProtection="1"/>
    <xf numFmtId="168" fontId="5" fillId="14" borderId="0" xfId="0" applyNumberFormat="1" applyFont="1" applyFill="1" applyProtection="1">
      <protection locked="0"/>
    </xf>
    <xf numFmtId="173" fontId="5" fillId="14" borderId="0" xfId="0" applyNumberFormat="1" applyFont="1" applyFill="1" applyAlignment="1" applyProtection="1">
      <protection locked="0"/>
    </xf>
    <xf numFmtId="3" fontId="5" fillId="14" borderId="0" xfId="0" applyNumberFormat="1" applyFont="1" applyFill="1" applyAlignment="1" applyProtection="1"/>
    <xf numFmtId="0" fontId="26" fillId="14" borderId="0" xfId="0" applyNumberFormat="1" applyFont="1" applyFill="1" applyProtection="1">
      <protection locked="0"/>
    </xf>
    <xf numFmtId="0" fontId="34" fillId="14" borderId="0" xfId="0" applyNumberFormat="1" applyFont="1" applyFill="1" applyAlignment="1" applyProtection="1">
      <alignment horizontal="center"/>
      <protection locked="0"/>
    </xf>
    <xf numFmtId="0" fontId="34" fillId="14" borderId="0" xfId="0" applyNumberFormat="1" applyFont="1" applyFill="1" applyAlignment="1" applyProtection="1">
      <alignment horizontal="left"/>
      <protection locked="0"/>
    </xf>
    <xf numFmtId="3" fontId="34" fillId="14" borderId="0" xfId="0" applyNumberFormat="1" applyFont="1" applyFill="1" applyAlignment="1">
      <alignment horizontal="center"/>
    </xf>
    <xf numFmtId="173" fontId="5" fillId="14" borderId="0" xfId="0" applyFont="1" applyFill="1" applyAlignment="1">
      <alignment horizontal="center"/>
    </xf>
    <xf numFmtId="49" fontId="5" fillId="14" borderId="0" xfId="0" applyNumberFormat="1" applyFont="1" applyFill="1" applyAlignment="1" applyProtection="1">
      <alignment horizontal="centerContinuous"/>
      <protection locked="0"/>
    </xf>
    <xf numFmtId="49" fontId="5" fillId="0" borderId="0" xfId="326" applyNumberFormat="1" applyFont="1" applyAlignment="1">
      <alignment horizontal="centerContinuous"/>
    </xf>
    <xf numFmtId="43" fontId="5" fillId="0" borderId="0" xfId="1" applyFont="1"/>
    <xf numFmtId="174" fontId="5" fillId="0" borderId="0" xfId="1" applyNumberFormat="1" applyFont="1"/>
    <xf numFmtId="174" fontId="5" fillId="0" borderId="0" xfId="1" applyNumberFormat="1" applyFont="1" applyBorder="1"/>
    <xf numFmtId="174" fontId="5" fillId="0" borderId="0" xfId="1" applyNumberFormat="1" applyFont="1" applyFill="1"/>
    <xf numFmtId="0" fontId="96" fillId="0" borderId="0" xfId="10" applyFont="1" applyAlignment="1">
      <alignment horizontal="centerContinuous"/>
    </xf>
    <xf numFmtId="0" fontId="5" fillId="0" borderId="0" xfId="0" quotePrefix="1" applyNumberFormat="1" applyFont="1" applyFill="1" applyAlignment="1">
      <alignment horizontal="left" indent="1"/>
    </xf>
    <xf numFmtId="3" fontId="5" fillId="0" borderId="0" xfId="0" applyNumberFormat="1" applyFont="1" applyFill="1"/>
    <xf numFmtId="0" fontId="5" fillId="0" borderId="0" xfId="0" applyNumberFormat="1" applyFont="1" applyFill="1"/>
    <xf numFmtId="0" fontId="5" fillId="0" borderId="0" xfId="0" applyNumberFormat="1" applyFont="1" applyFill="1" applyProtection="1">
      <protection locked="0"/>
    </xf>
    <xf numFmtId="3" fontId="5" fillId="0" borderId="0" xfId="0" applyNumberFormat="1" applyFont="1" applyFill="1" applyAlignment="1"/>
    <xf numFmtId="0" fontId="7" fillId="0" borderId="0" xfId="7" applyFont="1" applyFill="1" applyAlignment="1">
      <alignment horizontal="left" vertical="center"/>
    </xf>
    <xf numFmtId="0" fontId="95" fillId="0" borderId="0" xfId="7" applyFont="1" applyFill="1" applyAlignment="1">
      <alignment horizontal="left" vertical="center"/>
    </xf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6" xfId="0" applyNumberFormat="1" applyFont="1" applyBorder="1" applyAlignment="1">
      <alignment horizontal="center"/>
    </xf>
    <xf numFmtId="0" fontId="5" fillId="0" borderId="6" xfId="0" applyNumberFormat="1" applyFont="1" applyBorder="1"/>
    <xf numFmtId="0" fontId="5" fillId="0" borderId="0" xfId="0" applyNumberFormat="1" applyFont="1" applyBorder="1"/>
    <xf numFmtId="0" fontId="5" fillId="0" borderId="0" xfId="0" applyNumberFormat="1" applyFont="1" applyBorder="1" applyAlignment="1">
      <alignment horizontal="right"/>
    </xf>
    <xf numFmtId="0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42" fontId="5" fillId="0" borderId="0" xfId="0" applyNumberFormat="1" applyFont="1" applyFill="1" applyAlignment="1"/>
    <xf numFmtId="166" fontId="5" fillId="0" borderId="0" xfId="0" applyNumberFormat="1" applyFont="1" applyFill="1" applyAlignment="1"/>
    <xf numFmtId="37" fontId="5" fillId="0" borderId="0" xfId="0" applyNumberFormat="1" applyFont="1" applyFill="1" applyAlignment="1"/>
    <xf numFmtId="37" fontId="5" fillId="14" borderId="6" xfId="0" applyNumberFormat="1" applyFont="1" applyFill="1" applyBorder="1" applyAlignment="1"/>
    <xf numFmtId="37" fontId="5" fillId="14" borderId="0" xfId="0" quotePrefix="1" applyNumberFormat="1" applyFont="1" applyFill="1" applyAlignment="1"/>
    <xf numFmtId="0" fontId="24" fillId="0" borderId="0" xfId="9" applyFont="1" applyFill="1" applyAlignment="1">
      <alignment horizontal="center"/>
    </xf>
    <xf numFmtId="0" fontId="11" fillId="0" borderId="0" xfId="8" applyFont="1"/>
    <xf numFmtId="41" fontId="11" fillId="0" borderId="0" xfId="13" applyNumberFormat="1" applyFont="1" applyBorder="1"/>
    <xf numFmtId="173" fontId="11" fillId="0" borderId="0" xfId="0" applyFont="1" applyAlignment="1"/>
    <xf numFmtId="0" fontId="11" fillId="0" borderId="0" xfId="1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49" fontId="99" fillId="0" borderId="0" xfId="10" applyNumberFormat="1" applyFont="1" applyAlignment="1">
      <alignment horizontal="centerContinuous"/>
    </xf>
    <xf numFmtId="0" fontId="25" fillId="0" borderId="0" xfId="9" applyFont="1" applyFill="1" applyAlignment="1">
      <alignment horizontal="center"/>
    </xf>
    <xf numFmtId="0" fontId="8" fillId="0" borderId="0" xfId="15" applyFont="1" applyFill="1" applyAlignment="1">
      <alignment horizontal="center"/>
    </xf>
    <xf numFmtId="15" fontId="8" fillId="0" borderId="0" xfId="15" quotePrefix="1" applyNumberFormat="1" applyFont="1" applyFill="1" applyAlignment="1">
      <alignment horizontal="center"/>
    </xf>
    <xf numFmtId="0" fontId="5" fillId="0" borderId="0" xfId="8" applyFont="1" applyAlignment="1">
      <alignment horizontal="centerContinuous"/>
    </xf>
    <xf numFmtId="173" fontId="7" fillId="0" borderId="0" xfId="0" applyFont="1" applyAlignment="1">
      <alignment horizontal="center"/>
    </xf>
    <xf numFmtId="173" fontId="5" fillId="0" borderId="0" xfId="0" applyFont="1" applyAlignment="1">
      <alignment horizontal="right"/>
    </xf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Protection="1">
      <protection locked="0"/>
    </xf>
    <xf numFmtId="37" fontId="5" fillId="14" borderId="0" xfId="0" applyNumberFormat="1" applyFont="1" applyFill="1" applyBorder="1" applyProtection="1">
      <protection locked="0"/>
    </xf>
    <xf numFmtId="10" fontId="5" fillId="0" borderId="0" xfId="0" applyNumberFormat="1" applyFont="1" applyFill="1"/>
    <xf numFmtId="43" fontId="5" fillId="14" borderId="0" xfId="1" applyFont="1" applyFill="1" applyAlignment="1">
      <alignment horizontal="left"/>
    </xf>
    <xf numFmtId="39" fontId="5" fillId="14" borderId="0" xfId="0" applyNumberFormat="1" applyFont="1" applyFill="1" applyAlignment="1"/>
    <xf numFmtId="39" fontId="5" fillId="14" borderId="1" xfId="0" applyNumberFormat="1" applyFont="1" applyFill="1" applyBorder="1" applyAlignment="1"/>
    <xf numFmtId="43" fontId="5" fillId="14" borderId="0" xfId="1" applyFont="1" applyFill="1"/>
    <xf numFmtId="173" fontId="5" fillId="14" borderId="0" xfId="0" applyNumberFormat="1" applyFont="1" applyFill="1" applyAlignment="1" applyProtection="1">
      <alignment horizontal="left"/>
      <protection locked="0"/>
    </xf>
    <xf numFmtId="174" fontId="11" fillId="0" borderId="0" xfId="1" applyNumberFormat="1" applyFont="1" applyFill="1" applyAlignment="1"/>
    <xf numFmtId="174" fontId="11" fillId="0" borderId="0" xfId="1" applyNumberFormat="1" applyFont="1" applyFill="1"/>
    <xf numFmtId="41" fontId="11" fillId="0" borderId="0" xfId="1" applyNumberFormat="1" applyFont="1" applyFill="1"/>
    <xf numFmtId="173" fontId="0" fillId="0" borderId="0" xfId="0" applyFill="1" applyAlignment="1"/>
    <xf numFmtId="174" fontId="11" fillId="0" borderId="6" xfId="1" applyNumberFormat="1" applyFont="1" applyFill="1" applyBorder="1"/>
    <xf numFmtId="0" fontId="19" fillId="0" borderId="0" xfId="10" applyFont="1" applyFill="1" applyAlignment="1">
      <alignment horizontal="center"/>
    </xf>
    <xf numFmtId="41" fontId="11" fillId="0" borderId="6" xfId="1" applyNumberFormat="1" applyFont="1" applyFill="1" applyBorder="1"/>
    <xf numFmtId="174" fontId="11" fillId="0" borderId="8" xfId="1" applyNumberFormat="1" applyFont="1" applyFill="1" applyBorder="1" applyAlignment="1"/>
    <xf numFmtId="174" fontId="11" fillId="0" borderId="2" xfId="1" applyNumberFormat="1" applyFont="1" applyFill="1" applyBorder="1"/>
    <xf numFmtId="10" fontId="5" fillId="0" borderId="0" xfId="372" applyNumberFormat="1" applyFont="1"/>
    <xf numFmtId="164" fontId="5" fillId="0" borderId="0" xfId="11" applyNumberFormat="1" applyFont="1" applyAlignment="1"/>
    <xf numFmtId="164" fontId="5" fillId="0" borderId="2" xfId="11" applyNumberFormat="1" applyFont="1" applyBorder="1" applyAlignment="1"/>
    <xf numFmtId="3" fontId="5" fillId="0" borderId="0" xfId="0" applyNumberFormat="1" applyFont="1" applyBorder="1" applyAlignment="1"/>
    <xf numFmtId="175" fontId="7" fillId="0" borderId="0" xfId="0" applyNumberFormat="1" applyFont="1" applyBorder="1"/>
    <xf numFmtId="174" fontId="5" fillId="0" borderId="0" xfId="89" applyNumberFormat="1" applyFont="1" applyFill="1" applyBorder="1"/>
    <xf numFmtId="175" fontId="5" fillId="14" borderId="0" xfId="327" applyNumberFormat="1" applyFont="1" applyFill="1" applyAlignment="1"/>
    <xf numFmtId="164" fontId="5" fillId="14" borderId="0" xfId="372" applyNumberFormat="1" applyFont="1" applyFill="1" applyAlignment="1"/>
    <xf numFmtId="164" fontId="5" fillId="14" borderId="1" xfId="372" applyNumberFormat="1" applyFont="1" applyFill="1" applyBorder="1" applyAlignment="1"/>
    <xf numFmtId="43" fontId="7" fillId="14" borderId="0" xfId="1" applyFont="1" applyFill="1" applyAlignment="1"/>
    <xf numFmtId="164" fontId="7" fillId="14" borderId="0" xfId="372" applyNumberFormat="1" applyFont="1" applyFill="1" applyBorder="1" applyAlignment="1"/>
    <xf numFmtId="0" fontId="11" fillId="0" borderId="6" xfId="8" applyFont="1" applyFill="1" applyBorder="1"/>
    <xf numFmtId="173" fontId="5" fillId="0" borderId="6" xfId="0" applyFont="1" applyBorder="1" applyAlignment="1"/>
    <xf numFmtId="0" fontId="92" fillId="0" borderId="6" xfId="325" applyNumberFormat="1" applyFont="1" applyFill="1" applyBorder="1" applyAlignment="1" applyProtection="1">
      <alignment horizontal="center"/>
      <protection locked="0"/>
    </xf>
    <xf numFmtId="0" fontId="5" fillId="0" borderId="6" xfId="326" applyFont="1" applyFill="1" applyBorder="1"/>
    <xf numFmtId="0" fontId="5" fillId="0" borderId="6" xfId="326" applyNumberFormat="1" applyFont="1" applyFill="1" applyBorder="1"/>
    <xf numFmtId="173" fontId="5" fillId="0" borderId="0" xfId="0" applyFont="1" applyBorder="1" applyAlignment="1"/>
    <xf numFmtId="173" fontId="5" fillId="0" borderId="0" xfId="0" quotePrefix="1" applyFont="1" applyAlignment="1"/>
    <xf numFmtId="0" fontId="5" fillId="0" borderId="0" xfId="7" applyFont="1" applyFill="1" applyAlignment="1">
      <alignment horizontal="left" vertical="center"/>
    </xf>
    <xf numFmtId="0" fontId="5" fillId="0" borderId="0" xfId="7" applyFont="1" applyFill="1" applyAlignment="1">
      <alignment horizontal="left"/>
    </xf>
    <xf numFmtId="0" fontId="5" fillId="0" borderId="0" xfId="7" applyFont="1" applyFill="1" applyAlignment="1">
      <alignment horizontal="left" vertical="center" wrapText="1"/>
    </xf>
    <xf numFmtId="42" fontId="29" fillId="0" borderId="0" xfId="6" applyNumberFormat="1" applyFont="1" applyFill="1" applyAlignment="1">
      <alignment vertical="center"/>
    </xf>
    <xf numFmtId="41" fontId="16" fillId="0" borderId="0" xfId="7" applyNumberFormat="1" applyFont="1" applyBorder="1"/>
    <xf numFmtId="0" fontId="5" fillId="0" borderId="6" xfId="7" quotePrefix="1" applyFont="1" applyBorder="1"/>
    <xf numFmtId="43" fontId="98" fillId="0" borderId="0" xfId="1" applyFont="1"/>
    <xf numFmtId="173" fontId="5" fillId="0" borderId="0" xfId="0" applyFont="1" applyFill="1" applyAlignment="1">
      <alignment horizontal="center"/>
    </xf>
    <xf numFmtId="0" fontId="7" fillId="0" borderId="0" xfId="7" applyFont="1" applyBorder="1" applyAlignment="1">
      <alignment horizontal="center"/>
    </xf>
    <xf numFmtId="0" fontId="26" fillId="0" borderId="0" xfId="0" applyNumberFormat="1" applyFont="1" applyFill="1" applyProtection="1">
      <protection locked="0"/>
    </xf>
    <xf numFmtId="0" fontId="34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Alignment="1"/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73" fontId="5" fillId="0" borderId="0" xfId="0" applyFont="1" applyAlignment="1">
      <alignment wrapText="1"/>
    </xf>
    <xf numFmtId="173" fontId="0" fillId="0" borderId="0" xfId="0" applyAlignment="1">
      <alignment wrapText="1"/>
    </xf>
    <xf numFmtId="172" fontId="5" fillId="0" borderId="0" xfId="0" applyNumberFormat="1" applyFont="1" applyFill="1" applyBorder="1" applyAlignment="1"/>
    <xf numFmtId="0" fontId="5" fillId="13" borderId="0" xfId="0" applyNumberFormat="1" applyFont="1" applyFill="1"/>
    <xf numFmtId="0" fontId="105" fillId="0" borderId="0" xfId="0" applyNumberFormat="1" applyFont="1"/>
    <xf numFmtId="0" fontId="105" fillId="0" borderId="0" xfId="0" applyNumberFormat="1" applyFont="1" applyBorder="1"/>
    <xf numFmtId="164" fontId="7" fillId="0" borderId="0" xfId="0" applyNumberFormat="1" applyFont="1" applyAlignment="1">
      <alignment horizontal="right"/>
    </xf>
    <xf numFmtId="43" fontId="7" fillId="0" borderId="0" xfId="89" applyFont="1" applyAlignment="1"/>
    <xf numFmtId="171" fontId="5" fillId="0" borderId="0" xfId="0" applyNumberFormat="1" applyFont="1" applyFill="1" applyAlignment="1">
      <alignment horizontal="left"/>
    </xf>
    <xf numFmtId="277" fontId="5" fillId="0" borderId="0" xfId="325" applyNumberFormat="1" applyFont="1" applyFill="1" applyBorder="1" applyAlignment="1" applyProtection="1">
      <protection locked="0"/>
    </xf>
    <xf numFmtId="277" fontId="5" fillId="0" borderId="0" xfId="325" applyNumberFormat="1" applyFont="1" applyFill="1" applyAlignment="1"/>
    <xf numFmtId="277" fontId="5" fillId="0" borderId="0" xfId="0" applyNumberFormat="1" applyFont="1" applyAlignment="1"/>
    <xf numFmtId="0" fontId="5" fillId="0" borderId="0" xfId="1" applyNumberFormat="1" applyFont="1" applyAlignment="1">
      <alignment horizontal="center"/>
    </xf>
    <xf numFmtId="277" fontId="5" fillId="0" borderId="8" xfId="0" applyNumberFormat="1" applyFont="1" applyBorder="1" applyAlignment="1"/>
    <xf numFmtId="164" fontId="5" fillId="0" borderId="0" xfId="372" applyNumberFormat="1" applyFont="1" applyAlignment="1"/>
    <xf numFmtId="277" fontId="5" fillId="0" borderId="18" xfId="0" applyNumberFormat="1" applyFont="1" applyBorder="1" applyAlignment="1"/>
    <xf numFmtId="0" fontId="5" fillId="0" borderId="0" xfId="325" quotePrefix="1" applyNumberFormat="1" applyFont="1" applyFill="1" applyAlignment="1" applyProtection="1">
      <alignment horizontal="center" vertical="center"/>
      <protection locked="0"/>
    </xf>
    <xf numFmtId="173" fontId="5" fillId="0" borderId="0" xfId="0" quotePrefix="1" applyFont="1" applyAlignment="1">
      <alignment vertical="center"/>
    </xf>
    <xf numFmtId="174" fontId="5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0" xfId="0" applyBorder="1" applyAlignment="1"/>
    <xf numFmtId="173" fontId="106" fillId="0" borderId="0" xfId="0" applyFont="1" applyAlignment="1"/>
    <xf numFmtId="0" fontId="5" fillId="0" borderId="0" xfId="7" quotePrefix="1" applyFont="1" applyAlignment="1">
      <alignment horizontal="left"/>
    </xf>
    <xf numFmtId="0" fontId="5" fillId="0" borderId="0" xfId="0" applyNumberFormat="1" applyFont="1" applyFill="1" applyAlignment="1" applyProtection="1">
      <alignment horizontal="centerContinuous"/>
      <protection locked="0"/>
    </xf>
    <xf numFmtId="3" fontId="5" fillId="0" borderId="0" xfId="0" applyNumberFormat="1" applyFont="1" applyFill="1" applyAlignment="1">
      <alignment horizontal="centerContinuous"/>
    </xf>
    <xf numFmtId="173" fontId="5" fillId="0" borderId="0" xfId="0" applyFont="1" applyFill="1" applyAlignment="1">
      <alignment horizontal="centerContinuous"/>
    </xf>
    <xf numFmtId="0" fontId="5" fillId="0" borderId="0" xfId="326" applyNumberFormat="1" applyFont="1" applyBorder="1"/>
    <xf numFmtId="0" fontId="5" fillId="0" borderId="0" xfId="325" applyNumberFormat="1" applyFont="1" applyBorder="1" applyProtection="1">
      <protection locked="0"/>
    </xf>
    <xf numFmtId="1" fontId="5" fillId="0" borderId="0" xfId="325" applyNumberFormat="1" applyFont="1" applyBorder="1" applyAlignment="1" applyProtection="1">
      <alignment horizontal="center"/>
      <protection locked="0"/>
    </xf>
    <xf numFmtId="41" fontId="5" fillId="0" borderId="0" xfId="0" applyNumberFormat="1" applyFont="1" applyFill="1" applyBorder="1" applyAlignment="1"/>
    <xf numFmtId="173" fontId="6" fillId="0" borderId="0" xfId="0" applyFont="1" applyAlignment="1">
      <alignment horizontal="center"/>
    </xf>
    <xf numFmtId="0" fontId="11" fillId="0" borderId="0" xfId="1" applyNumberFormat="1" applyFont="1" applyFill="1" applyAlignment="1">
      <alignment horizontal="center"/>
    </xf>
    <xf numFmtId="174" fontId="11" fillId="0" borderId="0" xfId="1" quotePrefix="1" applyNumberFormat="1" applyFont="1" applyFill="1" applyAlignment="1">
      <alignment horizontal="center"/>
    </xf>
    <xf numFmtId="0" fontId="5" fillId="15" borderId="0" xfId="0" applyNumberFormat="1" applyFont="1" applyFill="1" applyAlignment="1"/>
    <xf numFmtId="173" fontId="0" fillId="15" borderId="0" xfId="0" applyFill="1" applyAlignment="1"/>
    <xf numFmtId="0" fontId="31" fillId="0" borderId="0" xfId="5" applyFont="1" applyFill="1" applyBorder="1" applyAlignment="1">
      <alignment horizontal="left" indent="1"/>
    </xf>
    <xf numFmtId="173" fontId="108" fillId="0" borderId="0" xfId="0" applyFont="1" applyAlignment="1"/>
    <xf numFmtId="173" fontId="5" fillId="0" borderId="0" xfId="0" applyFont="1" applyAlignment="1">
      <alignment horizontal="center"/>
    </xf>
    <xf numFmtId="0" fontId="95" fillId="0" borderId="0" xfId="7" applyFont="1"/>
    <xf numFmtId="173" fontId="5" fillId="0" borderId="0" xfId="0" quotePrefix="1" applyFont="1" applyAlignment="1">
      <alignment horizontal="center"/>
    </xf>
    <xf numFmtId="173" fontId="89" fillId="0" borderId="0" xfId="0" applyFont="1" applyAlignment="1">
      <alignment horizontal="center"/>
    </xf>
    <xf numFmtId="0" fontId="5" fillId="0" borderId="0" xfId="6" applyFont="1" applyFill="1" applyAlignment="1">
      <alignment horizontal="center"/>
    </xf>
    <xf numFmtId="0" fontId="7" fillId="0" borderId="0" xfId="5" applyFont="1" applyBorder="1" applyAlignment="1">
      <alignment horizontal="left"/>
    </xf>
    <xf numFmtId="0" fontId="7" fillId="0" borderId="0" xfId="7" applyFont="1" applyAlignment="1">
      <alignment horizontal="left"/>
    </xf>
    <xf numFmtId="173" fontId="7" fillId="0" borderId="0" xfId="0" applyFont="1" applyAlignment="1"/>
    <xf numFmtId="175" fontId="7" fillId="0" borderId="12" xfId="7" applyNumberFormat="1" applyFont="1" applyBorder="1" applyAlignment="1">
      <alignment horizontal="center"/>
    </xf>
    <xf numFmtId="173" fontId="97" fillId="0" borderId="0" xfId="0" applyFont="1" applyAlignment="1">
      <alignment horizontal="center"/>
    </xf>
    <xf numFmtId="0" fontId="97" fillId="0" borderId="0" xfId="7" applyFont="1" applyAlignment="1">
      <alignment horizontal="center"/>
    </xf>
    <xf numFmtId="0" fontId="97" fillId="0" borderId="0" xfId="7" applyFont="1" applyBorder="1" applyAlignment="1">
      <alignment horizontal="center"/>
    </xf>
    <xf numFmtId="0" fontId="95" fillId="0" borderId="0" xfId="7" applyFont="1" applyAlignment="1">
      <alignment horizontal="left"/>
    </xf>
    <xf numFmtId="0" fontId="5" fillId="0" borderId="0" xfId="7" applyFont="1" applyAlignment="1">
      <alignment horizontal="center"/>
    </xf>
    <xf numFmtId="0" fontId="5" fillId="0" borderId="0" xfId="7" applyFont="1" applyFill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0" applyNumberFormat="1" applyFont="1" applyFill="1" applyAlignment="1"/>
    <xf numFmtId="0" fontId="5" fillId="0" borderId="0" xfId="0" quotePrefix="1" applyNumberFormat="1" applyFont="1" applyFill="1" applyAlignment="1" applyProtection="1">
      <alignment horizontal="left"/>
      <protection locked="0"/>
    </xf>
    <xf numFmtId="0" fontId="5" fillId="0" borderId="0" xfId="6" quotePrefix="1" applyFont="1" applyAlignment="1">
      <alignment horizontal="center"/>
    </xf>
    <xf numFmtId="0" fontId="5" fillId="0" borderId="0" xfId="6" applyFont="1" applyAlignment="1">
      <alignment horizontal="center"/>
    </xf>
    <xf numFmtId="173" fontId="89" fillId="0" borderId="6" xfId="0" applyFont="1" applyBorder="1" applyAlignment="1">
      <alignment horizontal="center"/>
    </xf>
    <xf numFmtId="0" fontId="89" fillId="0" borderId="0" xfId="6" applyFont="1" applyAlignment="1">
      <alignment horizontal="center"/>
    </xf>
    <xf numFmtId="0" fontId="89" fillId="0" borderId="0" xfId="7" applyFont="1" applyAlignment="1">
      <alignment horizontal="center"/>
    </xf>
    <xf numFmtId="0" fontId="5" fillId="0" borderId="0" xfId="0" quotePrefix="1" applyNumberFormat="1" applyFont="1" applyFill="1" applyAlignment="1">
      <alignment horizontal="left"/>
    </xf>
    <xf numFmtId="3" fontId="5" fillId="0" borderId="0" xfId="0" quotePrefix="1" applyNumberFormat="1" applyFont="1" applyFill="1" applyAlignment="1"/>
    <xf numFmtId="0" fontId="5" fillId="0" borderId="0" xfId="0" applyNumberFormat="1" applyFont="1" applyFill="1" applyAlignment="1">
      <alignment wrapText="1"/>
    </xf>
    <xf numFmtId="172" fontId="89" fillId="14" borderId="0" xfId="0" applyNumberFormat="1" applyFont="1" applyFill="1" applyAlignment="1">
      <alignment horizontal="center"/>
    </xf>
    <xf numFmtId="173" fontId="5" fillId="14" borderId="0" xfId="0" applyFont="1" applyFill="1" applyAlignment="1">
      <alignment horizontal="left"/>
    </xf>
    <xf numFmtId="0" fontId="5" fillId="14" borderId="1" xfId="0" applyNumberFormat="1" applyFont="1" applyFill="1" applyBorder="1" applyAlignment="1">
      <alignment horizontal="left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fill"/>
    </xf>
    <xf numFmtId="3" fontId="5" fillId="0" borderId="0" xfId="0" applyNumberFormat="1" applyFont="1" applyFill="1" applyAlignment="1">
      <alignment horizontal="fill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173" fontId="30" fillId="0" borderId="0" xfId="0" applyFont="1" applyFill="1" applyAlignment="1"/>
    <xf numFmtId="174" fontId="5" fillId="0" borderId="0" xfId="1" applyNumberFormat="1" applyFont="1" applyFill="1" applyBorder="1"/>
    <xf numFmtId="173" fontId="5" fillId="0" borderId="0" xfId="0" applyFont="1" applyAlignment="1">
      <alignment horizontal="center"/>
    </xf>
    <xf numFmtId="173" fontId="5" fillId="0" borderId="0" xfId="0" applyFont="1" applyAlignment="1">
      <alignment wrapText="1"/>
    </xf>
    <xf numFmtId="0" fontId="5" fillId="0" borderId="0" xfId="7" applyFont="1" applyFill="1" applyAlignment="1">
      <alignment horizontal="left" wrapText="1"/>
    </xf>
    <xf numFmtId="173" fontId="5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173" fontId="109" fillId="0" borderId="0" xfId="0" applyFont="1" applyAlignment="1"/>
    <xf numFmtId="42" fontId="5" fillId="0" borderId="0" xfId="6" applyNumberFormat="1" applyFont="1" applyFill="1" applyBorder="1" applyAlignment="1">
      <alignment horizontal="center" vertical="center"/>
    </xf>
    <xf numFmtId="42" fontId="5" fillId="0" borderId="0" xfId="6" applyNumberFormat="1" applyFont="1" applyFill="1" applyAlignment="1">
      <alignment horizontal="center" vertical="center"/>
    </xf>
    <xf numFmtId="49" fontId="7" fillId="14" borderId="0" xfId="0" applyNumberFormat="1" applyFont="1" applyFill="1" applyAlignment="1">
      <alignment horizontal="centerContinuous"/>
    </xf>
    <xf numFmtId="173" fontId="5" fillId="0" borderId="0" xfId="0" applyFont="1" applyFill="1" applyAlignment="1">
      <alignment horizontal="left"/>
    </xf>
    <xf numFmtId="0" fontId="5" fillId="0" borderId="0" xfId="0" applyNumberFormat="1" applyFont="1" applyFill="1" applyAlignment="1">
      <alignment horizontal="left" indent="1"/>
    </xf>
    <xf numFmtId="0" fontId="5" fillId="14" borderId="1" xfId="0" quotePrefix="1" applyNumberFormat="1" applyFont="1" applyFill="1" applyBorder="1" applyAlignment="1" applyProtection="1">
      <alignment horizontal="left"/>
      <protection locked="0"/>
    </xf>
    <xf numFmtId="170" fontId="5" fillId="14" borderId="0" xfId="0" applyNumberFormat="1" applyFont="1" applyFill="1" applyAlignment="1"/>
    <xf numFmtId="42" fontId="5" fillId="14" borderId="0" xfId="0" applyNumberFormat="1" applyFont="1" applyFill="1" applyBorder="1" applyProtection="1"/>
    <xf numFmtId="3" fontId="110" fillId="0" borderId="0" xfId="0" applyNumberFormat="1" applyFont="1" applyFill="1" applyAlignment="1"/>
    <xf numFmtId="3" fontId="110" fillId="0" borderId="0" xfId="0" applyNumberFormat="1" applyFont="1" applyFill="1" applyBorder="1" applyAlignment="1"/>
    <xf numFmtId="15" fontId="8" fillId="0" borderId="0" xfId="15" applyNumberFormat="1" applyFont="1" applyFill="1" applyAlignment="1">
      <alignment horizontal="center"/>
    </xf>
    <xf numFmtId="173" fontId="2" fillId="0" borderId="0" xfId="0" applyFont="1" applyAlignment="1"/>
    <xf numFmtId="164" fontId="5" fillId="0" borderId="0" xfId="11" applyNumberFormat="1" applyFont="1" applyFill="1" applyAlignment="1">
      <alignment horizontal="center"/>
    </xf>
    <xf numFmtId="0" fontId="11" fillId="0" borderId="0" xfId="6" applyFont="1" applyFill="1"/>
    <xf numFmtId="173" fontId="111" fillId="0" borderId="0" xfId="325" applyFont="1" applyFill="1" applyAlignment="1">
      <alignment horizontal="center"/>
    </xf>
    <xf numFmtId="1" fontId="111" fillId="0" borderId="0" xfId="325" applyNumberFormat="1" applyFont="1" applyAlignment="1" applyProtection="1">
      <alignment horizontal="center"/>
      <protection locked="0"/>
    </xf>
    <xf numFmtId="173" fontId="5" fillId="0" borderId="0" xfId="325" applyFont="1" applyFill="1" applyBorder="1" applyAlignment="1"/>
    <xf numFmtId="43" fontId="5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5" fillId="0" borderId="0" xfId="0" applyNumberFormat="1" applyFont="1" applyFill="1" applyProtection="1"/>
    <xf numFmtId="3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NumberFormat="1" applyFont="1" applyFill="1" applyAlignment="1">
      <alignment horizontal="right"/>
    </xf>
    <xf numFmtId="0" fontId="34" fillId="0" borderId="0" xfId="0" applyNumberFormat="1" applyFont="1" applyFill="1" applyAlignment="1" applyProtection="1">
      <alignment horizontal="left"/>
      <protection locked="0"/>
    </xf>
    <xf numFmtId="173" fontId="5" fillId="14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left" indent="3"/>
    </xf>
    <xf numFmtId="0" fontId="5" fillId="0" borderId="0" xfId="0" applyNumberFormat="1" applyFont="1" applyFill="1" applyAlignment="1">
      <alignment horizontal="center"/>
    </xf>
    <xf numFmtId="173" fontId="5" fillId="14" borderId="0" xfId="0" applyFont="1" applyFill="1" applyAlignment="1">
      <alignment horizontal="center"/>
    </xf>
    <xf numFmtId="173" fontId="5" fillId="0" borderId="0" xfId="0" applyFont="1" applyAlignment="1">
      <alignment wrapText="1"/>
    </xf>
    <xf numFmtId="278" fontId="5" fillId="0" borderId="8" xfId="325" applyNumberFormat="1" applyFont="1" applyFill="1" applyBorder="1" applyAlignment="1" applyProtection="1">
      <protection locked="0"/>
    </xf>
    <xf numFmtId="278" fontId="5" fillId="0" borderId="0" xfId="325" applyNumberFormat="1" applyFont="1" applyFill="1" applyBorder="1" applyAlignment="1" applyProtection="1">
      <protection locked="0"/>
    </xf>
    <xf numFmtId="278" fontId="5" fillId="0" borderId="0" xfId="325" applyNumberFormat="1" applyFont="1" applyBorder="1" applyAlignment="1" applyProtection="1">
      <protection locked="0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right"/>
    </xf>
    <xf numFmtId="0" fontId="112" fillId="0" borderId="0" xfId="329" applyFont="1" applyAlignment="1">
      <alignment horizontal="centerContinuous"/>
    </xf>
    <xf numFmtId="0" fontId="5" fillId="0" borderId="0" xfId="8" applyFont="1" applyFill="1" applyAlignment="1">
      <alignment horizontal="right"/>
    </xf>
    <xf numFmtId="173" fontId="5" fillId="14" borderId="0" xfId="0" applyFont="1" applyFill="1" applyAlignment="1">
      <alignment horizontal="center"/>
    </xf>
    <xf numFmtId="173" fontId="2" fillId="0" borderId="0" xfId="0" applyFont="1" applyFill="1" applyBorder="1" applyAlignment="1">
      <alignment horizontal="left"/>
    </xf>
    <xf numFmtId="173" fontId="2" fillId="0" borderId="0" xfId="0" applyFont="1" applyFill="1" applyBorder="1" applyAlignment="1">
      <alignment horizontal="left" wrapText="1"/>
    </xf>
    <xf numFmtId="1" fontId="0" fillId="0" borderId="0" xfId="0" applyNumberFormat="1" applyBorder="1" applyAlignment="1">
      <alignment horizontal="center"/>
    </xf>
    <xf numFmtId="0" fontId="95" fillId="0" borderId="0" xfId="7" applyFont="1" applyFill="1"/>
    <xf numFmtId="173" fontId="11" fillId="0" borderId="6" xfId="0" applyFont="1" applyBorder="1" applyAlignment="1"/>
    <xf numFmtId="173" fontId="0" fillId="0" borderId="6" xfId="0" applyFont="1" applyBorder="1" applyAlignment="1"/>
    <xf numFmtId="0" fontId="5" fillId="0" borderId="0" xfId="7" applyFont="1" applyFill="1" applyAlignment="1"/>
    <xf numFmtId="173" fontId="5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2" fillId="0" borderId="0" xfId="0" applyFont="1" applyFill="1" applyBorder="1" applyAlignment="1">
      <alignment horizontal="left"/>
    </xf>
    <xf numFmtId="173" fontId="2" fillId="0" borderId="0" xfId="0" applyFont="1" applyFill="1" applyBorder="1" applyAlignment="1">
      <alignment horizontal="left" wrapText="1"/>
    </xf>
    <xf numFmtId="173" fontId="5" fillId="0" borderId="0" xfId="325" applyFont="1" applyBorder="1" applyAlignment="1"/>
    <xf numFmtId="276" fontId="5" fillId="0" borderId="0" xfId="1" applyNumberFormat="1" applyFont="1" applyFill="1" applyBorder="1" applyAlignment="1">
      <alignment horizontal="center"/>
    </xf>
    <xf numFmtId="173" fontId="5" fillId="0" borderId="0" xfId="325" applyFont="1" applyBorder="1" applyAlignment="1">
      <alignment horizontal="left"/>
    </xf>
    <xf numFmtId="10" fontId="5" fillId="0" borderId="0" xfId="372" applyNumberFormat="1" applyFont="1" applyFill="1" applyBorder="1" applyAlignment="1">
      <alignment horizontal="center"/>
    </xf>
    <xf numFmtId="0" fontId="91" fillId="0" borderId="0" xfId="326" applyFill="1"/>
    <xf numFmtId="0" fontId="11" fillId="0" borderId="0" xfId="326" applyFont="1" applyFill="1"/>
    <xf numFmtId="42" fontId="5" fillId="0" borderId="0" xfId="0" applyNumberFormat="1" applyFont="1" applyFill="1"/>
    <xf numFmtId="0" fontId="95" fillId="0" borderId="0" xfId="0" applyNumberFormat="1" applyFont="1" applyFill="1"/>
    <xf numFmtId="279" fontId="7" fillId="0" borderId="0" xfId="0" applyNumberFormat="1" applyFont="1" applyFill="1" applyAlignment="1"/>
    <xf numFmtId="42" fontId="7" fillId="0" borderId="0" xfId="0" applyNumberFormat="1" applyFont="1" applyFill="1" applyAlignment="1"/>
    <xf numFmtId="0" fontId="5" fillId="0" borderId="1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10" fontId="5" fillId="0" borderId="0" xfId="0" applyNumberFormat="1" applyFont="1" applyFill="1" applyAlignment="1"/>
    <xf numFmtId="169" fontId="5" fillId="0" borderId="0" xfId="0" applyNumberFormat="1" applyFont="1" applyFill="1" applyAlignment="1"/>
    <xf numFmtId="164" fontId="5" fillId="0" borderId="0" xfId="372" applyNumberFormat="1" applyFont="1" applyFill="1" applyAlignment="1"/>
    <xf numFmtId="37" fontId="5" fillId="0" borderId="1" xfId="0" applyNumberFormat="1" applyFont="1" applyFill="1" applyBorder="1" applyAlignment="1"/>
    <xf numFmtId="164" fontId="7" fillId="0" borderId="0" xfId="372" applyNumberFormat="1" applyFont="1" applyFill="1" applyAlignment="1"/>
    <xf numFmtId="37" fontId="5" fillId="0" borderId="0" xfId="0" applyNumberFormat="1" applyFont="1" applyFill="1" applyBorder="1" applyAlignment="1"/>
    <xf numFmtId="3" fontId="7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0" fontId="23" fillId="0" borderId="0" xfId="0" applyNumberFormat="1" applyFont="1" applyFill="1" applyAlignment="1" applyProtection="1">
      <alignment horizontal="left"/>
      <protection locked="0"/>
    </xf>
    <xf numFmtId="173" fontId="106" fillId="0" borderId="0" xfId="0" applyFont="1" applyFill="1" applyBorder="1" applyAlignment="1"/>
    <xf numFmtId="0" fontId="5" fillId="0" borderId="0" xfId="6" applyFont="1" applyFill="1"/>
    <xf numFmtId="0" fontId="5" fillId="0" borderId="0" xfId="5" applyFont="1" applyFill="1" applyBorder="1" applyAlignment="1"/>
    <xf numFmtId="0" fontId="5" fillId="0" borderId="0" xfId="5" quotePrefix="1" applyFont="1" applyFill="1" applyBorder="1" applyAlignment="1"/>
    <xf numFmtId="0" fontId="5" fillId="0" borderId="0" xfId="7" quotePrefix="1" applyFont="1" applyFill="1" applyAlignment="1">
      <alignment vertical="center"/>
    </xf>
    <xf numFmtId="0" fontId="5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8" fillId="0" borderId="0" xfId="325" applyFont="1" applyFill="1" applyAlignment="1">
      <alignment horizontal="center"/>
    </xf>
    <xf numFmtId="49" fontId="7" fillId="0" borderId="0" xfId="325" applyNumberFormat="1" applyFont="1" applyAlignment="1" applyProtection="1">
      <alignment horizontal="centerContinuous"/>
      <protection locked="0"/>
    </xf>
    <xf numFmtId="43" fontId="5" fillId="0" borderId="0" xfId="1" applyFont="1" applyFill="1" applyBorder="1" applyAlignment="1">
      <alignment horizontal="left" indent="1"/>
    </xf>
    <xf numFmtId="43" fontId="5" fillId="0" borderId="0" xfId="1" applyFont="1" applyBorder="1" applyAlignment="1">
      <alignment horizontal="left" indent="1"/>
    </xf>
    <xf numFmtId="43" fontId="5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89" fillId="0" borderId="6" xfId="0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left"/>
    </xf>
    <xf numFmtId="164" fontId="95" fillId="0" borderId="0" xfId="0" applyNumberFormat="1" applyFont="1" applyFill="1" applyAlignment="1">
      <alignment horizontal="left"/>
    </xf>
    <xf numFmtId="10" fontId="5" fillId="0" borderId="0" xfId="372" applyNumberFormat="1" applyFont="1" applyFill="1" applyAlignment="1"/>
    <xf numFmtId="43" fontId="5" fillId="0" borderId="0" xfId="1" applyFont="1" applyFill="1"/>
    <xf numFmtId="173" fontId="5" fillId="0" borderId="0" xfId="0" quotePrefix="1" applyFont="1" applyFill="1" applyAlignment="1"/>
    <xf numFmtId="0" fontId="5" fillId="0" borderId="0" xfId="0" applyNumberFormat="1" applyFont="1" applyFill="1" applyAlignment="1">
      <alignment horizontal="centerContinuous"/>
    </xf>
    <xf numFmtId="174" fontId="0" fillId="0" borderId="0" xfId="1" applyNumberFormat="1" applyFont="1" applyFill="1" applyAlignment="1"/>
    <xf numFmtId="173" fontId="109" fillId="0" borderId="0" xfId="0" applyFont="1" applyFill="1" applyAlignment="1"/>
    <xf numFmtId="173" fontId="5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1" fillId="0" borderId="0" xfId="329" applyFill="1"/>
    <xf numFmtId="0" fontId="5" fillId="0" borderId="0" xfId="0" applyNumberFormat="1" applyFont="1" applyFill="1"/>
    <xf numFmtId="3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166" fontId="5" fillId="0" borderId="0" xfId="0" applyNumberFormat="1" applyFont="1" applyFill="1" applyAlignment="1"/>
    <xf numFmtId="37" fontId="5" fillId="0" borderId="0" xfId="0" applyNumberFormat="1" applyFont="1" applyFill="1" applyAlignment="1"/>
    <xf numFmtId="173" fontId="0" fillId="0" borderId="0" xfId="0" applyFill="1" applyAlignment="1"/>
    <xf numFmtId="173" fontId="11" fillId="0" borderId="0" xfId="0" quotePrefix="1" applyFont="1" applyFill="1" applyAlignment="1"/>
    <xf numFmtId="173" fontId="5" fillId="0" borderId="0" xfId="0" applyFont="1" applyFill="1" applyAlignment="1">
      <alignment horizontal="centerContinuous"/>
    </xf>
    <xf numFmtId="0" fontId="5" fillId="0" borderId="0" xfId="0" applyNumberFormat="1" applyFont="1" applyFill="1" applyAlignment="1"/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3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right"/>
    </xf>
    <xf numFmtId="174" fontId="11" fillId="0" borderId="0" xfId="89" applyNumberFormat="1" applyFont="1" applyFill="1" applyAlignment="1"/>
    <xf numFmtId="0" fontId="5" fillId="0" borderId="0" xfId="0" applyNumberFormat="1" applyFont="1" applyFill="1" applyProtection="1">
      <protection locked="0"/>
    </xf>
    <xf numFmtId="3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0" fontId="12" fillId="0" borderId="0" xfId="10" applyFont="1" applyFill="1" applyAlignment="1">
      <alignment horizontal="centerContinuous"/>
    </xf>
    <xf numFmtId="0" fontId="11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1" fillId="0" borderId="0" xfId="0" quotePrefix="1" applyNumberFormat="1" applyFont="1" applyFill="1" applyAlignment="1"/>
    <xf numFmtId="0" fontId="12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5" fillId="0" borderId="12" xfId="1" applyNumberFormat="1" applyFont="1" applyFill="1" applyBorder="1" applyAlignment="1"/>
    <xf numFmtId="174" fontId="5" fillId="0" borderId="19" xfId="1" applyNumberFormat="1" applyFont="1" applyFill="1" applyBorder="1" applyAlignment="1"/>
    <xf numFmtId="3" fontId="7" fillId="0" borderId="0" xfId="0" applyNumberFormat="1" applyFont="1" applyBorder="1" applyAlignment="1">
      <alignment horizontal="center"/>
    </xf>
    <xf numFmtId="0" fontId="5" fillId="0" borderId="0" xfId="15" applyFont="1" applyFill="1" applyAlignment="1">
      <alignment horizontal="center"/>
    </xf>
    <xf numFmtId="15" fontId="5" fillId="0" borderId="0" xfId="15" quotePrefix="1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right"/>
    </xf>
    <xf numFmtId="173" fontId="5" fillId="0" borderId="0" xfId="0" applyFont="1" applyFill="1" applyAlignment="1">
      <alignment wrapText="1"/>
    </xf>
    <xf numFmtId="173" fontId="5" fillId="14" borderId="1" xfId="0" applyFont="1" applyFill="1" applyBorder="1" applyAlignment="1">
      <alignment horizontal="center"/>
    </xf>
    <xf numFmtId="0" fontId="8" fillId="14" borderId="1" xfId="0" applyNumberFormat="1" applyFont="1" applyFill="1" applyBorder="1" applyAlignment="1" applyProtection="1">
      <alignment horizontal="center"/>
      <protection locked="0"/>
    </xf>
    <xf numFmtId="0" fontId="5" fillId="0" borderId="6" xfId="6" quotePrefix="1" applyFont="1" applyBorder="1"/>
    <xf numFmtId="0" fontId="5" fillId="0" borderId="6" xfId="6" applyFont="1" applyBorder="1"/>
    <xf numFmtId="0" fontId="5" fillId="0" borderId="0" xfId="6" applyFont="1" applyFill="1" applyBorder="1"/>
    <xf numFmtId="0" fontId="5" fillId="0" borderId="0" xfId="6" quotePrefix="1" applyFont="1" applyFill="1" applyBorder="1"/>
    <xf numFmtId="0" fontId="7" fillId="0" borderId="0" xfId="6" applyFont="1" applyFill="1"/>
    <xf numFmtId="0" fontId="112" fillId="0" borderId="0" xfId="329" quotePrefix="1" applyFont="1" applyAlignment="1">
      <alignment horizontal="center"/>
    </xf>
    <xf numFmtId="0" fontId="5" fillId="0" borderId="0" xfId="326" quotePrefix="1" applyFont="1" applyFill="1" applyAlignment="1">
      <alignment horizontal="center" vertical="center"/>
    </xf>
    <xf numFmtId="0" fontId="5" fillId="0" borderId="6" xfId="6" quotePrefix="1" applyFont="1" applyBorder="1" applyAlignment="1">
      <alignment horizontal="center"/>
    </xf>
    <xf numFmtId="0" fontId="5" fillId="0" borderId="6" xfId="15" applyFont="1" applyFill="1" applyBorder="1"/>
    <xf numFmtId="0" fontId="113" fillId="0" borderId="6" xfId="0" applyNumberFormat="1" applyFont="1" applyBorder="1"/>
    <xf numFmtId="0" fontId="5" fillId="0" borderId="0" xfId="0" quotePrefix="1" applyNumberFormat="1" applyFont="1" applyAlignment="1">
      <alignment horizontal="center"/>
    </xf>
    <xf numFmtId="0" fontId="5" fillId="0" borderId="0" xfId="378" applyFont="1" applyFill="1" applyBorder="1"/>
    <xf numFmtId="0" fontId="113" fillId="0" borderId="0" xfId="0" applyNumberFormat="1" applyFont="1"/>
    <xf numFmtId="0" fontId="5" fillId="0" borderId="0" xfId="378" applyFont="1" applyFill="1"/>
    <xf numFmtId="172" fontId="5" fillId="0" borderId="0" xfId="0" applyNumberFormat="1" applyFont="1" applyFill="1" applyAlignment="1"/>
    <xf numFmtId="37" fontId="5" fillId="0" borderId="0" xfId="0" applyNumberFormat="1" applyFont="1" applyFill="1" applyBorder="1" applyProtection="1">
      <protection locked="0"/>
    </xf>
    <xf numFmtId="173" fontId="5" fillId="0" borderId="0" xfId="0" applyFont="1" applyFill="1" applyBorder="1" applyAlignment="1">
      <alignment horizontal="left"/>
    </xf>
    <xf numFmtId="173" fontId="7" fillId="0" borderId="11" xfId="0" applyFont="1" applyFill="1" applyBorder="1" applyAlignment="1">
      <alignment horizontal="center" wrapText="1"/>
    </xf>
    <xf numFmtId="173" fontId="7" fillId="0" borderId="12" xfId="0" applyFont="1" applyFill="1" applyBorder="1" applyAlignment="1"/>
    <xf numFmtId="173" fontId="7" fillId="0" borderId="12" xfId="0" applyFont="1" applyFill="1" applyBorder="1" applyAlignment="1">
      <alignment horizontal="center" wrapText="1"/>
    </xf>
    <xf numFmtId="173" fontId="7" fillId="0" borderId="10" xfId="0" applyFont="1" applyFill="1" applyBorder="1" applyAlignment="1">
      <alignment horizontal="center" wrapText="1"/>
    </xf>
    <xf numFmtId="173" fontId="5" fillId="0" borderId="13" xfId="0" applyFont="1" applyFill="1" applyBorder="1" applyAlignment="1"/>
    <xf numFmtId="173" fontId="5" fillId="0" borderId="3" xfId="0" applyFont="1" applyFill="1" applyBorder="1" applyAlignment="1"/>
    <xf numFmtId="173" fontId="11" fillId="0" borderId="13" xfId="0" applyFont="1" applyFill="1" applyBorder="1" applyAlignment="1"/>
    <xf numFmtId="173" fontId="5" fillId="0" borderId="5" xfId="0" applyFont="1" applyFill="1" applyBorder="1" applyAlignment="1"/>
    <xf numFmtId="173" fontId="5" fillId="0" borderId="6" xfId="0" applyFont="1" applyFill="1" applyBorder="1" applyAlignment="1"/>
    <xf numFmtId="173" fontId="11" fillId="0" borderId="6" xfId="0" applyFont="1" applyFill="1" applyBorder="1" applyAlignment="1"/>
    <xf numFmtId="173" fontId="11" fillId="0" borderId="9" xfId="0" applyFont="1" applyFill="1" applyBorder="1" applyAlignment="1"/>
    <xf numFmtId="173" fontId="114" fillId="0" borderId="0" xfId="0" applyFont="1" applyFill="1" applyBorder="1" applyAlignment="1"/>
    <xf numFmtId="173" fontId="5" fillId="0" borderId="0" xfId="0" applyFont="1" applyFill="1" applyBorder="1" applyAlignment="1">
      <alignment horizontal="center" vertical="top"/>
    </xf>
    <xf numFmtId="0" fontId="5" fillId="0" borderId="0" xfId="1" applyNumberFormat="1" applyFont="1" applyFill="1" applyAlignment="1">
      <alignment horizontal="center"/>
    </xf>
    <xf numFmtId="277" fontId="5" fillId="0" borderId="0" xfId="0" applyNumberFormat="1" applyFont="1" applyFill="1" applyAlignment="1"/>
    <xf numFmtId="277" fontId="5" fillId="0" borderId="18" xfId="0" applyNumberFormat="1" applyFont="1" applyFill="1" applyBorder="1" applyAlignment="1"/>
    <xf numFmtId="277" fontId="5" fillId="0" borderId="0" xfId="0" applyNumberFormat="1" applyFont="1" applyFill="1" applyBorder="1" applyAlignment="1"/>
    <xf numFmtId="173" fontId="5" fillId="0" borderId="0" xfId="0" quotePrefix="1" applyFont="1" applyFill="1" applyAlignment="1">
      <alignment vertical="center"/>
    </xf>
    <xf numFmtId="0" fontId="112" fillId="0" borderId="0" xfId="329" applyFont="1" applyFill="1" applyAlignment="1">
      <alignment horizontal="centerContinuous"/>
    </xf>
    <xf numFmtId="173" fontId="6" fillId="0" borderId="0" xfId="0" applyFont="1" applyFill="1" applyAlignment="1">
      <alignment horizontal="center"/>
    </xf>
    <xf numFmtId="173" fontId="5" fillId="0" borderId="0" xfId="0" applyNumberFormat="1" applyFont="1" applyFill="1" applyAlignment="1">
      <alignment wrapText="1"/>
    </xf>
    <xf numFmtId="173" fontId="5" fillId="0" borderId="8" xfId="0" applyFont="1" applyFill="1" applyBorder="1" applyAlignment="1"/>
    <xf numFmtId="0" fontId="112" fillId="0" borderId="0" xfId="329" applyFont="1"/>
    <xf numFmtId="0" fontId="112" fillId="0" borderId="0" xfId="329" applyFont="1" applyFill="1"/>
    <xf numFmtId="0" fontId="112" fillId="0" borderId="0" xfId="329" applyFont="1" applyAlignment="1">
      <alignment horizontal="center"/>
    </xf>
    <xf numFmtId="0" fontId="112" fillId="0" borderId="0" xfId="329" applyFont="1" applyFill="1" applyAlignment="1">
      <alignment horizontal="center"/>
    </xf>
    <xf numFmtId="0" fontId="115" fillId="0" borderId="0" xfId="329" applyFont="1" applyAlignment="1">
      <alignment horizontal="center"/>
    </xf>
    <xf numFmtId="0" fontId="115" fillId="0" borderId="0" xfId="329" applyFont="1" applyFill="1" applyAlignment="1">
      <alignment horizontal="center"/>
    </xf>
    <xf numFmtId="0" fontId="112" fillId="0" borderId="0" xfId="329" quotePrefix="1" applyFont="1" applyFill="1" applyAlignment="1">
      <alignment horizontal="center"/>
    </xf>
    <xf numFmtId="0" fontId="116" fillId="0" borderId="0" xfId="329" applyFont="1" applyAlignment="1">
      <alignment horizontal="centerContinuous"/>
    </xf>
    <xf numFmtId="2" fontId="112" fillId="0" borderId="0" xfId="329" applyNumberFormat="1" applyFont="1" applyFill="1"/>
    <xf numFmtId="276" fontId="5" fillId="0" borderId="0" xfId="1" applyNumberFormat="1" applyFont="1" applyFill="1"/>
    <xf numFmtId="276" fontId="5" fillId="0" borderId="0" xfId="1" applyNumberFormat="1" applyFont="1" applyFill="1" applyAlignment="1">
      <alignment horizontal="centerContinuous"/>
    </xf>
    <xf numFmtId="276" fontId="112" fillId="0" borderId="0" xfId="1" applyNumberFormat="1" applyFont="1" applyFill="1"/>
    <xf numFmtId="0" fontId="7" fillId="0" borderId="0" xfId="8" applyFont="1" applyAlignment="1">
      <alignment horizontal="centerContinuous"/>
    </xf>
    <xf numFmtId="0" fontId="17" fillId="0" borderId="0" xfId="8" applyFont="1" applyAlignment="1">
      <alignment horizontal="left"/>
    </xf>
    <xf numFmtId="0" fontId="5" fillId="0" borderId="0" xfId="8" applyFont="1"/>
    <xf numFmtId="0" fontId="16" fillId="0" borderId="0" xfId="8" applyFont="1" applyAlignment="1">
      <alignment horizontal="left"/>
    </xf>
    <xf numFmtId="173" fontId="89" fillId="0" borderId="0" xfId="0" applyFont="1" applyAlignment="1">
      <alignment horizontal="center" wrapText="1"/>
    </xf>
    <xf numFmtId="0" fontId="5" fillId="0" borderId="0" xfId="8" applyFont="1" applyAlignment="1">
      <alignment horizontal="center"/>
    </xf>
    <xf numFmtId="0" fontId="22" fillId="0" borderId="0" xfId="8" applyFont="1" applyBorder="1" applyAlignment="1">
      <alignment horizontal="center"/>
    </xf>
    <xf numFmtId="0" fontId="89" fillId="0" borderId="0" xfId="8" applyFont="1" applyAlignment="1">
      <alignment horizontal="center"/>
    </xf>
    <xf numFmtId="10" fontId="5" fillId="0" borderId="0" xfId="11" applyNumberFormat="1" applyFont="1" applyFill="1"/>
    <xf numFmtId="0" fontId="5" fillId="0" borderId="0" xfId="8" quotePrefix="1" applyFont="1"/>
    <xf numFmtId="0" fontId="5" fillId="0" borderId="0" xfId="8" applyFont="1" applyBorder="1"/>
    <xf numFmtId="10" fontId="22" fillId="0" borderId="0" xfId="11" applyNumberFormat="1" applyFont="1" applyFill="1" applyBorder="1"/>
    <xf numFmtId="175" fontId="29" fillId="0" borderId="0" xfId="327" applyNumberFormat="1" applyFont="1" applyFill="1" applyBorder="1" applyAlignment="1">
      <alignment vertical="center"/>
    </xf>
    <xf numFmtId="10" fontId="29" fillId="0" borderId="0" xfId="8" applyNumberFormat="1" applyFont="1" applyFill="1" applyBorder="1" applyAlignment="1">
      <alignment vertical="center"/>
    </xf>
    <xf numFmtId="175" fontId="5" fillId="0" borderId="18" xfId="327" quotePrefix="1" applyNumberFormat="1" applyFont="1" applyBorder="1"/>
    <xf numFmtId="0" fontId="5" fillId="0" borderId="6" xfId="8" applyFont="1" applyFill="1" applyBorder="1"/>
    <xf numFmtId="41" fontId="5" fillId="0" borderId="6" xfId="13" applyNumberFormat="1" applyFont="1" applyBorder="1"/>
    <xf numFmtId="41" fontId="5" fillId="0" borderId="0" xfId="13" applyNumberFormat="1" applyFont="1" applyBorder="1"/>
    <xf numFmtId="0" fontId="5" fillId="0" borderId="0" xfId="8" applyFont="1" applyFill="1" applyBorder="1"/>
    <xf numFmtId="41" fontId="5" fillId="0" borderId="0" xfId="13" applyNumberFormat="1" applyFont="1" applyFill="1" applyBorder="1"/>
    <xf numFmtId="41" fontId="95" fillId="0" borderId="0" xfId="13" quotePrefix="1" applyNumberFormat="1" applyFont="1" applyFill="1" applyBorder="1"/>
    <xf numFmtId="41" fontId="31" fillId="0" borderId="0" xfId="8" applyNumberFormat="1" applyFont="1" applyFill="1"/>
    <xf numFmtId="0" fontId="5" fillId="0" borderId="0" xfId="8" quotePrefix="1" applyFont="1" applyFill="1"/>
    <xf numFmtId="0" fontId="5" fillId="0" borderId="0" xfId="8" applyFont="1" applyFill="1"/>
    <xf numFmtId="42" fontId="29" fillId="0" borderId="0" xfId="7" applyNumberFormat="1" applyFont="1" applyFill="1" applyAlignment="1">
      <alignment horizontal="left" vertical="center"/>
    </xf>
    <xf numFmtId="37" fontId="5" fillId="0" borderId="0" xfId="7" applyNumberFormat="1" applyFont="1" applyFill="1"/>
    <xf numFmtId="37" fontId="5" fillId="0" borderId="0" xfId="7" applyNumberFormat="1" applyFont="1" applyFill="1" applyBorder="1"/>
    <xf numFmtId="0" fontId="5" fillId="0" borderId="0" xfId="6" applyFont="1" applyAlignment="1">
      <alignment horizontal="centerContinuous"/>
    </xf>
    <xf numFmtId="0" fontId="6" fillId="0" borderId="0" xfId="6" applyFont="1"/>
    <xf numFmtId="0" fontId="7" fillId="0" borderId="0" xfId="7" applyFont="1"/>
    <xf numFmtId="0" fontId="7" fillId="0" borderId="6" xfId="7" applyFont="1" applyFill="1" applyBorder="1" applyAlignment="1">
      <alignment horizontal="center"/>
    </xf>
    <xf numFmtId="164" fontId="7" fillId="0" borderId="0" xfId="11" applyNumberFormat="1" applyFont="1" applyFill="1" applyBorder="1" applyAlignment="1">
      <alignment horizontal="right"/>
    </xf>
    <xf numFmtId="175" fontId="5" fillId="0" borderId="0" xfId="327" applyNumberFormat="1" applyFont="1" applyFill="1" applyBorder="1" applyProtection="1">
      <protection locked="0"/>
    </xf>
    <xf numFmtId="0" fontId="5" fillId="0" borderId="0" xfId="9" applyFont="1" applyFill="1"/>
    <xf numFmtId="0" fontId="5" fillId="0" borderId="0" xfId="15" applyFont="1" applyFill="1"/>
    <xf numFmtId="0" fontId="5" fillId="0" borderId="0" xfId="15" applyFont="1" applyFill="1" applyBorder="1"/>
    <xf numFmtId="15" fontId="5" fillId="0" borderId="0" xfId="15" applyNumberFormat="1" applyFont="1" applyFill="1" applyAlignment="1">
      <alignment horizontal="center"/>
    </xf>
    <xf numFmtId="0" fontId="7" fillId="0" borderId="0" xfId="15" applyFont="1" applyFill="1"/>
    <xf numFmtId="0" fontId="113" fillId="0" borderId="0" xfId="0" applyNumberFormat="1" applyFont="1" applyAlignment="1">
      <alignment horizontal="center"/>
    </xf>
    <xf numFmtId="164" fontId="5" fillId="0" borderId="0" xfId="0" applyNumberFormat="1" applyFont="1"/>
    <xf numFmtId="37" fontId="5" fillId="0" borderId="0" xfId="0" applyNumberFormat="1" applyFont="1" applyFill="1"/>
    <xf numFmtId="41" fontId="29" fillId="0" borderId="0" xfId="8" applyNumberFormat="1" applyFont="1" applyFill="1" applyBorder="1" applyAlignment="1">
      <alignment vertical="center"/>
    </xf>
    <xf numFmtId="42" fontId="5" fillId="0" borderId="2" xfId="7" applyNumberFormat="1" applyFont="1" applyFill="1" applyBorder="1"/>
    <xf numFmtId="42" fontId="5" fillId="0" borderId="0" xfId="7" applyNumberFormat="1" applyFont="1" applyFill="1" applyBorder="1"/>
    <xf numFmtId="175" fontId="29" fillId="0" borderId="2" xfId="327" applyNumberFormat="1" applyFont="1" applyBorder="1" applyAlignment="1">
      <alignment horizontal="left" vertical="center"/>
    </xf>
    <xf numFmtId="175" fontId="31" fillId="0" borderId="0" xfId="12" applyNumberFormat="1" applyFont="1" applyFill="1" applyBorder="1" applyAlignment="1"/>
    <xf numFmtId="175" fontId="5" fillId="0" borderId="0" xfId="12" applyNumberFormat="1" applyFont="1" applyFill="1" applyBorder="1" applyAlignment="1"/>
    <xf numFmtId="173" fontId="5" fillId="0" borderId="0" xfId="0" applyFont="1" applyFill="1" applyAlignment="1">
      <alignment wrapText="1"/>
    </xf>
    <xf numFmtId="0" fontId="5" fillId="0" borderId="6" xfId="326" applyFont="1" applyBorder="1"/>
    <xf numFmtId="173" fontId="5" fillId="0" borderId="6" xfId="325" applyFont="1" applyBorder="1" applyAlignment="1"/>
    <xf numFmtId="0" fontId="105" fillId="0" borderId="0" xfId="0" applyNumberFormat="1" applyFont="1" applyFill="1"/>
    <xf numFmtId="173" fontId="2" fillId="0" borderId="0" xfId="0" applyFont="1" applyFill="1" applyAlignment="1"/>
    <xf numFmtId="37" fontId="5" fillId="13" borderId="0" xfId="0" applyNumberFormat="1" applyFont="1" applyFill="1" applyAlignment="1"/>
    <xf numFmtId="42" fontId="5" fillId="13" borderId="0" xfId="0" applyNumberFormat="1" applyFont="1" applyFill="1" applyAlignment="1"/>
    <xf numFmtId="37" fontId="5" fillId="13" borderId="1" xfId="0" applyNumberFormat="1" applyFont="1" applyFill="1" applyBorder="1" applyAlignment="1"/>
    <xf numFmtId="44" fontId="5" fillId="13" borderId="0" xfId="327" applyFont="1" applyFill="1" applyBorder="1" applyProtection="1">
      <protection locked="0"/>
    </xf>
    <xf numFmtId="37" fontId="5" fillId="13" borderId="6" xfId="0" applyNumberFormat="1" applyFont="1" applyFill="1" applyBorder="1" applyProtection="1"/>
    <xf numFmtId="41" fontId="5" fillId="13" borderId="0" xfId="0" applyNumberFormat="1" applyFont="1" applyFill="1" applyBorder="1" applyAlignment="1"/>
    <xf numFmtId="0" fontId="112" fillId="13" borderId="0" xfId="329" applyFont="1" applyFill="1" applyAlignment="1">
      <alignment horizontal="left"/>
    </xf>
    <xf numFmtId="0" fontId="112" fillId="13" borderId="0" xfId="329" applyFont="1" applyFill="1"/>
    <xf numFmtId="41" fontId="5" fillId="13" borderId="0" xfId="8" applyNumberFormat="1" applyFont="1" applyFill="1"/>
    <xf numFmtId="41" fontId="22" fillId="13" borderId="0" xfId="8" applyNumberFormat="1" applyFont="1" applyFill="1" applyBorder="1"/>
    <xf numFmtId="42" fontId="5" fillId="13" borderId="0" xfId="0" applyNumberFormat="1" applyFont="1" applyFill="1" applyBorder="1" applyAlignment="1"/>
    <xf numFmtId="41" fontId="31" fillId="13" borderId="0" xfId="0" applyNumberFormat="1" applyFont="1" applyFill="1" applyAlignment="1"/>
    <xf numFmtId="41" fontId="31" fillId="13" borderId="6" xfId="0" applyNumberFormat="1" applyFont="1" applyFill="1" applyBorder="1" applyAlignment="1"/>
    <xf numFmtId="174" fontId="5" fillId="13" borderId="0" xfId="1" applyNumberFormat="1" applyFont="1" applyFill="1"/>
    <xf numFmtId="174" fontId="22" fillId="13" borderId="0" xfId="1" applyNumberFormat="1" applyFont="1" applyFill="1"/>
    <xf numFmtId="174" fontId="5" fillId="13" borderId="0" xfId="13" applyNumberFormat="1" applyFont="1" applyFill="1" applyBorder="1"/>
    <xf numFmtId="41" fontId="5" fillId="13" borderId="0" xfId="7" applyNumberFormat="1" applyFont="1" applyFill="1"/>
    <xf numFmtId="176" fontId="5" fillId="13" borderId="6" xfId="7" applyNumberFormat="1" applyFont="1" applyFill="1" applyBorder="1"/>
    <xf numFmtId="175" fontId="5" fillId="13" borderId="0" xfId="12" applyNumberFormat="1" applyFont="1" applyFill="1" applyProtection="1">
      <protection locked="0"/>
    </xf>
    <xf numFmtId="173" fontId="0" fillId="13" borderId="0" xfId="0" applyFill="1" applyAlignment="1"/>
    <xf numFmtId="0" fontId="8" fillId="13" borderId="0" xfId="15" applyFont="1" applyFill="1"/>
    <xf numFmtId="173" fontId="2" fillId="13" borderId="0" xfId="0" applyFont="1" applyFill="1" applyAlignment="1"/>
    <xf numFmtId="174" fontId="11" fillId="13" borderId="0" xfId="89" applyNumberFormat="1" applyFont="1" applyFill="1" applyAlignment="1"/>
    <xf numFmtId="174" fontId="11" fillId="13" borderId="6" xfId="89" applyNumberFormat="1" applyFont="1" applyFill="1" applyBorder="1" applyAlignment="1"/>
    <xf numFmtId="0" fontId="11" fillId="0" borderId="0" xfId="381"/>
    <xf numFmtId="49" fontId="5" fillId="0" borderId="0" xfId="381" applyNumberFormat="1" applyFont="1" applyAlignment="1">
      <alignment horizontal="centerContinuous"/>
    </xf>
    <xf numFmtId="0" fontId="5" fillId="0" borderId="0" xfId="381" applyNumberFormat="1" applyFont="1" applyAlignment="1">
      <alignment horizontal="centerContinuous"/>
    </xf>
    <xf numFmtId="3" fontId="5" fillId="0" borderId="0" xfId="381" applyNumberFormat="1" applyFont="1" applyAlignment="1">
      <alignment horizontal="centerContinuous"/>
    </xf>
    <xf numFmtId="43" fontId="5" fillId="0" borderId="0" xfId="89" applyFont="1" applyAlignment="1">
      <alignment horizontal="centerContinuous"/>
    </xf>
    <xf numFmtId="0" fontId="5" fillId="0" borderId="0" xfId="381" applyNumberFormat="1" applyFont="1"/>
    <xf numFmtId="0" fontId="5" fillId="0" borderId="0" xfId="381" applyNumberFormat="1" applyFont="1" applyBorder="1"/>
    <xf numFmtId="0" fontId="5" fillId="0" borderId="0" xfId="381" applyNumberFormat="1" applyFont="1" applyFill="1"/>
    <xf numFmtId="174" fontId="5" fillId="0" borderId="0" xfId="89" applyNumberFormat="1" applyFont="1" applyFill="1" applyAlignment="1"/>
    <xf numFmtId="174" fontId="5" fillId="0" borderId="12" xfId="89" applyNumberFormat="1" applyFont="1" applyFill="1" applyBorder="1" applyAlignment="1"/>
    <xf numFmtId="174" fontId="5" fillId="0" borderId="19" xfId="89" applyNumberFormat="1" applyFont="1" applyFill="1" applyBorder="1" applyAlignment="1"/>
    <xf numFmtId="0" fontId="5" fillId="0" borderId="0" xfId="381" applyFont="1" applyFill="1"/>
    <xf numFmtId="0" fontId="5" fillId="0" borderId="0" xfId="381" applyFont="1"/>
    <xf numFmtId="0" fontId="5" fillId="0" borderId="0" xfId="381" applyFont="1" applyAlignment="1">
      <alignment horizontal="center"/>
    </xf>
    <xf numFmtId="280" fontId="5" fillId="0" borderId="0" xfId="325" applyNumberFormat="1" applyFont="1" applyAlignment="1"/>
    <xf numFmtId="0" fontId="5" fillId="0" borderId="0" xfId="381" quotePrefix="1" applyFont="1"/>
    <xf numFmtId="0" fontId="5" fillId="0" borderId="6" xfId="381" applyFont="1" applyFill="1" applyBorder="1"/>
    <xf numFmtId="0" fontId="5" fillId="0" borderId="6" xfId="381" applyNumberFormat="1" applyFont="1" applyFill="1" applyBorder="1"/>
    <xf numFmtId="0" fontId="5" fillId="0" borderId="6" xfId="381" applyFont="1" applyBorder="1"/>
    <xf numFmtId="0" fontId="5" fillId="0" borderId="0" xfId="381" quotePrefix="1" applyFont="1" applyFill="1" applyAlignment="1">
      <alignment horizontal="center" vertical="center"/>
    </xf>
    <xf numFmtId="0" fontId="11" fillId="0" borderId="0" xfId="381" applyFill="1"/>
    <xf numFmtId="0" fontId="11" fillId="0" borderId="0" xfId="381" applyFont="1" applyFill="1"/>
    <xf numFmtId="42" fontId="5" fillId="17" borderId="0" xfId="7" applyNumberFormat="1" applyFont="1" applyFill="1" applyBorder="1"/>
    <xf numFmtId="41" fontId="5" fillId="17" borderId="0" xfId="7" applyNumberFormat="1" applyFont="1" applyFill="1"/>
    <xf numFmtId="42" fontId="5" fillId="17" borderId="0" xfId="7" applyNumberFormat="1" applyFont="1" applyFill="1"/>
    <xf numFmtId="175" fontId="5" fillId="17" borderId="0" xfId="12" applyNumberFormat="1" applyFont="1" applyFill="1" applyBorder="1" applyAlignment="1">
      <alignment horizontal="right"/>
    </xf>
    <xf numFmtId="174" fontId="5" fillId="17" borderId="2" xfId="1" applyNumberFormat="1" applyFont="1" applyFill="1" applyBorder="1" applyProtection="1">
      <protection locked="0"/>
    </xf>
    <xf numFmtId="42" fontId="5" fillId="17" borderId="0" xfId="0" applyNumberFormat="1" applyFont="1" applyFill="1" applyBorder="1" applyAlignment="1"/>
    <xf numFmtId="42" fontId="5" fillId="17" borderId="0" xfId="327" applyNumberFormat="1" applyFont="1" applyFill="1"/>
    <xf numFmtId="41" fontId="5" fillId="17" borderId="0" xfId="8" applyNumberFormat="1" applyFont="1" applyFill="1"/>
    <xf numFmtId="41" fontId="22" fillId="17" borderId="0" xfId="8" applyNumberFormat="1" applyFont="1" applyFill="1" applyBorder="1"/>
    <xf numFmtId="276" fontId="5" fillId="17" borderId="0" xfId="1" applyNumberFormat="1" applyFont="1" applyFill="1"/>
    <xf numFmtId="276" fontId="5" fillId="17" borderId="0" xfId="1" applyNumberFormat="1" applyFont="1" applyFill="1" applyAlignment="1">
      <alignment horizontal="right"/>
    </xf>
    <xf numFmtId="42" fontId="5" fillId="17" borderId="0" xfId="0" applyNumberFormat="1" applyFont="1" applyFill="1" applyAlignment="1"/>
    <xf numFmtId="37" fontId="5" fillId="17" borderId="0" xfId="0" applyNumberFormat="1" applyFont="1" applyFill="1" applyAlignment="1"/>
    <xf numFmtId="37" fontId="5" fillId="17" borderId="1" xfId="0" applyNumberFormat="1" applyFont="1" applyFill="1" applyBorder="1" applyAlignment="1"/>
    <xf numFmtId="174" fontId="5" fillId="17" borderId="0" xfId="1" applyNumberFormat="1" applyFont="1" applyFill="1" applyAlignment="1"/>
    <xf numFmtId="3" fontId="5" fillId="0" borderId="0" xfId="325" applyNumberFormat="1" applyFont="1" applyFill="1"/>
    <xf numFmtId="41" fontId="22" fillId="17" borderId="0" xfId="7" applyNumberFormat="1" applyFont="1" applyFill="1"/>
    <xf numFmtId="174" fontId="22" fillId="17" borderId="0" xfId="1" applyNumberFormat="1" applyFont="1" applyFill="1"/>
    <xf numFmtId="175" fontId="5" fillId="17" borderId="0" xfId="327" applyNumberFormat="1" applyFont="1" applyFill="1" applyBorder="1" applyAlignment="1">
      <alignment horizontal="center"/>
    </xf>
    <xf numFmtId="41" fontId="22" fillId="17" borderId="0" xfId="6" applyNumberFormat="1" applyFont="1" applyFill="1"/>
    <xf numFmtId="174" fontId="11" fillId="17" borderId="0" xfId="89" applyNumberFormat="1" applyFont="1" applyFill="1" applyAlignment="1"/>
    <xf numFmtId="174" fontId="5" fillId="17" borderId="0" xfId="1" applyNumberFormat="1" applyFont="1" applyFill="1"/>
    <xf numFmtId="175" fontId="5" fillId="0" borderId="0" xfId="7" applyNumberFormat="1" applyFont="1" applyFill="1" applyBorder="1"/>
    <xf numFmtId="42" fontId="29" fillId="17" borderId="0" xfId="6" applyNumberFormat="1" applyFont="1" applyFill="1" applyAlignment="1">
      <alignment vertical="center"/>
    </xf>
    <xf numFmtId="278" fontId="5" fillId="17" borderId="0" xfId="325" applyNumberFormat="1" applyFont="1" applyFill="1" applyBorder="1" applyAlignment="1" applyProtection="1">
      <protection locked="0"/>
    </xf>
    <xf numFmtId="173" fontId="108" fillId="0" borderId="0" xfId="0" applyFont="1" applyFill="1" applyAlignment="1"/>
    <xf numFmtId="0" fontId="118" fillId="0" borderId="0" xfId="6" applyFont="1"/>
    <xf numFmtId="0" fontId="118" fillId="0" borderId="0" xfId="6" applyFont="1" applyFill="1"/>
    <xf numFmtId="0" fontId="97" fillId="0" borderId="0" xfId="7" applyFont="1" applyFill="1" applyAlignment="1">
      <alignment horizontal="left" vertical="center"/>
    </xf>
    <xf numFmtId="164" fontId="5" fillId="17" borderId="0" xfId="372" applyNumberFormat="1" applyFont="1" applyFill="1" applyAlignment="1"/>
    <xf numFmtId="174" fontId="5" fillId="17" borderId="0" xfId="89" applyNumberFormat="1" applyFont="1" applyFill="1" applyAlignment="1"/>
    <xf numFmtId="277" fontId="5" fillId="17" borderId="0" xfId="0" applyNumberFormat="1" applyFont="1" applyFill="1" applyAlignment="1"/>
    <xf numFmtId="277" fontId="5" fillId="17" borderId="0" xfId="0" applyNumberFormat="1" applyFont="1" applyFill="1" applyAlignment="1">
      <alignment vertical="center"/>
    </xf>
    <xf numFmtId="173" fontId="5" fillId="17" borderId="0" xfId="0" applyFont="1" applyFill="1" applyAlignment="1"/>
    <xf numFmtId="277" fontId="5" fillId="17" borderId="0" xfId="327" applyNumberFormat="1" applyFont="1" applyFill="1" applyAlignment="1"/>
    <xf numFmtId="174" fontId="0" fillId="0" borderId="0" xfId="1" applyNumberFormat="1" applyFont="1" applyAlignment="1"/>
    <xf numFmtId="174" fontId="9" fillId="0" borderId="0" xfId="1" applyNumberFormat="1" applyFont="1" applyFill="1" applyAlignment="1"/>
    <xf numFmtId="1" fontId="0" fillId="0" borderId="0" xfId="0" applyNumberFormat="1" applyFont="1" applyFill="1" applyAlignment="1"/>
    <xf numFmtId="42" fontId="5" fillId="17" borderId="6" xfId="7" applyNumberFormat="1" applyFont="1" applyFill="1" applyBorder="1"/>
    <xf numFmtId="37" fontId="5" fillId="18" borderId="0" xfId="0" applyNumberFormat="1" applyFont="1" applyFill="1" applyAlignment="1"/>
    <xf numFmtId="173" fontId="119" fillId="0" borderId="0" xfId="0" quotePrefix="1" applyFont="1" applyAlignment="1"/>
    <xf numFmtId="174" fontId="0" fillId="17" borderId="0" xfId="1" applyNumberFormat="1" applyFont="1" applyFill="1" applyAlignment="1"/>
    <xf numFmtId="174" fontId="0" fillId="17" borderId="0" xfId="1" quotePrefix="1" applyNumberFormat="1" applyFont="1" applyFill="1" applyAlignment="1">
      <alignment horizontal="center"/>
    </xf>
    <xf numFmtId="173" fontId="0" fillId="0" borderId="0" xfId="0" quotePrefix="1" applyFont="1" applyAlignment="1">
      <alignment horizontal="left" indent="1"/>
    </xf>
    <xf numFmtId="174" fontId="11" fillId="0" borderId="2" xfId="1" applyNumberFormat="1" applyFont="1" applyFill="1" applyBorder="1" applyAlignment="1"/>
    <xf numFmtId="277" fontId="31" fillId="0" borderId="0" xfId="325" applyNumberFormat="1" applyFont="1" applyFill="1" applyBorder="1" applyAlignment="1" applyProtection="1">
      <protection locked="0"/>
    </xf>
    <xf numFmtId="42" fontId="31" fillId="14" borderId="0" xfId="0" applyNumberFormat="1" applyFont="1" applyFill="1" applyAlignment="1"/>
    <xf numFmtId="173" fontId="101" fillId="0" borderId="0" xfId="325" applyFont="1" applyFill="1" applyAlignment="1"/>
    <xf numFmtId="173" fontId="95" fillId="0" borderId="0" xfId="325" applyFont="1" applyFill="1" applyAlignment="1"/>
    <xf numFmtId="173" fontId="106" fillId="0" borderId="0" xfId="0" applyFont="1" applyFill="1" applyAlignment="1"/>
    <xf numFmtId="173" fontId="100" fillId="0" borderId="0" xfId="325" applyFont="1" applyFill="1" applyAlignment="1"/>
    <xf numFmtId="173" fontId="0" fillId="0" borderId="0" xfId="0" quotePrefix="1" applyBorder="1" applyAlignment="1" applyProtection="1">
      <protection hidden="1"/>
    </xf>
    <xf numFmtId="14" fontId="0" fillId="0" borderId="0" xfId="0" applyNumberFormat="1" applyBorder="1" applyAlignment="1" applyProtection="1">
      <protection hidden="1"/>
    </xf>
    <xf numFmtId="14" fontId="0" fillId="0" borderId="0" xfId="0" applyNumberFormat="1" applyBorder="1" applyAlignment="1"/>
    <xf numFmtId="43" fontId="5" fillId="0" borderId="0" xfId="1" applyFont="1" applyFill="1" applyBorder="1"/>
    <xf numFmtId="281" fontId="5" fillId="0" borderId="0" xfId="1" applyNumberFormat="1" applyFont="1" applyFill="1" applyBorder="1"/>
    <xf numFmtId="174" fontId="5" fillId="0" borderId="0" xfId="6" applyNumberFormat="1" applyFont="1" applyFill="1" applyBorder="1"/>
    <xf numFmtId="43" fontId="95" fillId="0" borderId="0" xfId="1" applyFont="1" applyFill="1" applyBorder="1"/>
    <xf numFmtId="0" fontId="100" fillId="0" borderId="0" xfId="6" applyFont="1" applyFill="1" applyBorder="1" applyAlignment="1">
      <alignment horizontal="left" vertical="center"/>
    </xf>
    <xf numFmtId="0" fontId="100" fillId="0" borderId="0" xfId="6" applyFont="1" applyFill="1" applyBorder="1"/>
    <xf numFmtId="49" fontId="5" fillId="14" borderId="0" xfId="0" applyNumberFormat="1" applyFont="1" applyFill="1" applyAlignment="1" applyProtection="1">
      <alignment horizontal="center"/>
      <protection locked="0"/>
    </xf>
    <xf numFmtId="173" fontId="5" fillId="14" borderId="0" xfId="0" applyFont="1" applyFill="1" applyAlignment="1">
      <alignment horizontal="center"/>
    </xf>
    <xf numFmtId="173" fontId="5" fillId="0" borderId="0" xfId="0" applyFont="1" applyFill="1" applyAlignment="1">
      <alignment wrapText="1"/>
    </xf>
    <xf numFmtId="0" fontId="5" fillId="0" borderId="0" xfId="381" applyFont="1" applyFill="1" applyAlignment="1">
      <alignment wrapText="1"/>
    </xf>
    <xf numFmtId="0" fontId="5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173" fontId="5" fillId="0" borderId="0" xfId="0" applyFont="1" applyFill="1" applyBorder="1" applyAlignment="1">
      <alignment horizontal="left"/>
    </xf>
    <xf numFmtId="173" fontId="5" fillId="0" borderId="0" xfId="0" quotePrefix="1" applyFont="1" applyFill="1" applyBorder="1" applyAlignment="1">
      <alignment horizontal="left"/>
    </xf>
    <xf numFmtId="173" fontId="5" fillId="0" borderId="0" xfId="0" applyFont="1" applyFill="1" applyBorder="1" applyAlignment="1">
      <alignment horizontal="left" wrapText="1"/>
    </xf>
    <xf numFmtId="0" fontId="5" fillId="0" borderId="0" xfId="326" applyFont="1" applyAlignment="1">
      <alignment wrapText="1"/>
    </xf>
    <xf numFmtId="173" fontId="0" fillId="0" borderId="0" xfId="0" applyAlignment="1">
      <alignment wrapText="1"/>
    </xf>
    <xf numFmtId="0" fontId="89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112" fillId="0" borderId="6" xfId="329" applyFont="1" applyBorder="1" applyAlignment="1">
      <alignment horizontal="center"/>
    </xf>
    <xf numFmtId="49" fontId="112" fillId="0" borderId="0" xfId="329" applyNumberFormat="1" applyFont="1" applyAlignment="1">
      <alignment horizontal="center"/>
    </xf>
    <xf numFmtId="0" fontId="112" fillId="0" borderId="0" xfId="329" applyFont="1" applyAlignment="1">
      <alignment horizontal="center"/>
    </xf>
    <xf numFmtId="15" fontId="5" fillId="0" borderId="0" xfId="15" quotePrefix="1" applyNumberFormat="1" applyFont="1" applyFill="1" applyAlignment="1">
      <alignment horizontal="center"/>
    </xf>
    <xf numFmtId="173" fontId="5" fillId="0" borderId="0" xfId="0" applyFont="1" applyAlignment="1">
      <alignment horizontal="center"/>
    </xf>
    <xf numFmtId="173" fontId="7" fillId="0" borderId="0" xfId="0" applyFont="1" applyAlignment="1">
      <alignment horizontal="center"/>
    </xf>
    <xf numFmtId="173" fontId="7" fillId="0" borderId="0" xfId="0" applyFont="1" applyFill="1" applyAlignment="1">
      <alignment horizontal="center"/>
    </xf>
    <xf numFmtId="0" fontId="5" fillId="0" borderId="0" xfId="6" quotePrefix="1" applyFont="1" applyFill="1" applyAlignment="1">
      <alignment wrapText="1"/>
    </xf>
    <xf numFmtId="173" fontId="5" fillId="0" borderId="0" xfId="0" applyFont="1" applyAlignment="1">
      <alignment wrapText="1"/>
    </xf>
    <xf numFmtId="0" fontId="5" fillId="0" borderId="0" xfId="7" applyFont="1" applyFill="1" applyAlignment="1">
      <alignment horizontal="left" wrapText="1"/>
    </xf>
    <xf numFmtId="0" fontId="5" fillId="0" borderId="0" xfId="6" quotePrefix="1" applyFont="1" applyFill="1" applyBorder="1" applyAlignment="1">
      <alignment wrapText="1"/>
    </xf>
    <xf numFmtId="0" fontId="5" fillId="0" borderId="0" xfId="5" applyFont="1" applyFill="1" applyBorder="1" applyAlignment="1">
      <alignment wrapText="1"/>
    </xf>
    <xf numFmtId="0" fontId="7" fillId="0" borderId="6" xfId="0" applyNumberFormat="1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5" fillId="0" borderId="0" xfId="15" applyFont="1" applyFill="1" applyAlignment="1">
      <alignment horizontal="center"/>
    </xf>
    <xf numFmtId="15" fontId="5" fillId="0" borderId="0" xfId="15" applyNumberFormat="1" applyFont="1" applyFill="1" applyAlignment="1">
      <alignment horizontal="center"/>
    </xf>
  </cellXfs>
  <cellStyles count="384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0000FF"/>
      <color rgb="FFFF3300"/>
      <color rgb="FF66FFFF"/>
      <color rgb="FF00FF00"/>
      <color rgb="FFFFFF99"/>
      <color rgb="FF990000"/>
      <color rgb="FFFF3399"/>
      <color rgb="FFCCFFFF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S%20Docs/EKPC/PJM%20Membership/Rate%20Worksheets/Transmission_Rate_Spreadsheet_Final_with%20LG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PC"/>
      <sheetName val="LGE Schedule 1"/>
      <sheetName val="Appx A - Sch 1A"/>
      <sheetName val="Appx B - RTEP"/>
      <sheetName val="Appx C - True Up"/>
      <sheetName val="Appx D - Deprec"/>
      <sheetName val="Pg 1 of 8 M&amp;S Alloc"/>
      <sheetName val="P 2 of 8 Land Held for Future"/>
      <sheetName val="Pg 3 of 8 G&amp;A Adj"/>
      <sheetName val="Pg 4 of 8 Sch 1 Charges 561"/>
      <sheetName val="Pg 5 of 8 Trans Plant In OATT"/>
      <sheetName val="Pg 6 of 8 Rev Cred Support"/>
      <sheetName val="Pg 7 of 8 Cap Str - Confiden"/>
      <sheetName val="Pg 8 of 8 Peak Load"/>
    </sheetNames>
    <sheetDataSet>
      <sheetData sheetId="0">
        <row r="1">
          <cell r="J1" t="str">
            <v>Attachment H-24A</v>
          </cell>
        </row>
        <row r="2">
          <cell r="J2" t="str">
            <v>page 1 of 5</v>
          </cell>
        </row>
        <row r="7">
          <cell r="J7" t="str">
            <v>For the 12 months ended 12/31/2012</v>
          </cell>
        </row>
        <row r="11">
          <cell r="A11" t="str">
            <v>East Kentucky Power Cooperative, Inc.</v>
          </cell>
        </row>
      </sheetData>
      <sheetData sheetId="1"/>
      <sheetData sheetId="2"/>
      <sheetData sheetId="3"/>
      <sheetData sheetId="4">
        <row r="11">
          <cell r="I11" t="str">
            <v>12/31/2012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  <pageSetUpPr fitToPage="1"/>
  </sheetPr>
  <dimension ref="A1:AC313"/>
  <sheetViews>
    <sheetView showGridLines="0" zoomScale="60" zoomScaleNormal="60" zoomScaleSheetLayoutView="70" workbookViewId="0">
      <selection activeCell="A18" sqref="A18"/>
    </sheetView>
  </sheetViews>
  <sheetFormatPr defaultColWidth="8.77734375" defaultRowHeight="15"/>
  <cols>
    <col min="1" max="1" width="6.21875" style="191" bestFit="1" customWidth="1"/>
    <col min="2" max="2" width="1.44140625" style="191" customWidth="1"/>
    <col min="3" max="3" width="62.77734375" style="191" customWidth="1"/>
    <col min="4" max="4" width="25.44140625" style="191" customWidth="1"/>
    <col min="5" max="5" width="16.109375" style="191" customWidth="1"/>
    <col min="6" max="6" width="12" style="191" customWidth="1"/>
    <col min="7" max="7" width="5.6640625" style="191" customWidth="1"/>
    <col min="8" max="8" width="10.6640625" style="191" customWidth="1"/>
    <col min="9" max="9" width="5.77734375" style="191" customWidth="1"/>
    <col min="10" max="10" width="16.33203125" style="191" customWidth="1"/>
    <col min="11" max="11" width="3.44140625" style="191" customWidth="1"/>
    <col min="12" max="12" width="11.6640625" style="191" customWidth="1"/>
    <col min="13" max="13" width="1.88671875" style="191" customWidth="1"/>
    <col min="14" max="14" width="16.6640625" style="191" customWidth="1"/>
    <col min="15" max="15" width="12.88671875" style="191" customWidth="1"/>
    <col min="16" max="16" width="16.77734375" style="191" customWidth="1"/>
    <col min="17" max="17" width="20.77734375" style="191" customWidth="1"/>
    <col min="18" max="19" width="9.77734375" style="191" customWidth="1"/>
    <col min="20" max="16384" width="8.77734375" style="191"/>
  </cols>
  <sheetData>
    <row r="1" spans="1:16" ht="18">
      <c r="A1" s="190"/>
      <c r="C1" s="192"/>
      <c r="D1" s="192"/>
      <c r="E1" s="193"/>
      <c r="F1" s="192"/>
      <c r="G1" s="192"/>
      <c r="H1" s="192"/>
      <c r="I1" s="194"/>
      <c r="J1" s="503" t="s">
        <v>560</v>
      </c>
      <c r="K1" s="223"/>
      <c r="L1" s="564"/>
      <c r="M1" s="581"/>
      <c r="N1" s="569"/>
      <c r="O1" s="196"/>
      <c r="P1" s="196"/>
    </row>
    <row r="2" spans="1:16">
      <c r="C2" s="192"/>
      <c r="D2" s="192"/>
      <c r="E2" s="193"/>
      <c r="F2" s="192"/>
      <c r="G2" s="192"/>
      <c r="H2" s="192"/>
      <c r="I2" s="194"/>
      <c r="J2" s="195" t="s">
        <v>428</v>
      </c>
      <c r="L2" s="564"/>
      <c r="M2" s="582"/>
      <c r="N2" s="569"/>
      <c r="O2" s="196"/>
      <c r="P2" s="196"/>
    </row>
    <row r="3" spans="1:16">
      <c r="C3" s="192"/>
      <c r="D3" s="192"/>
      <c r="E3" s="193"/>
      <c r="F3" s="192"/>
      <c r="G3" s="192"/>
      <c r="H3" s="192"/>
      <c r="I3" s="194"/>
      <c r="K3" s="196"/>
      <c r="L3" s="564"/>
      <c r="M3" s="582"/>
      <c r="N3" s="569"/>
      <c r="O3" s="196"/>
      <c r="P3" s="196"/>
    </row>
    <row r="4" spans="1:16">
      <c r="C4" s="192"/>
      <c r="D4" s="192"/>
      <c r="E4" s="193"/>
      <c r="F4" s="192"/>
      <c r="G4" s="192"/>
      <c r="H4" s="192"/>
      <c r="I4" s="194"/>
      <c r="K4" s="196"/>
      <c r="L4" s="564"/>
      <c r="M4" s="582"/>
      <c r="N4" s="569"/>
      <c r="O4" s="196"/>
      <c r="P4" s="196"/>
    </row>
    <row r="5" spans="1:16">
      <c r="C5" s="192"/>
      <c r="D5" s="192"/>
      <c r="E5" s="193"/>
      <c r="F5" s="192"/>
      <c r="G5" s="192"/>
      <c r="H5" s="192"/>
      <c r="I5" s="194"/>
      <c r="K5" s="196"/>
      <c r="L5" s="564"/>
      <c r="M5" s="582"/>
      <c r="N5" s="569"/>
      <c r="O5" s="196"/>
      <c r="P5" s="196"/>
    </row>
    <row r="6" spans="1:16">
      <c r="C6" s="192"/>
      <c r="D6" s="192"/>
      <c r="E6" s="193"/>
      <c r="F6" s="192"/>
      <c r="G6" s="192"/>
      <c r="H6" s="192"/>
      <c r="I6" s="194"/>
      <c r="J6" s="196"/>
      <c r="K6" s="196"/>
      <c r="L6" s="564"/>
      <c r="M6" s="569"/>
      <c r="N6" s="569"/>
      <c r="O6" s="196"/>
      <c r="P6" s="196"/>
    </row>
    <row r="7" spans="1:16">
      <c r="C7" s="192" t="s">
        <v>4</v>
      </c>
      <c r="D7" s="192"/>
      <c r="E7" s="193"/>
      <c r="F7" s="192"/>
      <c r="G7" s="192"/>
      <c r="H7" s="192"/>
      <c r="I7" s="194"/>
      <c r="J7" s="581" t="s">
        <v>619</v>
      </c>
      <c r="K7" s="196"/>
      <c r="L7" s="564"/>
      <c r="M7" s="569"/>
      <c r="N7" s="569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198"/>
      <c r="G8" s="198"/>
      <c r="H8" s="198"/>
      <c r="I8" s="198"/>
      <c r="J8" s="197"/>
      <c r="K8" s="196"/>
      <c r="L8" s="576"/>
      <c r="M8" s="569"/>
      <c r="N8" s="569"/>
      <c r="O8" s="196"/>
      <c r="P8" s="196"/>
    </row>
    <row r="9" spans="1:16">
      <c r="A9" s="199" t="s">
        <v>620</v>
      </c>
      <c r="B9" s="197"/>
      <c r="C9" s="411"/>
      <c r="D9" s="412"/>
      <c r="E9" s="413"/>
      <c r="F9" s="412"/>
      <c r="G9" s="412"/>
      <c r="H9" s="412"/>
      <c r="I9" s="411"/>
      <c r="J9" s="411"/>
      <c r="K9" s="196"/>
      <c r="L9" s="561"/>
      <c r="M9" s="569"/>
      <c r="N9" s="569"/>
      <c r="O9" s="196"/>
      <c r="P9" s="196"/>
    </row>
    <row r="10" spans="1:16">
      <c r="A10" s="200"/>
      <c r="B10" s="197"/>
      <c r="C10" s="200"/>
      <c r="D10" s="200"/>
      <c r="E10" s="197"/>
      <c r="F10" s="200"/>
      <c r="G10" s="200"/>
      <c r="H10" s="200"/>
      <c r="I10" s="200"/>
      <c r="J10" s="200"/>
      <c r="K10" s="196"/>
      <c r="L10" s="561"/>
      <c r="M10" s="569"/>
      <c r="N10" s="569"/>
      <c r="O10" s="196"/>
      <c r="P10" s="196"/>
    </row>
    <row r="11" spans="1:16" ht="15.75">
      <c r="A11" s="471" t="s">
        <v>518</v>
      </c>
      <c r="B11" s="197"/>
      <c r="C11" s="200"/>
      <c r="D11" s="200"/>
      <c r="E11" s="197"/>
      <c r="F11" s="200"/>
      <c r="G11" s="200"/>
      <c r="H11" s="200"/>
      <c r="I11" s="200"/>
      <c r="J11" s="200"/>
      <c r="K11" s="196"/>
      <c r="L11" s="561"/>
      <c r="M11" s="569"/>
      <c r="N11" s="569"/>
      <c r="O11" s="196"/>
      <c r="P11" s="196"/>
    </row>
    <row r="12" spans="1:16">
      <c r="A12" s="201"/>
      <c r="C12" s="196"/>
      <c r="D12" s="196"/>
      <c r="E12" s="202"/>
      <c r="F12" s="196"/>
      <c r="G12" s="196"/>
      <c r="H12" s="196"/>
      <c r="I12" s="196"/>
      <c r="J12" s="196"/>
      <c r="K12" s="196"/>
      <c r="L12" s="569"/>
      <c r="M12" s="569"/>
      <c r="N12" s="569"/>
      <c r="O12" s="196"/>
      <c r="P12" s="196"/>
    </row>
    <row r="13" spans="1:16">
      <c r="A13" s="201" t="s">
        <v>6</v>
      </c>
      <c r="C13" s="196"/>
      <c r="D13" s="196"/>
      <c r="E13" s="202"/>
      <c r="F13" s="196"/>
      <c r="G13" s="196"/>
      <c r="H13" s="196"/>
      <c r="I13" s="196"/>
      <c r="J13" s="201" t="s">
        <v>7</v>
      </c>
      <c r="K13" s="196"/>
      <c r="L13" s="569"/>
      <c r="M13" s="569"/>
      <c r="N13" s="569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205"/>
      <c r="G14" s="205"/>
      <c r="H14" s="205"/>
      <c r="I14" s="205"/>
      <c r="J14" s="203" t="s">
        <v>9</v>
      </c>
      <c r="K14" s="196"/>
      <c r="L14" s="569"/>
      <c r="M14" s="569"/>
      <c r="N14" s="569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196"/>
      <c r="G15" s="196"/>
      <c r="H15" s="196"/>
      <c r="I15" s="196"/>
      <c r="J15" s="207">
        <f>J178</f>
        <v>66347288.993666396</v>
      </c>
      <c r="K15" s="196"/>
      <c r="L15" s="569"/>
      <c r="M15" s="569"/>
      <c r="N15" s="569"/>
      <c r="O15" s="196"/>
      <c r="P15" s="196"/>
    </row>
    <row r="16" spans="1:16">
      <c r="A16" s="201"/>
      <c r="C16" s="196"/>
      <c r="D16" s="196"/>
      <c r="E16" s="196"/>
      <c r="F16" s="196"/>
      <c r="G16" s="196"/>
      <c r="H16" s="196"/>
      <c r="I16" s="196"/>
      <c r="J16" s="206"/>
      <c r="K16" s="196"/>
      <c r="L16" s="569"/>
      <c r="M16" s="569"/>
      <c r="N16" s="569"/>
      <c r="O16" s="196"/>
      <c r="P16" s="196"/>
    </row>
    <row r="17" spans="1:17">
      <c r="A17" s="201"/>
      <c r="C17" s="196"/>
      <c r="D17" s="196"/>
      <c r="E17" s="196"/>
      <c r="F17" s="196"/>
      <c r="G17" s="196"/>
      <c r="H17" s="196"/>
      <c r="I17" s="196"/>
      <c r="J17" s="206"/>
      <c r="K17" s="196"/>
      <c r="L17" s="569"/>
      <c r="M17" s="569"/>
      <c r="N17" s="569"/>
      <c r="O17" s="196"/>
      <c r="P17" s="196"/>
    </row>
    <row r="18" spans="1:17" ht="15.75" thickBot="1">
      <c r="A18" s="201" t="s">
        <v>5</v>
      </c>
      <c r="C18" s="208" t="s">
        <v>514</v>
      </c>
      <c r="D18" s="453" t="s">
        <v>486</v>
      </c>
      <c r="E18" s="209" t="s">
        <v>10</v>
      </c>
      <c r="F18" s="210"/>
      <c r="G18" s="211" t="s">
        <v>11</v>
      </c>
      <c r="H18" s="211"/>
      <c r="I18" s="196"/>
      <c r="J18" s="206"/>
      <c r="K18" s="196"/>
      <c r="L18" s="569"/>
      <c r="M18" s="569"/>
      <c r="N18" s="569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130516</v>
      </c>
      <c r="F19" s="213"/>
      <c r="G19" s="213" t="s">
        <v>12</v>
      </c>
      <c r="H19" s="214">
        <f>'Pg 6 of 8 Rev Cred Support'!E20</f>
        <v>1</v>
      </c>
      <c r="I19" s="213"/>
      <c r="J19" s="213">
        <f>H19*E19</f>
        <v>130516</v>
      </c>
      <c r="K19" s="196"/>
      <c r="L19" s="569"/>
      <c r="M19" s="569"/>
      <c r="N19" s="569"/>
      <c r="O19" s="196"/>
      <c r="P19" s="196"/>
    </row>
    <row r="20" spans="1:17">
      <c r="A20" s="201">
        <v>3</v>
      </c>
      <c r="C20" s="442" t="s">
        <v>515</v>
      </c>
      <c r="D20" s="210" t="s">
        <v>249</v>
      </c>
      <c r="E20" s="322">
        <f>J256</f>
        <v>175674.07999999891</v>
      </c>
      <c r="F20" s="213"/>
      <c r="G20" s="213" t="str">
        <f>G$19</f>
        <v>TP</v>
      </c>
      <c r="H20" s="214">
        <f t="shared" ref="H20:H22" si="0">J$202</f>
        <v>0.9749742751765258</v>
      </c>
      <c r="I20" s="213"/>
      <c r="J20" s="215">
        <f>H20*E20</f>
        <v>171277.70881530194</v>
      </c>
      <c r="K20" s="305"/>
      <c r="L20" s="569"/>
      <c r="M20" s="569"/>
      <c r="N20" s="569"/>
      <c r="O20" s="196"/>
      <c r="P20" s="196"/>
    </row>
    <row r="21" spans="1:17" ht="15.75">
      <c r="A21" s="319">
        <v>4</v>
      </c>
      <c r="B21" s="2"/>
      <c r="C21" s="442" t="s">
        <v>516</v>
      </c>
      <c r="D21" s="459" t="s">
        <v>487</v>
      </c>
      <c r="E21" s="322">
        <f>'Pg 6 of 8 Rev Cred Support'!E44</f>
        <v>185776.5</v>
      </c>
      <c r="F21" s="320"/>
      <c r="G21" s="320" t="str">
        <f t="shared" ref="G21:G23" si="1">G$19</f>
        <v>TP</v>
      </c>
      <c r="H21" s="321">
        <f t="shared" si="0"/>
        <v>0.9749742751765258</v>
      </c>
      <c r="I21" s="320"/>
      <c r="J21" s="322">
        <f>H21*E21</f>
        <v>181127.30843233183</v>
      </c>
      <c r="K21" s="196"/>
      <c r="L21" s="525"/>
      <c r="M21" s="569"/>
      <c r="N21" s="569"/>
      <c r="P21" s="196"/>
    </row>
    <row r="22" spans="1:17">
      <c r="A22" s="201">
        <v>5</v>
      </c>
      <c r="C22" s="310" t="s">
        <v>349</v>
      </c>
      <c r="D22" s="261"/>
      <c r="E22" s="708">
        <v>0</v>
      </c>
      <c r="F22" s="213"/>
      <c r="G22" s="213" t="str">
        <f t="shared" si="1"/>
        <v>TP</v>
      </c>
      <c r="H22" s="214">
        <f t="shared" si="0"/>
        <v>0.9749742751765258</v>
      </c>
      <c r="I22" s="213"/>
      <c r="J22" s="237">
        <f t="shared" ref="J22" si="2">H22*E22</f>
        <v>0</v>
      </c>
      <c r="K22" s="196"/>
      <c r="L22" s="569"/>
      <c r="M22" s="569"/>
      <c r="N22" s="569"/>
      <c r="P22" s="196"/>
    </row>
    <row r="23" spans="1:17">
      <c r="A23" s="201" t="s">
        <v>130</v>
      </c>
      <c r="C23" s="1" t="s">
        <v>400</v>
      </c>
      <c r="D23" s="261"/>
      <c r="E23" s="708">
        <f>'Appx B - RTEP'!X86</f>
        <v>0</v>
      </c>
      <c r="F23" s="213"/>
      <c r="G23" s="213" t="str">
        <f t="shared" si="1"/>
        <v>TP</v>
      </c>
      <c r="H23" s="214">
        <f t="shared" ref="H23" si="3">J$202</f>
        <v>0.9749742751765258</v>
      </c>
      <c r="I23" s="213"/>
      <c r="J23" s="323">
        <f>E23*H23</f>
        <v>0</v>
      </c>
      <c r="K23" s="196"/>
      <c r="L23" s="569"/>
      <c r="M23" s="569"/>
      <c r="N23" s="569"/>
      <c r="P23" s="196"/>
    </row>
    <row r="24" spans="1:17">
      <c r="A24" s="201">
        <v>6</v>
      </c>
      <c r="C24" s="212" t="s">
        <v>319</v>
      </c>
      <c r="D24" s="277"/>
      <c r="E24" s="216" t="s">
        <v>5</v>
      </c>
      <c r="F24" s="210"/>
      <c r="G24" s="210"/>
      <c r="H24" s="214"/>
      <c r="I24" s="210"/>
      <c r="J24" s="213">
        <f>SUM(J19:J22)</f>
        <v>482921.01724763378</v>
      </c>
      <c r="K24" s="196"/>
      <c r="L24" s="569"/>
      <c r="M24" s="569"/>
      <c r="N24" s="569"/>
      <c r="P24" s="196"/>
    </row>
    <row r="25" spans="1:17">
      <c r="A25" s="201" t="s">
        <v>407</v>
      </c>
      <c r="C25" s="212" t="s">
        <v>513</v>
      </c>
      <c r="D25" s="277" t="s">
        <v>488</v>
      </c>
      <c r="E25" s="216"/>
      <c r="F25" s="210"/>
      <c r="G25" s="210"/>
      <c r="H25" s="214"/>
      <c r="I25" s="210"/>
      <c r="J25" s="800">
        <v>5075960.5524479169</v>
      </c>
      <c r="K25" s="196"/>
      <c r="L25" s="569"/>
      <c r="M25" s="569"/>
      <c r="N25" s="569"/>
      <c r="P25" s="569"/>
    </row>
    <row r="26" spans="1:17">
      <c r="A26" s="201"/>
      <c r="D26" s="196"/>
      <c r="E26" s="210" t="s">
        <v>5</v>
      </c>
      <c r="F26" s="196"/>
      <c r="G26" s="196"/>
      <c r="H26" s="214"/>
      <c r="I26" s="196"/>
      <c r="K26" s="196"/>
      <c r="L26" s="569"/>
      <c r="M26" s="569"/>
      <c r="N26" s="569"/>
      <c r="P26" s="196"/>
    </row>
    <row r="27" spans="1:17">
      <c r="A27" s="201"/>
      <c r="C27" s="212"/>
      <c r="D27" s="196"/>
      <c r="J27" s="210"/>
      <c r="K27" s="196"/>
      <c r="L27" s="569"/>
      <c r="M27" s="569"/>
      <c r="N27" s="569"/>
      <c r="P27" s="196"/>
    </row>
    <row r="28" spans="1:17" ht="16.5" thickBot="1">
      <c r="A28" s="201">
        <v>7</v>
      </c>
      <c r="C28" s="212" t="s">
        <v>13</v>
      </c>
      <c r="D28" s="196" t="s">
        <v>408</v>
      </c>
      <c r="E28" s="216" t="s">
        <v>5</v>
      </c>
      <c r="F28" s="210"/>
      <c r="G28" s="210"/>
      <c r="H28" s="210"/>
      <c r="I28" s="210"/>
      <c r="J28" s="217">
        <f>J15-J24+J25</f>
        <v>70940328.528866678</v>
      </c>
      <c r="K28" s="196"/>
      <c r="L28" s="525"/>
      <c r="M28" s="569"/>
      <c r="N28" s="569"/>
      <c r="O28" s="560"/>
      <c r="P28" s="559"/>
      <c r="Q28" s="558"/>
    </row>
    <row r="29" spans="1:17" ht="15.75" thickTop="1">
      <c r="A29" s="201"/>
      <c r="D29" s="196"/>
      <c r="E29" s="216"/>
      <c r="F29" s="210"/>
      <c r="G29" s="210"/>
      <c r="H29" s="210"/>
      <c r="I29" s="210"/>
      <c r="K29" s="196"/>
      <c r="L29" s="569"/>
      <c r="M29" s="569"/>
      <c r="N29" s="569"/>
      <c r="O29" s="564"/>
      <c r="P29" s="559"/>
      <c r="Q29" s="558"/>
    </row>
    <row r="30" spans="1:17">
      <c r="A30" s="201"/>
      <c r="C30" s="212" t="s">
        <v>250</v>
      </c>
      <c r="D30" s="196"/>
      <c r="E30" s="206"/>
      <c r="F30" s="196"/>
      <c r="G30" s="196"/>
      <c r="H30" s="196"/>
      <c r="I30" s="196"/>
      <c r="J30" s="206"/>
      <c r="K30" s="196"/>
      <c r="L30" s="569"/>
      <c r="M30" s="569"/>
      <c r="N30" s="569"/>
      <c r="P30" s="196"/>
    </row>
    <row r="31" spans="1:17" ht="15.75">
      <c r="A31" s="201">
        <v>8</v>
      </c>
      <c r="C31" s="303" t="s">
        <v>511</v>
      </c>
      <c r="D31" s="472" t="s">
        <v>489</v>
      </c>
      <c r="E31" s="304"/>
      <c r="F31" s="305"/>
      <c r="G31" s="305"/>
      <c r="H31" s="306"/>
      <c r="I31" s="305"/>
      <c r="J31" s="696">
        <f>MAX('Pg 8 of 8 Peak Load'!C35:N35)</f>
        <v>2754679</v>
      </c>
      <c r="K31" s="196"/>
      <c r="L31" s="525"/>
      <c r="M31" s="569"/>
      <c r="N31" s="569"/>
    </row>
    <row r="32" spans="1:17" ht="15.75">
      <c r="A32" s="201">
        <v>9</v>
      </c>
      <c r="C32" s="303" t="s">
        <v>512</v>
      </c>
      <c r="D32" s="472" t="s">
        <v>490</v>
      </c>
      <c r="E32" s="307"/>
      <c r="F32" s="307"/>
      <c r="G32" s="307"/>
      <c r="H32" s="307"/>
      <c r="I32" s="307"/>
      <c r="J32" s="696">
        <f>'Pg 8 of 8 Peak Load'!P35</f>
        <v>2238166</v>
      </c>
      <c r="K32" s="196"/>
      <c r="L32" s="525"/>
      <c r="M32" s="569"/>
      <c r="N32" s="569"/>
      <c r="O32" s="196"/>
    </row>
    <row r="33" spans="1:18">
      <c r="A33" s="201"/>
      <c r="C33" s="212"/>
      <c r="D33" s="196"/>
      <c r="E33" s="196"/>
      <c r="F33" s="196"/>
      <c r="G33" s="196"/>
      <c r="H33" s="196"/>
      <c r="I33" s="196"/>
      <c r="J33" s="218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07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07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07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07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/>
      <c r="E38" s="207"/>
      <c r="F38" s="207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07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75">
      <c r="A40" s="201">
        <v>15</v>
      </c>
      <c r="C40" s="212" t="s">
        <v>229</v>
      </c>
      <c r="D40" s="196" t="s">
        <v>251</v>
      </c>
      <c r="E40" s="219">
        <f>IF(J31&gt;0,J28/J31,9)</f>
        <v>25.752666110594621</v>
      </c>
      <c r="F40" s="207"/>
      <c r="G40" s="207"/>
      <c r="H40" s="207"/>
      <c r="I40" s="207"/>
      <c r="J40" s="526"/>
      <c r="K40" s="502"/>
      <c r="L40" s="502"/>
      <c r="M40" s="305"/>
      <c r="N40"/>
      <c r="O40"/>
      <c r="P40"/>
      <c r="Q40"/>
      <c r="R40"/>
    </row>
    <row r="41" spans="1:18" ht="15.75">
      <c r="A41" s="201"/>
      <c r="C41" s="212"/>
      <c r="D41" s="196"/>
      <c r="E41" s="219"/>
      <c r="F41" s="207"/>
      <c r="G41" s="207"/>
      <c r="H41" s="207"/>
      <c r="I41" s="207"/>
      <c r="J41" s="527"/>
      <c r="K41" s="502"/>
      <c r="L41" s="502"/>
      <c r="M41" s="305"/>
      <c r="N41"/>
      <c r="O41"/>
      <c r="P41"/>
      <c r="Q41"/>
      <c r="R41"/>
    </row>
    <row r="42" spans="1:18" ht="15.75">
      <c r="A42" s="201">
        <v>16</v>
      </c>
      <c r="C42" s="212" t="s">
        <v>281</v>
      </c>
      <c r="D42" s="196" t="s">
        <v>282</v>
      </c>
      <c r="E42" s="219">
        <f>IF(J32&gt;0,J28/J32,9)</f>
        <v>31.695740409275576</v>
      </c>
      <c r="F42" s="207"/>
      <c r="G42" s="345"/>
      <c r="H42" s="207"/>
      <c r="I42" s="207"/>
      <c r="J42" s="527"/>
      <c r="K42" s="502"/>
      <c r="L42" s="502"/>
      <c r="M42" s="305"/>
      <c r="N42"/>
      <c r="O42"/>
      <c r="P42"/>
      <c r="Q42"/>
      <c r="R42"/>
    </row>
    <row r="43" spans="1:18" ht="15.75">
      <c r="A43" s="201"/>
      <c r="C43" s="212"/>
      <c r="D43" s="196"/>
      <c r="E43" s="219"/>
      <c r="F43" s="207"/>
      <c r="G43" s="524"/>
      <c r="H43" s="524"/>
      <c r="I43" s="207"/>
      <c r="J43" s="527"/>
      <c r="K43" s="502"/>
      <c r="L43" s="502"/>
      <c r="M43" s="305"/>
      <c r="N43"/>
      <c r="O43"/>
      <c r="P43"/>
      <c r="Q43"/>
      <c r="R43"/>
    </row>
    <row r="44" spans="1:18" ht="15.75">
      <c r="A44" s="201">
        <v>17</v>
      </c>
      <c r="C44" s="212" t="s">
        <v>283</v>
      </c>
      <c r="D44" s="196" t="s">
        <v>284</v>
      </c>
      <c r="E44" s="619">
        <f>ROUND(E40/12,9)</f>
        <v>2.146055509</v>
      </c>
      <c r="F44" s="207"/>
      <c r="G44" s="524"/>
      <c r="H44" s="524"/>
      <c r="I44" s="207"/>
      <c r="J44" s="526"/>
      <c r="K44" s="502"/>
      <c r="L44" s="502"/>
      <c r="M44" s="305"/>
      <c r="N44"/>
      <c r="O44"/>
      <c r="P44"/>
      <c r="Q44"/>
      <c r="R44"/>
    </row>
    <row r="45" spans="1:18">
      <c r="A45" s="201"/>
      <c r="C45" s="212"/>
      <c r="D45" s="196"/>
      <c r="E45" s="619"/>
      <c r="F45" s="207"/>
      <c r="G45" s="524"/>
      <c r="H45" s="524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280</v>
      </c>
      <c r="C46" s="212" t="s">
        <v>285</v>
      </c>
      <c r="D46" s="196" t="s">
        <v>286</v>
      </c>
      <c r="E46" s="619">
        <f>ROUND($E$42/12,9)</f>
        <v>2.6413117009999998</v>
      </c>
      <c r="F46" s="207"/>
      <c r="G46" s="524"/>
      <c r="H46" s="524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9"/>
      <c r="F47" s="207"/>
      <c r="G47" s="524"/>
      <c r="H47" s="524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52" t="s">
        <v>517</v>
      </c>
      <c r="F48" s="221"/>
      <c r="G48" s="221"/>
      <c r="I48" s="207"/>
      <c r="J48" s="452" t="s">
        <v>293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20"/>
      <c r="F49" s="221"/>
      <c r="G49" s="221"/>
      <c r="I49" s="207"/>
      <c r="J49" s="220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287</v>
      </c>
      <c r="D50" s="196" t="s">
        <v>290</v>
      </c>
      <c r="E50" s="219">
        <f>ROUND($E$42/52,9)</f>
        <v>0.60953346900000005</v>
      </c>
      <c r="F50" s="207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9"/>
      <c r="F51" s="207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288</v>
      </c>
      <c r="D52" s="196" t="s">
        <v>291</v>
      </c>
      <c r="E52" s="219">
        <f>ROUND($E$42/260,9)</f>
        <v>0.121906694</v>
      </c>
      <c r="F52" s="207" t="s">
        <v>294</v>
      </c>
      <c r="G52" s="207"/>
      <c r="H52" s="207"/>
      <c r="I52" s="207"/>
      <c r="J52" s="219">
        <f>ROUND($E$42/365,9)</f>
        <v>8.6837645000000005E-2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9"/>
      <c r="F53" s="207"/>
      <c r="G53" s="207"/>
      <c r="H53" s="207"/>
      <c r="I53" s="207"/>
      <c r="J53" s="219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42" t="s">
        <v>289</v>
      </c>
      <c r="D54" s="451" t="s">
        <v>292</v>
      </c>
      <c r="E54" s="390">
        <f>ROUND(($J$28/$J$32)/4160*1000,4)</f>
        <v>7.6192000000000002</v>
      </c>
      <c r="F54" s="207" t="s">
        <v>295</v>
      </c>
      <c r="G54" s="207"/>
      <c r="H54" s="207"/>
      <c r="I54" s="207"/>
      <c r="J54" s="219">
        <f>ROUND(($J$28/$J$32)/8760*1000,4)</f>
        <v>3.6181999999999999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2"/>
      <c r="E55" s="390"/>
      <c r="F55" s="207"/>
      <c r="G55" s="207"/>
      <c r="H55" s="207"/>
      <c r="I55" s="207"/>
      <c r="J55" s="219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192"/>
      <c r="G56" s="192"/>
      <c r="H56" s="192"/>
      <c r="I56" s="194"/>
      <c r="K56" s="201"/>
      <c r="L56" s="223"/>
      <c r="M56" s="201"/>
      <c r="N56"/>
      <c r="O56"/>
      <c r="P56"/>
      <c r="Q56"/>
      <c r="R56"/>
    </row>
    <row r="57" spans="1:18" ht="18">
      <c r="A57" s="190"/>
      <c r="C57" s="192"/>
      <c r="D57" s="192"/>
      <c r="E57" s="346"/>
      <c r="F57" s="192"/>
      <c r="G57" s="192"/>
      <c r="H57" s="192"/>
      <c r="I57" s="194"/>
      <c r="J57" s="195" t="str">
        <f>J1</f>
        <v>Attachment H-24A</v>
      </c>
      <c r="K57" s="223"/>
      <c r="M57" s="223"/>
      <c r="N57"/>
      <c r="O57"/>
      <c r="P57"/>
      <c r="Q57"/>
      <c r="R57"/>
    </row>
    <row r="58" spans="1:18">
      <c r="C58" s="192"/>
      <c r="D58" s="192"/>
      <c r="E58" s="193"/>
      <c r="F58" s="192"/>
      <c r="G58" s="192"/>
      <c r="H58" s="192"/>
      <c r="I58" s="194"/>
      <c r="J58" s="195" t="s">
        <v>427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192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192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192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192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192"/>
      <c r="G63" s="192"/>
      <c r="H63" s="192"/>
      <c r="I63" s="194"/>
      <c r="J63" s="223" t="str">
        <f>J7</f>
        <v>For the 12 months ended 12/31/2013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198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2013 Form FF1 Data</v>
      </c>
      <c r="B65" s="197"/>
      <c r="C65" s="198"/>
      <c r="D65" s="199"/>
      <c r="E65" s="197"/>
      <c r="F65" s="199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00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6" t="str">
        <f>$A$11</f>
        <v>East Kentucky Power Cooperative, Inc.</v>
      </c>
      <c r="B67" s="197"/>
      <c r="C67" s="200"/>
      <c r="D67" s="200"/>
      <c r="E67" s="197"/>
      <c r="F67" s="200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00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4" t="s">
        <v>16</v>
      </c>
      <c r="D69" s="224" t="s">
        <v>17</v>
      </c>
      <c r="E69" s="224" t="s">
        <v>18</v>
      </c>
      <c r="F69" s="210" t="s">
        <v>5</v>
      </c>
      <c r="G69" s="210"/>
      <c r="H69" s="225" t="s">
        <v>19</v>
      </c>
      <c r="I69" s="210"/>
      <c r="J69" s="226" t="s">
        <v>20</v>
      </c>
      <c r="K69" s="210"/>
      <c r="L69" s="224"/>
      <c r="M69" s="210"/>
      <c r="N69" s="224"/>
      <c r="O69" s="210"/>
      <c r="P69" s="212"/>
    </row>
    <row r="70" spans="1:16">
      <c r="A70" s="201" t="s">
        <v>6</v>
      </c>
      <c r="C70" s="212"/>
      <c r="D70" s="238" t="s">
        <v>21</v>
      </c>
      <c r="E70" s="210"/>
      <c r="F70" s="210"/>
      <c r="G70" s="210"/>
      <c r="H70" s="201"/>
      <c r="I70" s="210"/>
      <c r="J70" s="201" t="s">
        <v>22</v>
      </c>
      <c r="K70" s="210"/>
      <c r="L70" s="224"/>
      <c r="M70" s="210"/>
      <c r="N70" s="224"/>
      <c r="O70" s="224"/>
      <c r="P70" s="212"/>
    </row>
    <row r="71" spans="1:16" ht="15.75" thickBot="1">
      <c r="A71" s="203" t="s">
        <v>8</v>
      </c>
      <c r="C71" s="243" t="s">
        <v>230</v>
      </c>
      <c r="D71" s="603" t="s">
        <v>23</v>
      </c>
      <c r="E71" s="209" t="s">
        <v>24</v>
      </c>
      <c r="F71" s="246"/>
      <c r="G71" s="211" t="s">
        <v>11</v>
      </c>
      <c r="H71" s="211"/>
      <c r="I71" s="246"/>
      <c r="J71" s="604" t="s">
        <v>274</v>
      </c>
      <c r="K71" s="210"/>
      <c r="L71" s="224"/>
      <c r="M71" s="196"/>
      <c r="N71" s="224"/>
      <c r="O71" s="224"/>
      <c r="P71" s="212"/>
    </row>
    <row r="72" spans="1:16">
      <c r="D72" s="210"/>
      <c r="E72" s="210"/>
      <c r="F72" s="210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10"/>
      <c r="G73" s="210"/>
      <c r="H73" s="210"/>
      <c r="I73" s="210"/>
      <c r="J73" s="210"/>
      <c r="K73" s="210"/>
      <c r="L73" s="210"/>
      <c r="M73" s="196"/>
      <c r="N73" s="210"/>
      <c r="O73" s="210"/>
      <c r="P73" s="212"/>
    </row>
    <row r="74" spans="1:16">
      <c r="A74" s="201"/>
      <c r="C74" s="212" t="s">
        <v>25</v>
      </c>
      <c r="D74" s="210"/>
      <c r="E74" s="210"/>
      <c r="F74" s="210"/>
      <c r="G74" s="210"/>
      <c r="H74" s="210"/>
      <c r="I74" s="210"/>
      <c r="J74" s="210"/>
      <c r="K74" s="210"/>
      <c r="L74" s="210"/>
      <c r="M74" s="196"/>
      <c r="N74" s="210"/>
      <c r="O74" s="210"/>
      <c r="P74" s="212"/>
    </row>
    <row r="75" spans="1:16">
      <c r="A75" s="201">
        <v>1</v>
      </c>
      <c r="C75" s="212" t="s">
        <v>26</v>
      </c>
      <c r="D75" s="210" t="s">
        <v>457</v>
      </c>
      <c r="E75" s="765">
        <v>2913151105</v>
      </c>
      <c r="F75" s="210"/>
      <c r="G75" s="210" t="s">
        <v>27</v>
      </c>
      <c r="H75" s="231" t="s">
        <v>5</v>
      </c>
      <c r="I75" s="210"/>
      <c r="J75" s="215" t="s">
        <v>5</v>
      </c>
      <c r="K75" s="210"/>
      <c r="L75" s="210"/>
      <c r="M75" s="196"/>
      <c r="O75" s="210"/>
      <c r="P75" s="212"/>
    </row>
    <row r="76" spans="1:16">
      <c r="A76" s="201">
        <v>2</v>
      </c>
      <c r="C76" s="212" t="s">
        <v>28</v>
      </c>
      <c r="D76" s="307" t="s">
        <v>440</v>
      </c>
      <c r="E76" s="793">
        <f>553297356+10075023</f>
        <v>563372379</v>
      </c>
      <c r="F76" s="210"/>
      <c r="G76" s="210" t="s">
        <v>12</v>
      </c>
      <c r="H76" s="231">
        <f>J202</f>
        <v>0.9749742751765258</v>
      </c>
      <c r="I76" s="210"/>
      <c r="J76" s="213">
        <f>ROUND(H76*E76,0)</f>
        <v>549273577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7" t="s">
        <v>441</v>
      </c>
      <c r="E77" s="766">
        <v>191324626</v>
      </c>
      <c r="F77" s="210"/>
      <c r="G77" s="210" t="s">
        <v>27</v>
      </c>
      <c r="H77" s="231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7" t="s">
        <v>442</v>
      </c>
      <c r="E78" s="766">
        <f>105440188+1820988</f>
        <v>107261176</v>
      </c>
      <c r="F78" s="210"/>
      <c r="G78" s="210" t="s">
        <v>31</v>
      </c>
      <c r="H78" s="231">
        <f>J220</f>
        <v>0.15836442805851031</v>
      </c>
      <c r="I78" s="210"/>
      <c r="J78" s="215">
        <f>ROUND(H78*E78,0)</f>
        <v>16986355</v>
      </c>
      <c r="K78" s="210"/>
      <c r="L78" s="210"/>
      <c r="M78" s="210"/>
      <c r="N78" s="2"/>
      <c r="O78" s="224"/>
      <c r="P78" s="212"/>
    </row>
    <row r="79" spans="1:16" ht="15.75" thickBot="1">
      <c r="A79" s="201">
        <v>5</v>
      </c>
      <c r="C79" s="212" t="s">
        <v>32</v>
      </c>
      <c r="D79" s="307"/>
      <c r="E79" s="710">
        <v>0</v>
      </c>
      <c r="F79" s="210"/>
      <c r="G79" s="210" t="s">
        <v>79</v>
      </c>
      <c r="H79" s="231">
        <f>L225</f>
        <v>0</v>
      </c>
      <c r="I79" s="210"/>
      <c r="J79" s="232">
        <f t="shared" ref="J79" si="4">ROUND(H79*E79,0)</f>
        <v>0</v>
      </c>
      <c r="K79" s="210"/>
      <c r="L79" s="210"/>
      <c r="M79" s="210"/>
      <c r="N79" s="2"/>
      <c r="O79" s="224"/>
      <c r="P79" s="212"/>
    </row>
    <row r="80" spans="1:16">
      <c r="A80" s="201">
        <v>6</v>
      </c>
      <c r="C80" s="192" t="s">
        <v>33</v>
      </c>
      <c r="D80" s="210"/>
      <c r="E80" s="213">
        <f>SUM(E75:E79)</f>
        <v>3775109286</v>
      </c>
      <c r="F80" s="210"/>
      <c r="G80" s="210" t="s">
        <v>34</v>
      </c>
      <c r="H80" s="233">
        <f>IF(J80&gt;0,J80/E80,0)</f>
        <v>0.14999828855285754</v>
      </c>
      <c r="I80" s="210"/>
      <c r="J80" s="213">
        <f>SUM(J75:J79)</f>
        <v>566259932</v>
      </c>
      <c r="K80" s="210"/>
      <c r="L80" s="234"/>
      <c r="M80" s="196"/>
      <c r="N80" s="2"/>
      <c r="O80" s="210"/>
      <c r="P80" s="212"/>
    </row>
    <row r="81" spans="1:16">
      <c r="C81" s="212"/>
      <c r="D81" s="210"/>
      <c r="E81" s="215"/>
      <c r="F81" s="210"/>
      <c r="G81" s="210"/>
      <c r="H81" s="234"/>
      <c r="I81" s="210"/>
      <c r="J81" s="215"/>
      <c r="K81" s="210"/>
      <c r="L81" s="234"/>
      <c r="M81" s="196"/>
      <c r="N81" s="307"/>
      <c r="O81" s="210"/>
      <c r="P81" s="212"/>
    </row>
    <row r="82" spans="1:16">
      <c r="C82" s="212" t="s">
        <v>35</v>
      </c>
      <c r="D82" s="210"/>
      <c r="E82" s="215"/>
      <c r="F82" s="210"/>
      <c r="G82" s="210"/>
      <c r="H82" s="210"/>
      <c r="I82" s="210"/>
      <c r="J82" s="215"/>
      <c r="K82" s="210"/>
      <c r="L82" s="210"/>
      <c r="M82" s="196"/>
      <c r="N82" s="307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765">
        <f>731336117+113367974</f>
        <v>844704091</v>
      </c>
      <c r="F83" s="210"/>
      <c r="G83" s="210" t="str">
        <f>G75</f>
        <v>NA</v>
      </c>
      <c r="H83" s="231" t="str">
        <f>H75</f>
        <v xml:space="preserve"> </v>
      </c>
      <c r="I83" s="210"/>
      <c r="J83" s="215" t="s">
        <v>5</v>
      </c>
      <c r="K83" s="210"/>
      <c r="L83" s="210"/>
      <c r="M83" s="196"/>
      <c r="N83" s="307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66">
        <v>156621847</v>
      </c>
      <c r="F84" s="210"/>
      <c r="G84" s="210" t="str">
        <f>G76</f>
        <v>TP</v>
      </c>
      <c r="H84" s="231">
        <f>H76</f>
        <v>0.9749742751765258</v>
      </c>
      <c r="I84" s="210"/>
      <c r="J84" s="213">
        <f>ROUND(H84*E84,0)</f>
        <v>152702272</v>
      </c>
      <c r="K84" s="210"/>
      <c r="L84" s="210"/>
      <c r="M84" s="196"/>
      <c r="N84" s="307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66">
        <v>58071700</v>
      </c>
      <c r="F85" s="210"/>
      <c r="G85" s="210" t="str">
        <f t="shared" ref="G85:H87" si="5">G77</f>
        <v>NA</v>
      </c>
      <c r="H85" s="231" t="str">
        <f t="shared" si="5"/>
        <v xml:space="preserve"> </v>
      </c>
      <c r="I85" s="210"/>
      <c r="J85" s="215" t="s">
        <v>5</v>
      </c>
      <c r="K85" s="210"/>
      <c r="L85" s="210"/>
      <c r="M85" s="196"/>
      <c r="N85" s="307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66">
        <v>74425376</v>
      </c>
      <c r="F86" s="210"/>
      <c r="G86" s="210" t="str">
        <f t="shared" si="5"/>
        <v>W/S</v>
      </c>
      <c r="H86" s="231">
        <f t="shared" si="5"/>
        <v>0.15836442805851031</v>
      </c>
      <c r="I86" s="210"/>
      <c r="J86" s="215">
        <f t="shared" ref="J86:J87" si="6">ROUND(H86*E86,0)</f>
        <v>11786332</v>
      </c>
      <c r="K86" s="210"/>
      <c r="L86" s="210"/>
      <c r="M86" s="196"/>
      <c r="N86" s="307"/>
      <c r="O86" s="224"/>
      <c r="P86" s="212"/>
    </row>
    <row r="87" spans="1:16" ht="15.75" thickBot="1">
      <c r="A87" s="201">
        <v>11</v>
      </c>
      <c r="C87" s="212" t="str">
        <f>C79</f>
        <v xml:space="preserve">  Common</v>
      </c>
      <c r="D87" s="307"/>
      <c r="E87" s="710">
        <v>0</v>
      </c>
      <c r="F87" s="210"/>
      <c r="G87" s="210" t="str">
        <f t="shared" si="5"/>
        <v>CE</v>
      </c>
      <c r="H87" s="231">
        <f t="shared" si="5"/>
        <v>0</v>
      </c>
      <c r="I87" s="210"/>
      <c r="J87" s="232">
        <f t="shared" si="6"/>
        <v>0</v>
      </c>
      <c r="K87" s="210"/>
      <c r="L87" s="210"/>
      <c r="M87" s="196"/>
      <c r="N87" s="307"/>
      <c r="O87" s="224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1133823014</v>
      </c>
      <c r="F88" s="210"/>
      <c r="G88" s="210"/>
      <c r="H88" s="210"/>
      <c r="I88" s="210"/>
      <c r="J88" s="213">
        <f>SUM(J83:J87)</f>
        <v>164488604</v>
      </c>
      <c r="K88" s="210"/>
      <c r="L88" s="210"/>
      <c r="M88" s="196"/>
      <c r="N88" s="456"/>
      <c r="O88" s="210"/>
      <c r="P88" s="212"/>
    </row>
    <row r="89" spans="1:16">
      <c r="A89" s="201"/>
      <c r="D89" s="210" t="s">
        <v>5</v>
      </c>
      <c r="E89" s="215"/>
      <c r="F89" s="210"/>
      <c r="G89" s="210"/>
      <c r="H89" s="234"/>
      <c r="I89" s="210"/>
      <c r="J89" s="215"/>
      <c r="K89" s="210"/>
      <c r="L89" s="234"/>
      <c r="M89" s="196"/>
      <c r="N89" s="307"/>
      <c r="O89" s="210"/>
      <c r="P89" s="212"/>
    </row>
    <row r="90" spans="1:16">
      <c r="A90" s="201"/>
      <c r="C90" s="212" t="s">
        <v>37</v>
      </c>
      <c r="D90" s="210"/>
      <c r="E90" s="215"/>
      <c r="F90" s="210"/>
      <c r="G90" s="210"/>
      <c r="H90" s="210"/>
      <c r="I90" s="210"/>
      <c r="J90" s="215"/>
      <c r="K90" s="210"/>
      <c r="L90" s="210"/>
      <c r="M90" s="196"/>
      <c r="N90" s="307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2068447014</v>
      </c>
      <c r="F91" s="210"/>
      <c r="G91" s="210"/>
      <c r="H91" s="234"/>
      <c r="I91" s="210"/>
      <c r="J91" s="215" t="s">
        <v>5</v>
      </c>
      <c r="K91" s="210"/>
      <c r="L91" s="234"/>
      <c r="M91" s="196"/>
      <c r="N91" s="307"/>
      <c r="O91" s="210"/>
      <c r="P91" s="212"/>
    </row>
    <row r="92" spans="1:16">
      <c r="A92" s="201">
        <v>14</v>
      </c>
      <c r="C92" s="442" t="s">
        <v>48</v>
      </c>
      <c r="D92" s="210" t="s">
        <v>273</v>
      </c>
      <c r="E92" s="215">
        <f>E76-E84</f>
        <v>406750532</v>
      </c>
      <c r="F92" s="210"/>
      <c r="G92" s="210"/>
      <c r="H92" s="231"/>
      <c r="I92" s="210"/>
      <c r="J92" s="213">
        <f>J76-J84</f>
        <v>396571305</v>
      </c>
      <c r="K92" s="210"/>
      <c r="L92" s="234"/>
      <c r="M92" s="196"/>
      <c r="N92" s="307"/>
      <c r="O92" s="210"/>
      <c r="P92" s="212"/>
    </row>
    <row r="93" spans="1:16" hidden="1">
      <c r="A93" s="201"/>
      <c r="C93" s="421"/>
      <c r="D93" s="210"/>
      <c r="E93" s="215"/>
      <c r="F93" s="210"/>
      <c r="G93" s="210"/>
      <c r="H93" s="231"/>
      <c r="I93" s="210"/>
      <c r="J93" s="213"/>
      <c r="K93" s="210"/>
      <c r="L93" s="234"/>
      <c r="M93" s="196"/>
      <c r="N93" s="307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133252926</v>
      </c>
      <c r="F94" s="210"/>
      <c r="G94" s="210"/>
      <c r="H94" s="234"/>
      <c r="I94" s="210"/>
      <c r="J94" s="215" t="s">
        <v>5</v>
      </c>
      <c r="K94" s="210"/>
      <c r="L94" s="234"/>
      <c r="M94" s="196"/>
      <c r="N94" s="307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32835800</v>
      </c>
      <c r="F95" s="210"/>
      <c r="G95" s="210"/>
      <c r="H95" s="234"/>
      <c r="I95" s="210"/>
      <c r="J95" s="215">
        <f>J78-J86</f>
        <v>5200023</v>
      </c>
      <c r="K95" s="210"/>
      <c r="L95" s="234"/>
      <c r="M95" s="196"/>
      <c r="N95" s="307"/>
      <c r="O95" s="224"/>
      <c r="P95" s="212"/>
    </row>
    <row r="96" spans="1:16" ht="15.75" thickBot="1">
      <c r="A96" s="201">
        <v>17</v>
      </c>
      <c r="C96" s="212" t="str">
        <f>C87</f>
        <v xml:space="preserve">  Common</v>
      </c>
      <c r="D96" s="210" t="s">
        <v>40</v>
      </c>
      <c r="E96" s="232">
        <f>E79-E87</f>
        <v>0</v>
      </c>
      <c r="F96" s="210"/>
      <c r="G96" s="210"/>
      <c r="H96" s="234"/>
      <c r="I96" s="210"/>
      <c r="J96" s="232">
        <f>J79-J87</f>
        <v>0</v>
      </c>
      <c r="K96" s="210"/>
      <c r="L96" s="234"/>
      <c r="M96" s="196"/>
      <c r="N96" s="307"/>
      <c r="O96" s="224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2641286272</v>
      </c>
      <c r="F97" s="210"/>
      <c r="G97" s="210" t="s">
        <v>42</v>
      </c>
      <c r="H97" s="234">
        <f>IF(J97&gt;0,J97/E97,0)</f>
        <v>0.15211199643868062</v>
      </c>
      <c r="I97" s="210"/>
      <c r="J97" s="213">
        <f>SUM(J91:J96)</f>
        <v>401771328</v>
      </c>
      <c r="K97" s="210"/>
      <c r="L97" s="210"/>
      <c r="M97" s="196"/>
      <c r="N97" s="457"/>
      <c r="O97" s="210"/>
      <c r="P97" s="212"/>
    </row>
    <row r="98" spans="1:16">
      <c r="A98" s="201"/>
      <c r="D98" s="210"/>
      <c r="E98" s="215"/>
      <c r="F98" s="210"/>
      <c r="I98" s="210"/>
      <c r="J98" s="215"/>
      <c r="K98" s="210"/>
      <c r="L98" s="234"/>
      <c r="M98" s="196"/>
      <c r="N98" s="307"/>
      <c r="O98" s="210"/>
      <c r="P98" s="212"/>
    </row>
    <row r="99" spans="1:16">
      <c r="A99" s="201"/>
      <c r="C99" s="443" t="s">
        <v>449</v>
      </c>
      <c r="D99" s="210"/>
      <c r="E99" s="215"/>
      <c r="F99" s="210"/>
      <c r="G99" s="210"/>
      <c r="H99" s="210"/>
      <c r="I99" s="210"/>
      <c r="J99" s="215"/>
      <c r="K99" s="210"/>
      <c r="L99" s="210"/>
      <c r="M99" s="196"/>
      <c r="N99" s="458"/>
      <c r="O99" s="210"/>
      <c r="P99" s="212"/>
    </row>
    <row r="100" spans="1:16">
      <c r="A100" s="201">
        <v>19</v>
      </c>
      <c r="C100" s="212" t="s">
        <v>115</v>
      </c>
      <c r="D100" s="307" t="s">
        <v>443</v>
      </c>
      <c r="E100" s="709">
        <v>0</v>
      </c>
      <c r="F100" s="210"/>
      <c r="G100" s="210" t="str">
        <f>G83</f>
        <v>NA</v>
      </c>
      <c r="H100" s="270" t="s">
        <v>131</v>
      </c>
      <c r="I100" s="210"/>
      <c r="J100" s="213">
        <v>0</v>
      </c>
      <c r="K100" s="210"/>
      <c r="L100" s="234"/>
      <c r="M100" s="196"/>
      <c r="N100" s="2"/>
      <c r="O100" s="224"/>
      <c r="P100" s="212"/>
    </row>
    <row r="101" spans="1:16">
      <c r="A101" s="201">
        <v>20</v>
      </c>
      <c r="C101" s="212" t="s">
        <v>116</v>
      </c>
      <c r="D101" s="307" t="s">
        <v>444</v>
      </c>
      <c r="E101" s="573">
        <v>0</v>
      </c>
      <c r="F101" s="210"/>
      <c r="G101" s="210" t="s">
        <v>43</v>
      </c>
      <c r="H101" s="231">
        <f>H97</f>
        <v>0.15211199643868062</v>
      </c>
      <c r="I101" s="210"/>
      <c r="J101" s="215">
        <f>ROUND(H101*E101,0)</f>
        <v>0</v>
      </c>
      <c r="K101" s="210"/>
      <c r="L101" s="234"/>
      <c r="M101" s="196"/>
      <c r="N101" s="2"/>
      <c r="O101" s="224"/>
      <c r="P101" s="212"/>
    </row>
    <row r="102" spans="1:16">
      <c r="A102" s="201">
        <v>21</v>
      </c>
      <c r="C102" s="212" t="s">
        <v>117</v>
      </c>
      <c r="D102" s="307" t="s">
        <v>445</v>
      </c>
      <c r="E102" s="573">
        <v>0</v>
      </c>
      <c r="F102" s="210"/>
      <c r="G102" s="210" t="s">
        <v>43</v>
      </c>
      <c r="H102" s="231">
        <f>H101</f>
        <v>0.15211199643868062</v>
      </c>
      <c r="I102" s="210"/>
      <c r="J102" s="215">
        <f t="shared" ref="J102:J104" si="7">ROUND(H102*E102,0)</f>
        <v>0</v>
      </c>
      <c r="K102" s="210"/>
      <c r="L102" s="234"/>
      <c r="M102" s="196"/>
      <c r="N102" s="2"/>
      <c r="O102" s="224"/>
      <c r="P102" s="212"/>
    </row>
    <row r="103" spans="1:16">
      <c r="A103" s="201">
        <v>22</v>
      </c>
      <c r="C103" s="212" t="s">
        <v>119</v>
      </c>
      <c r="D103" s="307" t="s">
        <v>446</v>
      </c>
      <c r="E103" s="537">
        <v>0</v>
      </c>
      <c r="F103" s="210"/>
      <c r="G103" s="210" t="str">
        <f>G102</f>
        <v>NP</v>
      </c>
      <c r="H103" s="231">
        <f>H102</f>
        <v>0.15211199643868062</v>
      </c>
      <c r="I103" s="210"/>
      <c r="J103" s="215">
        <f t="shared" si="7"/>
        <v>0</v>
      </c>
      <c r="K103" s="210"/>
      <c r="L103" s="234"/>
      <c r="M103" s="196"/>
      <c r="N103" s="2"/>
      <c r="O103" s="224"/>
      <c r="P103" s="212"/>
    </row>
    <row r="104" spans="1:16" ht="15.75" thickBot="1">
      <c r="A104" s="201">
        <v>23</v>
      </c>
      <c r="C104" s="191" t="s">
        <v>118</v>
      </c>
      <c r="D104" s="2" t="s">
        <v>447</v>
      </c>
      <c r="E104" s="535">
        <v>0</v>
      </c>
      <c r="F104" s="210"/>
      <c r="G104" s="210" t="s">
        <v>43</v>
      </c>
      <c r="H104" s="231">
        <f>H102</f>
        <v>0.15211199643868062</v>
      </c>
      <c r="I104" s="210"/>
      <c r="J104" s="232">
        <f t="shared" si="7"/>
        <v>0</v>
      </c>
      <c r="K104" s="210"/>
      <c r="L104" s="234"/>
      <c r="M104" s="196"/>
      <c r="N104" s="2"/>
      <c r="O104" s="224"/>
      <c r="P104" s="212"/>
    </row>
    <row r="105" spans="1:16">
      <c r="A105" s="201">
        <v>24</v>
      </c>
      <c r="C105" s="212" t="s">
        <v>114</v>
      </c>
      <c r="D105" s="307"/>
      <c r="E105" s="320">
        <f>SUM(E100:E104)</f>
        <v>0</v>
      </c>
      <c r="F105" s="210"/>
      <c r="G105" s="210"/>
      <c r="H105" s="210"/>
      <c r="I105" s="210"/>
      <c r="J105" s="213">
        <f>SUM(J100:J104)</f>
        <v>0</v>
      </c>
      <c r="K105" s="210"/>
      <c r="L105" s="210"/>
      <c r="M105" s="196"/>
      <c r="N105" s="456"/>
      <c r="O105" s="210"/>
      <c r="P105" s="212"/>
    </row>
    <row r="106" spans="1:16">
      <c r="A106" s="201"/>
      <c r="D106" s="307"/>
      <c r="E106" s="573"/>
      <c r="F106" s="210"/>
      <c r="G106" s="210"/>
      <c r="H106" s="234"/>
      <c r="I106" s="210"/>
      <c r="J106" s="215"/>
      <c r="K106" s="210"/>
      <c r="L106" s="234"/>
      <c r="M106" s="196"/>
      <c r="N106" s="307"/>
      <c r="O106" s="210"/>
      <c r="P106" s="212"/>
    </row>
    <row r="107" spans="1:16">
      <c r="A107" s="201">
        <v>25</v>
      </c>
      <c r="C107" s="236" t="s">
        <v>510</v>
      </c>
      <c r="D107" s="307" t="s">
        <v>523</v>
      </c>
      <c r="E107" s="320">
        <f>'P 2 of 8 Land Held for Future'!C23</f>
        <v>0</v>
      </c>
      <c r="F107" s="210"/>
      <c r="G107" s="210" t="s">
        <v>5</v>
      </c>
      <c r="H107" s="231">
        <v>1</v>
      </c>
      <c r="I107" s="210"/>
      <c r="J107" s="213">
        <f>ROUND(H107*E107,0)</f>
        <v>0</v>
      </c>
      <c r="K107" s="210"/>
      <c r="L107" s="210"/>
      <c r="M107" s="196"/>
      <c r="N107" s="307"/>
      <c r="O107" s="210"/>
      <c r="P107" s="212"/>
    </row>
    <row r="108" spans="1:16">
      <c r="A108" s="201"/>
      <c r="C108" s="212"/>
      <c r="D108" s="210"/>
      <c r="E108" s="573"/>
      <c r="F108" s="210"/>
      <c r="G108" s="210"/>
      <c r="H108" s="210"/>
      <c r="I108" s="210"/>
      <c r="J108" s="215"/>
      <c r="K108" s="210"/>
      <c r="L108" s="210"/>
      <c r="M108" s="196"/>
      <c r="N108" s="307"/>
      <c r="O108" s="210"/>
      <c r="P108" s="212"/>
    </row>
    <row r="109" spans="1:16">
      <c r="A109" s="201"/>
      <c r="C109" s="449" t="s">
        <v>451</v>
      </c>
      <c r="D109" s="210" t="s">
        <v>5</v>
      </c>
      <c r="E109" s="573"/>
      <c r="F109" s="210"/>
      <c r="G109" s="210"/>
      <c r="H109" s="210"/>
      <c r="I109" s="210"/>
      <c r="J109" s="215"/>
      <c r="K109" s="210"/>
      <c r="L109" s="210"/>
      <c r="M109" s="196"/>
      <c r="N109" s="307"/>
      <c r="O109" s="210"/>
      <c r="P109" s="212"/>
    </row>
    <row r="110" spans="1:16">
      <c r="A110" s="201">
        <v>26</v>
      </c>
      <c r="C110" s="442" t="s">
        <v>509</v>
      </c>
      <c r="D110" s="191" t="s">
        <v>524</v>
      </c>
      <c r="E110" s="320">
        <f>ROUND(E145/8,0)</f>
        <v>7777644</v>
      </c>
      <c r="F110" s="210"/>
      <c r="G110" s="210"/>
      <c r="H110" s="234"/>
      <c r="I110" s="210"/>
      <c r="J110" s="215">
        <f>ROUND(J145/8,0)</f>
        <v>3831199</v>
      </c>
      <c r="K110" s="196"/>
      <c r="L110" s="234"/>
      <c r="M110" s="196"/>
      <c r="N110" s="442"/>
      <c r="O110" s="224"/>
      <c r="P110" s="212"/>
    </row>
    <row r="111" spans="1:16">
      <c r="A111" s="201">
        <v>27</v>
      </c>
      <c r="C111" s="449" t="s">
        <v>452</v>
      </c>
      <c r="D111" s="210" t="s">
        <v>448</v>
      </c>
      <c r="E111" s="573">
        <f>'Pg 1 of 8 M&amp;S Alloc'!I16</f>
        <v>15270889</v>
      </c>
      <c r="F111" s="210"/>
      <c r="G111" s="210" t="s">
        <v>44</v>
      </c>
      <c r="H111" s="231">
        <f>J212</f>
        <v>0.90709075956869578</v>
      </c>
      <c r="I111" s="210"/>
      <c r="J111" s="215">
        <f>ROUND(H111*E111,0)</f>
        <v>13852082</v>
      </c>
      <c r="K111" s="210"/>
      <c r="L111" s="234"/>
      <c r="M111" s="196"/>
      <c r="N111" s="459"/>
      <c r="O111" s="224"/>
    </row>
    <row r="112" spans="1:16" ht="15.75" thickBot="1">
      <c r="A112" s="201">
        <v>28</v>
      </c>
      <c r="C112" s="442" t="s">
        <v>508</v>
      </c>
      <c r="D112" s="210" t="s">
        <v>525</v>
      </c>
      <c r="E112" s="767">
        <v>4404268</v>
      </c>
      <c r="F112" s="210"/>
      <c r="G112" s="210" t="s">
        <v>45</v>
      </c>
      <c r="H112" s="231">
        <f>H80</f>
        <v>0.14999828855285754</v>
      </c>
      <c r="I112" s="210"/>
      <c r="J112" s="232">
        <f>ROUND(H112*E112,0)</f>
        <v>660633</v>
      </c>
      <c r="K112" s="210"/>
      <c r="L112" s="234"/>
      <c r="M112" s="196"/>
      <c r="N112" s="459"/>
      <c r="O112" s="224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27452801</v>
      </c>
      <c r="F113" s="196"/>
      <c r="G113" s="196"/>
      <c r="H113" s="196"/>
      <c r="I113" s="196"/>
      <c r="J113" s="213">
        <f>J110+J111+J112</f>
        <v>18343914</v>
      </c>
      <c r="K113" s="196"/>
      <c r="L113" s="196"/>
      <c r="M113" s="196"/>
      <c r="N113" s="235"/>
      <c r="O113" s="210"/>
      <c r="P113" s="212"/>
    </row>
    <row r="114" spans="1:16" ht="15.75" thickBot="1">
      <c r="D114" s="210"/>
      <c r="E114" s="232"/>
      <c r="F114" s="210"/>
      <c r="G114" s="210"/>
      <c r="H114" s="210"/>
      <c r="I114" s="210"/>
      <c r="J114" s="232"/>
      <c r="K114" s="210"/>
      <c r="L114" s="210"/>
      <c r="M114" s="196"/>
      <c r="N114" s="210"/>
      <c r="O114" s="210"/>
      <c r="P114" s="212"/>
    </row>
    <row r="115" spans="1:16" ht="15.75" thickBot="1">
      <c r="A115" s="201">
        <v>30</v>
      </c>
      <c r="C115" s="212" t="s">
        <v>120</v>
      </c>
      <c r="D115" s="210"/>
      <c r="E115" s="239">
        <f>E113+E107+E105+E97</f>
        <v>2668739073</v>
      </c>
      <c r="F115" s="210"/>
      <c r="G115" s="210"/>
      <c r="H115" s="234"/>
      <c r="I115" s="210"/>
      <c r="J115" s="239">
        <f>J113+J107+J105+J97</f>
        <v>420115242</v>
      </c>
      <c r="K115" s="210"/>
      <c r="L115" s="234"/>
      <c r="M115" s="210"/>
      <c r="N115" s="210"/>
      <c r="O115" s="210"/>
      <c r="P115" s="212"/>
    </row>
    <row r="116" spans="1:16" ht="15.75" thickTop="1">
      <c r="A116" s="201"/>
      <c r="C116" s="212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192"/>
      <c r="G117" s="192"/>
      <c r="H117" s="192"/>
      <c r="I117" s="194"/>
      <c r="K117" s="201"/>
      <c r="L117" s="223"/>
      <c r="M117" s="201"/>
      <c r="N117" s="196"/>
      <c r="O117" s="196"/>
      <c r="P117" s="196"/>
    </row>
    <row r="118" spans="1:16" ht="18">
      <c r="A118" s="190"/>
      <c r="C118" s="192"/>
      <c r="D118" s="192"/>
      <c r="E118" s="193"/>
      <c r="F118" s="192"/>
      <c r="G118" s="192"/>
      <c r="H118" s="192"/>
      <c r="I118" s="194"/>
      <c r="J118" s="195" t="str">
        <f>J1</f>
        <v>Attachment H-24A</v>
      </c>
      <c r="K118" s="223"/>
      <c r="M118" s="223"/>
      <c r="N118" s="196"/>
      <c r="O118" s="196"/>
      <c r="P118" s="196"/>
    </row>
    <row r="119" spans="1:16">
      <c r="C119" s="192"/>
      <c r="D119" s="192"/>
      <c r="E119" s="193"/>
      <c r="F119" s="192"/>
      <c r="G119" s="192"/>
      <c r="H119" s="192"/>
      <c r="I119" s="194"/>
      <c r="J119" s="195" t="s">
        <v>426</v>
      </c>
      <c r="M119" s="195"/>
      <c r="N119" s="196"/>
      <c r="O119" s="196"/>
      <c r="P119" s="196"/>
    </row>
    <row r="120" spans="1:16">
      <c r="C120" s="192"/>
      <c r="D120" s="192"/>
      <c r="E120" s="193"/>
      <c r="F120" s="192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192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192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192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192"/>
      <c r="G124" s="192"/>
      <c r="H124" s="192"/>
      <c r="I124" s="194"/>
      <c r="J124" s="223" t="str">
        <f>J7</f>
        <v>For the 12 months ended 12/31/2013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198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40" t="str">
        <f>$A$9</f>
        <v>Utilizing EKPC 2013 Form FF1 Data</v>
      </c>
      <c r="B126" s="197"/>
      <c r="C126" s="198"/>
      <c r="D126" s="199"/>
      <c r="E126" s="197"/>
      <c r="F126" s="199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00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6" t="str">
        <f>$A$11</f>
        <v>East Kentucky Power Cooperative, Inc.</v>
      </c>
      <c r="B128" s="197"/>
      <c r="C128" s="200"/>
      <c r="D128" s="200"/>
      <c r="E128" s="197"/>
      <c r="F128" s="200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75">
      <c r="A130" s="201"/>
      <c r="C130" s="224" t="s">
        <v>16</v>
      </c>
      <c r="D130" s="224" t="s">
        <v>17</v>
      </c>
      <c r="E130" s="224" t="s">
        <v>18</v>
      </c>
      <c r="F130" s="210" t="s">
        <v>5</v>
      </c>
      <c r="G130" s="210"/>
      <c r="H130" s="225" t="s">
        <v>19</v>
      </c>
      <c r="I130" s="210"/>
      <c r="J130" s="226" t="s">
        <v>20</v>
      </c>
      <c r="K130" s="210"/>
      <c r="L130" s="227"/>
      <c r="M130" s="194"/>
      <c r="N130" s="194"/>
      <c r="O130" s="210"/>
      <c r="P130" s="212"/>
    </row>
    <row r="131" spans="1:29" ht="15.75">
      <c r="A131" s="241" t="s">
        <v>6</v>
      </c>
      <c r="C131" s="212"/>
      <c r="D131" s="238" t="s">
        <v>21</v>
      </c>
      <c r="E131" s="210"/>
      <c r="F131" s="210"/>
      <c r="G131" s="210"/>
      <c r="H131" s="201"/>
      <c r="I131" s="210"/>
      <c r="J131" s="201" t="s">
        <v>22</v>
      </c>
      <c r="K131" s="210"/>
      <c r="L131" s="227"/>
      <c r="M131" s="210"/>
      <c r="N131" s="201"/>
      <c r="O131" s="210"/>
      <c r="P131" s="212"/>
    </row>
    <row r="132" spans="1:29" ht="15.75">
      <c r="A132" s="203" t="s">
        <v>8</v>
      </c>
      <c r="B132" s="242"/>
      <c r="C132" s="243"/>
      <c r="D132" s="244" t="s">
        <v>23</v>
      </c>
      <c r="E132" s="245" t="s">
        <v>24</v>
      </c>
      <c r="F132" s="246"/>
      <c r="G132" s="247" t="s">
        <v>11</v>
      </c>
      <c r="H132" s="248"/>
      <c r="I132" s="246"/>
      <c r="J132" s="249" t="s">
        <v>274</v>
      </c>
      <c r="K132" s="210"/>
      <c r="L132" s="227"/>
      <c r="M132" s="250"/>
      <c r="N132" s="227"/>
      <c r="O132" s="210"/>
      <c r="P132" s="212"/>
    </row>
    <row r="133" spans="1:29" ht="15.75">
      <c r="C133" s="212"/>
      <c r="D133" s="210"/>
      <c r="E133" s="251"/>
      <c r="F133" s="230"/>
      <c r="G133" s="252"/>
      <c r="I133" s="230"/>
      <c r="J133" s="251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50" t="s">
        <v>458</v>
      </c>
      <c r="E135" s="213">
        <f>'Pg 4 of 8 Sch 1 Charges 561'!D28</f>
        <v>40376545</v>
      </c>
      <c r="F135" s="210"/>
      <c r="G135" s="210" t="s">
        <v>44</v>
      </c>
      <c r="H135" s="231">
        <f>J212</f>
        <v>0.90709075956869578</v>
      </c>
      <c r="I135" s="210"/>
      <c r="J135" s="213">
        <f>ROUND(H135*E135,0)</f>
        <v>36625191</v>
      </c>
      <c r="K135" s="196"/>
      <c r="L135" s="210"/>
      <c r="M135" s="210"/>
      <c r="N135" s="2"/>
      <c r="O135" s="496"/>
      <c r="P135" s="307"/>
      <c r="Q135" s="2"/>
    </row>
    <row r="136" spans="1:29">
      <c r="A136" s="201">
        <v>2</v>
      </c>
      <c r="C136" s="253" t="s">
        <v>2</v>
      </c>
      <c r="D136" s="450" t="s">
        <v>459</v>
      </c>
      <c r="E136" s="766">
        <v>14110745</v>
      </c>
      <c r="F136" s="210"/>
      <c r="G136" s="210" t="s">
        <v>44</v>
      </c>
      <c r="H136" s="231">
        <f>J$212</f>
        <v>0.90709075956869578</v>
      </c>
      <c r="I136" s="210"/>
      <c r="J136" s="215">
        <f t="shared" ref="J136:J144" si="8">ROUND(H136*E136,0)</f>
        <v>12799726</v>
      </c>
      <c r="K136" s="196"/>
      <c r="L136" s="210"/>
      <c r="M136" s="210"/>
      <c r="N136" s="2"/>
      <c r="O136" s="496"/>
      <c r="P136" s="307"/>
      <c r="Q136" s="2"/>
    </row>
    <row r="137" spans="1:29">
      <c r="A137" s="201">
        <v>3</v>
      </c>
      <c r="C137" s="212" t="s">
        <v>49</v>
      </c>
      <c r="D137" s="450" t="s">
        <v>460</v>
      </c>
      <c r="E137" s="573">
        <f>'Pg 4 of 8 Sch 1 Charges 561'!D19</f>
        <v>36583793</v>
      </c>
      <c r="F137" s="210"/>
      <c r="G137" s="210" t="s">
        <v>31</v>
      </c>
      <c r="H137" s="231">
        <f>$J$220</f>
        <v>0.15836442805851031</v>
      </c>
      <c r="I137" s="210"/>
      <c r="J137" s="215">
        <f t="shared" si="8"/>
        <v>5793571</v>
      </c>
      <c r="K137" s="210"/>
      <c r="L137" s="210"/>
      <c r="M137" s="210"/>
      <c r="N137" s="2"/>
      <c r="O137" s="307"/>
      <c r="P137" s="442"/>
      <c r="Q137" s="2"/>
    </row>
    <row r="138" spans="1:29">
      <c r="A138" s="201">
        <v>4</v>
      </c>
      <c r="C138" s="253" t="s">
        <v>276</v>
      </c>
      <c r="D138" s="307" t="s">
        <v>450</v>
      </c>
      <c r="E138" s="708">
        <v>0</v>
      </c>
      <c r="F138" s="210"/>
      <c r="G138" s="210" t="s">
        <v>31</v>
      </c>
      <c r="H138" s="231">
        <f>$J$220</f>
        <v>0.15836442805851031</v>
      </c>
      <c r="I138" s="210"/>
      <c r="J138" s="215">
        <f t="shared" si="8"/>
        <v>0</v>
      </c>
      <c r="K138" s="210"/>
      <c r="L138" s="210"/>
      <c r="M138" s="210"/>
      <c r="N138" s="2"/>
      <c r="O138" s="496"/>
      <c r="P138" s="442"/>
      <c r="Q138" s="2"/>
    </row>
    <row r="139" spans="1:29">
      <c r="A139" s="201">
        <v>5</v>
      </c>
      <c r="C139" s="303" t="s">
        <v>474</v>
      </c>
      <c r="D139" s="459" t="s">
        <v>491</v>
      </c>
      <c r="E139" s="573">
        <f>'Pg 3 of 8 G&amp;A Adj'!D19</f>
        <v>224902.24</v>
      </c>
      <c r="F139" s="307"/>
      <c r="G139" s="307" t="s">
        <v>31</v>
      </c>
      <c r="H139" s="385">
        <f>$J$220</f>
        <v>0.15836442805851031</v>
      </c>
      <c r="I139" s="307"/>
      <c r="J139" s="322">
        <f t="shared" si="8"/>
        <v>35617</v>
      </c>
      <c r="K139" s="307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4" t="s">
        <v>130</v>
      </c>
      <c r="C140" s="473" t="s">
        <v>473</v>
      </c>
      <c r="D140" s="459" t="s">
        <v>491</v>
      </c>
      <c r="E140" s="573">
        <f>'Pg 3 of 8 G&amp;A Adj'!D22</f>
        <v>1491656</v>
      </c>
      <c r="F140" s="307"/>
      <c r="G140" s="307"/>
      <c r="H140" s="385"/>
      <c r="I140" s="307"/>
      <c r="J140" s="322"/>
      <c r="K140" s="307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5" t="s">
        <v>472</v>
      </c>
      <c r="C141" s="303" t="s">
        <v>475</v>
      </c>
      <c r="D141" s="459" t="s">
        <v>491</v>
      </c>
      <c r="E141" s="573">
        <f>'Pg 3 of 8 G&amp;A Adj'!D26</f>
        <v>236225.24930004543</v>
      </c>
      <c r="F141" s="307"/>
      <c r="G141" s="396" t="str">
        <f>G135</f>
        <v>TE</v>
      </c>
      <c r="H141" s="385">
        <f>H135</f>
        <v>0.90709075956869578</v>
      </c>
      <c r="I141" s="307"/>
      <c r="J141" s="322">
        <f t="shared" si="8"/>
        <v>214278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94" t="s">
        <v>534</v>
      </c>
      <c r="C142" s="473" t="s">
        <v>535</v>
      </c>
      <c r="D142" s="459" t="s">
        <v>491</v>
      </c>
      <c r="E142" s="573">
        <f>'Pg 3 of 8 G&amp;A Adj'!D37</f>
        <v>851893.95166666654</v>
      </c>
      <c r="F142" s="307"/>
      <c r="G142" s="396"/>
      <c r="H142" s="385"/>
      <c r="I142" s="307"/>
      <c r="J142" s="322">
        <f>E142</f>
        <v>851893.95166666654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08">
        <v>0</v>
      </c>
      <c r="F143" s="210"/>
      <c r="G143" s="210" t="s">
        <v>79</v>
      </c>
      <c r="H143" s="231">
        <f>H87</f>
        <v>0</v>
      </c>
      <c r="I143" s="210"/>
      <c r="J143" s="215">
        <f t="shared" si="8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75" thickBot="1">
      <c r="A144" s="201">
        <v>7</v>
      </c>
      <c r="C144" s="212" t="s">
        <v>50</v>
      </c>
      <c r="D144" s="210"/>
      <c r="E144" s="535">
        <v>0</v>
      </c>
      <c r="F144" s="210"/>
      <c r="G144" s="210" t="s">
        <v>5</v>
      </c>
      <c r="H144" s="231">
        <v>1</v>
      </c>
      <c r="I144" s="210"/>
      <c r="J144" s="232">
        <f t="shared" si="8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279</v>
      </c>
      <c r="D145" s="210"/>
      <c r="E145" s="320">
        <f>E135-E136+E137-E138-E139-E140+E141+E143+E144+E142</f>
        <v>62221153.960966714</v>
      </c>
      <c r="F145" s="210"/>
      <c r="G145" s="210"/>
      <c r="H145" s="210"/>
      <c r="I145" s="210"/>
      <c r="J145" s="213">
        <f>J135-J136+J137-J138-J139+J141+J143+J144+J142</f>
        <v>30649590.951666668</v>
      </c>
      <c r="K145" s="210"/>
      <c r="L145" s="210"/>
      <c r="M145" s="210"/>
      <c r="N145" s="235"/>
      <c r="O145" s="210"/>
      <c r="P145" s="212"/>
    </row>
    <row r="146" spans="1:19">
      <c r="A146" s="201"/>
      <c r="D146" s="210"/>
      <c r="E146" s="573"/>
      <c r="F146" s="210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73"/>
      <c r="F147" s="210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322</v>
      </c>
      <c r="E148" s="765">
        <v>8527254</v>
      </c>
      <c r="F148" s="210"/>
      <c r="G148" s="210" t="s">
        <v>12</v>
      </c>
      <c r="H148" s="231">
        <f>J202</f>
        <v>0.9749742751765258</v>
      </c>
      <c r="I148" s="210"/>
      <c r="J148" s="213">
        <f>ROUND(H148*E148,0)</f>
        <v>8313853</v>
      </c>
      <c r="K148" s="210"/>
      <c r="L148" s="234"/>
      <c r="M148" s="210"/>
      <c r="N148" s="210"/>
      <c r="O148" s="224"/>
      <c r="P148" s="210"/>
    </row>
    <row r="149" spans="1:19">
      <c r="A149" s="201">
        <v>10</v>
      </c>
      <c r="C149" s="212" t="s">
        <v>533</v>
      </c>
      <c r="D149" s="210" t="s">
        <v>323</v>
      </c>
      <c r="E149" s="766">
        <f>8336633</f>
        <v>8336633</v>
      </c>
      <c r="F149" s="210"/>
      <c r="G149" s="210" t="s">
        <v>31</v>
      </c>
      <c r="H149" s="231">
        <f>H137</f>
        <v>0.15836442805851031</v>
      </c>
      <c r="I149" s="210"/>
      <c r="J149" s="215">
        <f t="shared" ref="J149:J150" si="9">ROUND(H149*E149,0)</f>
        <v>1320226</v>
      </c>
      <c r="K149" s="210"/>
      <c r="L149" s="234"/>
      <c r="M149" s="210"/>
      <c r="N149" s="210"/>
      <c r="O149" s="224"/>
      <c r="P149" s="210"/>
    </row>
    <row r="150" spans="1:19" ht="15.75" thickBot="1">
      <c r="A150" s="201">
        <v>11</v>
      </c>
      <c r="C150" s="212" t="str">
        <f>C143</f>
        <v xml:space="preserve">  Common</v>
      </c>
      <c r="D150" s="210" t="s">
        <v>324</v>
      </c>
      <c r="E150" s="710">
        <v>0</v>
      </c>
      <c r="F150" s="210"/>
      <c r="G150" s="210" t="s">
        <v>79</v>
      </c>
      <c r="H150" s="231">
        <f>H143</f>
        <v>0</v>
      </c>
      <c r="I150" s="210"/>
      <c r="J150" s="232">
        <f t="shared" si="9"/>
        <v>0</v>
      </c>
      <c r="K150" s="210"/>
      <c r="L150" s="234"/>
      <c r="M150" s="210"/>
      <c r="N150" s="210"/>
      <c r="O150" s="224"/>
      <c r="P150" s="210"/>
    </row>
    <row r="151" spans="1:19">
      <c r="A151" s="201">
        <v>12</v>
      </c>
      <c r="C151" s="212" t="s">
        <v>52</v>
      </c>
      <c r="D151" s="210"/>
      <c r="E151" s="320">
        <f>SUM(E148:E150)</f>
        <v>16863887</v>
      </c>
      <c r="F151" s="210"/>
      <c r="G151" s="210"/>
      <c r="H151" s="210"/>
      <c r="I151" s="210"/>
      <c r="J151" s="213">
        <f>SUM(J148:J150)</f>
        <v>9634079</v>
      </c>
      <c r="K151" s="210"/>
      <c r="L151" s="210"/>
      <c r="M151" s="210"/>
      <c r="N151" s="210"/>
      <c r="O151" s="210"/>
      <c r="P151" s="212"/>
    </row>
    <row r="152" spans="1:19">
      <c r="A152" s="201"/>
      <c r="C152" s="212"/>
      <c r="D152" s="307"/>
      <c r="E152" s="573"/>
      <c r="F152" s="210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507</v>
      </c>
      <c r="D153" s="472"/>
      <c r="E153" s="573"/>
      <c r="F153" s="210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73"/>
      <c r="F154" s="210"/>
      <c r="G154" s="210"/>
      <c r="I154" s="210"/>
      <c r="J154" s="215"/>
      <c r="K154" s="210"/>
      <c r="L154" s="234"/>
      <c r="M154" s="210"/>
      <c r="N154" s="238"/>
      <c r="O154" s="224"/>
      <c r="P154" s="212"/>
    </row>
    <row r="155" spans="1:19" s="2" customFormat="1" ht="15.75">
      <c r="A155" s="319">
        <v>13</v>
      </c>
      <c r="C155" s="495" t="s">
        <v>540</v>
      </c>
      <c r="D155" s="307" t="s">
        <v>492</v>
      </c>
      <c r="E155" s="320">
        <v>0</v>
      </c>
      <c r="F155" s="307"/>
      <c r="G155" s="307" t="s">
        <v>31</v>
      </c>
      <c r="H155" s="385">
        <f>$J$220</f>
        <v>0.15836442805851031</v>
      </c>
      <c r="I155" s="307"/>
      <c r="J155" s="320">
        <f>ROUND(H155*E155,0)</f>
        <v>0</v>
      </c>
      <c r="K155" s="307"/>
      <c r="L155" s="557"/>
      <c r="M155" s="570"/>
      <c r="N155" s="574"/>
      <c r="O155" s="574"/>
      <c r="P155" s="574"/>
      <c r="Q155" s="574"/>
      <c r="R155" s="564"/>
      <c r="S155" s="564"/>
    </row>
    <row r="156" spans="1:19">
      <c r="A156" s="201">
        <v>14</v>
      </c>
      <c r="C156" s="255" t="s">
        <v>277</v>
      </c>
      <c r="D156" s="307" t="s">
        <v>492</v>
      </c>
      <c r="E156" s="573">
        <v>0</v>
      </c>
      <c r="F156" s="210"/>
      <c r="G156" s="210" t="s">
        <v>31</v>
      </c>
      <c r="H156" s="231">
        <f>$J$220</f>
        <v>0.15836442805851031</v>
      </c>
      <c r="I156" s="210"/>
      <c r="J156" s="215">
        <f t="shared" ref="J156" si="10">ROUND(H156*E156,0)</f>
        <v>0</v>
      </c>
      <c r="K156" s="210"/>
      <c r="L156" s="556"/>
      <c r="M156" s="570"/>
      <c r="N156" s="580"/>
      <c r="O156" s="539"/>
      <c r="P156" s="577"/>
      <c r="Q156" s="564"/>
      <c r="R156" s="564"/>
      <c r="S156" s="564"/>
    </row>
    <row r="157" spans="1:19">
      <c r="A157" s="201">
        <v>15</v>
      </c>
      <c r="C157" s="212" t="s">
        <v>54</v>
      </c>
      <c r="D157" s="307" t="s">
        <v>5</v>
      </c>
      <c r="E157" s="573"/>
      <c r="F157" s="210"/>
      <c r="G157" s="210"/>
      <c r="I157" s="210"/>
      <c r="J157" s="215"/>
      <c r="K157" s="210"/>
      <c r="L157" s="234"/>
      <c r="M157" s="210"/>
      <c r="N157" s="238"/>
      <c r="O157" s="224"/>
      <c r="P157" s="212"/>
    </row>
    <row r="158" spans="1:19" s="2" customFormat="1">
      <c r="A158" s="319">
        <v>16</v>
      </c>
      <c r="C158" s="442" t="s">
        <v>541</v>
      </c>
      <c r="D158" s="307" t="s">
        <v>492</v>
      </c>
      <c r="E158" s="573">
        <v>0</v>
      </c>
      <c r="F158" s="307"/>
      <c r="G158" s="307" t="s">
        <v>45</v>
      </c>
      <c r="H158" s="321">
        <f>H80</f>
        <v>0.14999828855285754</v>
      </c>
      <c r="I158" s="307"/>
      <c r="J158" s="322">
        <f t="shared" ref="J158" si="11">ROUND(H158*E158,0)</f>
        <v>0</v>
      </c>
      <c r="K158" s="307"/>
      <c r="L158" s="458"/>
      <c r="M158" s="307"/>
      <c r="N158" s="489"/>
      <c r="O158" s="496"/>
      <c r="P158" s="442"/>
    </row>
    <row r="159" spans="1:19" s="564" customFormat="1">
      <c r="A159" s="571">
        <v>17</v>
      </c>
      <c r="C159" s="577" t="s">
        <v>55</v>
      </c>
      <c r="D159" s="570"/>
      <c r="E159" s="573">
        <v>0</v>
      </c>
      <c r="F159" s="570"/>
      <c r="G159" s="570" t="str">
        <f>G100</f>
        <v>NA</v>
      </c>
      <c r="H159" s="584" t="s">
        <v>27</v>
      </c>
      <c r="I159" s="570"/>
      <c r="J159" s="573">
        <v>0</v>
      </c>
      <c r="K159" s="570"/>
      <c r="L159" s="578"/>
      <c r="M159" s="570"/>
      <c r="N159" s="579"/>
      <c r="O159" s="579"/>
      <c r="P159" s="583"/>
      <c r="Q159" s="577"/>
    </row>
    <row r="160" spans="1:19" s="564" customFormat="1">
      <c r="A160" s="571">
        <v>18</v>
      </c>
      <c r="C160" s="577" t="s">
        <v>56</v>
      </c>
      <c r="D160" s="570"/>
      <c r="E160" s="573">
        <v>0</v>
      </c>
      <c r="F160" s="570"/>
      <c r="G160" s="570" t="str">
        <f>G158</f>
        <v>GP</v>
      </c>
      <c r="H160" s="572">
        <f>H158</f>
        <v>0.14999828855285754</v>
      </c>
      <c r="I160" s="570"/>
      <c r="J160" s="573">
        <f t="shared" ref="J160:J161" si="12">ROUND(H160*E160,0)</f>
        <v>0</v>
      </c>
      <c r="K160" s="570"/>
      <c r="L160" s="578"/>
      <c r="M160" s="570"/>
      <c r="N160" s="579"/>
      <c r="O160" s="579"/>
      <c r="P160" s="583"/>
      <c r="Q160" s="577"/>
    </row>
    <row r="161" spans="1:17" ht="15.75" thickBot="1">
      <c r="A161" s="201">
        <v>19</v>
      </c>
      <c r="C161" s="212" t="s">
        <v>57</v>
      </c>
      <c r="D161" s="210"/>
      <c r="E161" s="710">
        <v>0</v>
      </c>
      <c r="F161" s="210"/>
      <c r="G161" s="210" t="s">
        <v>45</v>
      </c>
      <c r="H161" s="214">
        <f>H158</f>
        <v>0.14999828855285754</v>
      </c>
      <c r="I161" s="210"/>
      <c r="J161" s="232">
        <f t="shared" si="12"/>
        <v>0</v>
      </c>
      <c r="K161" s="210"/>
      <c r="L161" s="234"/>
      <c r="M161" s="210"/>
      <c r="N161" s="238"/>
      <c r="O161" s="238"/>
      <c r="P161" s="224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10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5"/>
      <c r="O162" s="235"/>
      <c r="P162" s="210"/>
      <c r="Q162" s="212"/>
    </row>
    <row r="163" spans="1:17">
      <c r="A163" s="201"/>
      <c r="C163" s="212"/>
      <c r="D163" s="210"/>
      <c r="E163" s="215"/>
      <c r="F163" s="210"/>
      <c r="G163" s="210"/>
      <c r="H163" s="214"/>
      <c r="I163" s="210"/>
      <c r="J163" s="210"/>
      <c r="K163" s="210"/>
      <c r="L163" s="210"/>
      <c r="M163" s="210"/>
      <c r="N163" s="235"/>
      <c r="O163" s="235"/>
      <c r="P163" s="210"/>
      <c r="Q163" s="212"/>
    </row>
    <row r="164" spans="1:17">
      <c r="A164" s="201" t="s">
        <v>59</v>
      </c>
      <c r="C164" s="212"/>
      <c r="D164" s="210"/>
      <c r="E164" s="210"/>
      <c r="F164" s="210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506</v>
      </c>
      <c r="D165" s="459" t="s">
        <v>493</v>
      </c>
      <c r="E165" s="210"/>
      <c r="F165" s="210"/>
      <c r="H165" s="256"/>
      <c r="I165" s="210"/>
      <c r="K165" s="210"/>
      <c r="M165" s="210"/>
      <c r="N165" s="210"/>
      <c r="O165" s="210"/>
      <c r="P165" s="224"/>
      <c r="Q165" s="210"/>
    </row>
    <row r="166" spans="1:17">
      <c r="A166" s="201">
        <v>21</v>
      </c>
      <c r="C166" s="257" t="s">
        <v>124</v>
      </c>
      <c r="D166" s="210"/>
      <c r="E166" s="258">
        <v>0</v>
      </c>
      <c r="F166" s="210"/>
      <c r="H166" s="256"/>
      <c r="I166" s="210"/>
      <c r="K166" s="210"/>
      <c r="M166" s="210"/>
      <c r="N166" s="210"/>
      <c r="O166" s="210"/>
      <c r="P166" s="224"/>
      <c r="Q166" s="210"/>
    </row>
    <row r="167" spans="1:17">
      <c r="A167" s="201">
        <v>22</v>
      </c>
      <c r="C167" s="191" t="s">
        <v>125</v>
      </c>
      <c r="D167" s="210"/>
      <c r="E167" s="258">
        <f>IF(E21&gt;0,(E166/(1-E166))*(1-J241/1),0)</f>
        <v>0</v>
      </c>
      <c r="F167" s="210"/>
      <c r="H167" s="256"/>
      <c r="I167" s="210"/>
      <c r="K167" s="210"/>
      <c r="M167" s="210"/>
      <c r="N167" s="210"/>
      <c r="O167" s="210"/>
      <c r="P167" s="224"/>
      <c r="Q167" s="210"/>
    </row>
    <row r="168" spans="1:17">
      <c r="A168" s="201">
        <v>23</v>
      </c>
      <c r="C168" s="257" t="s">
        <v>126</v>
      </c>
      <c r="D168" s="210"/>
      <c r="E168" s="259">
        <f>IF(E166&gt;0,1/(1-E166),0)</f>
        <v>0</v>
      </c>
      <c r="F168" s="210"/>
      <c r="H168" s="256"/>
      <c r="I168" s="210"/>
      <c r="J168" s="215"/>
      <c r="K168" s="210"/>
      <c r="M168" s="210"/>
      <c r="N168" s="210"/>
      <c r="O168" s="210"/>
      <c r="P168" s="224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10"/>
      <c r="H169" s="256"/>
      <c r="I169" s="210"/>
      <c r="J169" s="215"/>
      <c r="K169" s="210"/>
      <c r="M169" s="210"/>
      <c r="N169" s="210"/>
      <c r="O169" s="210"/>
      <c r="P169" s="224"/>
      <c r="Q169" s="210"/>
    </row>
    <row r="170" spans="1:17">
      <c r="A170" s="201"/>
      <c r="C170" s="212"/>
      <c r="D170" s="210"/>
      <c r="E170" s="215"/>
      <c r="F170" s="210"/>
      <c r="H170" s="256"/>
      <c r="I170" s="210"/>
      <c r="J170" s="215"/>
      <c r="K170" s="210"/>
      <c r="M170" s="210"/>
      <c r="N170" s="210"/>
      <c r="O170" s="224"/>
      <c r="P170" s="210"/>
    </row>
    <row r="171" spans="1:17">
      <c r="A171" s="201">
        <v>25</v>
      </c>
      <c r="C171" s="257" t="s">
        <v>265</v>
      </c>
      <c r="D171" s="260"/>
      <c r="E171" s="213">
        <f>E167*E176</f>
        <v>0</v>
      </c>
      <c r="F171" s="210"/>
      <c r="G171" s="210" t="s">
        <v>27</v>
      </c>
      <c r="H171" s="214"/>
      <c r="I171" s="210"/>
      <c r="J171" s="213">
        <f>E167*J176</f>
        <v>0</v>
      </c>
      <c r="K171" s="210"/>
      <c r="L171" s="261"/>
      <c r="M171" s="210"/>
      <c r="N171" s="210"/>
      <c r="O171" s="210"/>
      <c r="P171" s="212"/>
    </row>
    <row r="172" spans="1:17" ht="15.75" thickBot="1">
      <c r="A172" s="201">
        <v>26</v>
      </c>
      <c r="C172" s="191" t="s">
        <v>127</v>
      </c>
      <c r="D172" s="260"/>
      <c r="E172" s="232">
        <f>E168*E169</f>
        <v>0</v>
      </c>
      <c r="F172" s="210"/>
      <c r="G172" s="191" t="s">
        <v>43</v>
      </c>
      <c r="H172" s="214">
        <f>H97</f>
        <v>0.15211199643868062</v>
      </c>
      <c r="I172" s="210"/>
      <c r="J172" s="232">
        <f>H172*E172</f>
        <v>0</v>
      </c>
      <c r="K172" s="210"/>
      <c r="L172" s="261"/>
      <c r="M172" s="210"/>
      <c r="N172" s="210"/>
      <c r="O172" s="210"/>
      <c r="P172" s="212"/>
    </row>
    <row r="173" spans="1:17">
      <c r="A173" s="201">
        <v>27</v>
      </c>
      <c r="C173" s="262" t="s">
        <v>121</v>
      </c>
      <c r="D173" s="191" t="s">
        <v>128</v>
      </c>
      <c r="E173" s="263">
        <f>E171+E172</f>
        <v>0</v>
      </c>
      <c r="F173" s="210"/>
      <c r="G173" s="210" t="s">
        <v>5</v>
      </c>
      <c r="H173" s="214" t="s">
        <v>5</v>
      </c>
      <c r="I173" s="210"/>
      <c r="J173" s="263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4"/>
      <c r="E174" s="215"/>
      <c r="F174" s="210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4"/>
      <c r="K175" s="210"/>
      <c r="M175" s="210"/>
      <c r="N175" s="210"/>
      <c r="O175" s="224"/>
      <c r="P175" s="210"/>
    </row>
    <row r="176" spans="1:17">
      <c r="A176" s="201"/>
      <c r="C176" s="262" t="s">
        <v>387</v>
      </c>
      <c r="E176" s="213">
        <f>J243*E115</f>
        <v>165566472.16615745</v>
      </c>
      <c r="F176" s="210"/>
      <c r="G176" s="210" t="s">
        <v>27</v>
      </c>
      <c r="H176" s="256"/>
      <c r="I176" s="210"/>
      <c r="J176" s="213">
        <f>J243*J115</f>
        <v>26063619.041999727</v>
      </c>
      <c r="K176" s="210"/>
      <c r="L176" s="234"/>
      <c r="M176" s="210"/>
      <c r="N176" s="210"/>
      <c r="O176" s="224"/>
      <c r="P176" s="210"/>
    </row>
    <row r="177" spans="1:16">
      <c r="A177" s="201"/>
      <c r="C177" s="212"/>
      <c r="E177" s="237"/>
      <c r="F177" s="210"/>
      <c r="G177" s="210"/>
      <c r="H177" s="256"/>
      <c r="I177" s="210"/>
      <c r="J177" s="237"/>
      <c r="K177" s="210"/>
      <c r="L177" s="234"/>
      <c r="M177" s="210"/>
      <c r="N177" s="210"/>
      <c r="O177" s="224"/>
      <c r="P177" s="210"/>
    </row>
    <row r="178" spans="1:16" ht="15.75" thickBot="1">
      <c r="A178" s="201">
        <v>29</v>
      </c>
      <c r="C178" s="212" t="s">
        <v>264</v>
      </c>
      <c r="D178" s="210"/>
      <c r="E178" s="239">
        <f>E176+E173+E162+E151+E145</f>
        <v>244651513.12712416</v>
      </c>
      <c r="F178" s="265"/>
      <c r="G178" s="265"/>
      <c r="H178" s="265"/>
      <c r="I178" s="265"/>
      <c r="J178" s="239">
        <f>J176+J173+J162+J151+J145</f>
        <v>66347288.993666396</v>
      </c>
      <c r="K178" s="196"/>
      <c r="L178" s="196"/>
      <c r="M178" s="196"/>
      <c r="N178" s="196"/>
      <c r="O178" s="196"/>
      <c r="P178" s="212"/>
    </row>
    <row r="179" spans="1:16" ht="15.75" thickTop="1">
      <c r="A179" s="201"/>
      <c r="C179" s="212"/>
      <c r="D179" s="210"/>
      <c r="E179" s="265"/>
      <c r="F179" s="210"/>
      <c r="G179" s="210"/>
      <c r="H179" s="210"/>
      <c r="I179" s="210"/>
      <c r="J179" s="265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5"/>
      <c r="F180" s="210"/>
      <c r="G180" s="210"/>
      <c r="H180" s="210"/>
      <c r="I180" s="210"/>
      <c r="J180" s="265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192"/>
      <c r="G181" s="192"/>
      <c r="H181" s="192"/>
      <c r="I181" s="194"/>
      <c r="K181" s="201"/>
      <c r="L181" s="223"/>
      <c r="M181" s="201"/>
      <c r="N181" s="196"/>
      <c r="O181" s="196"/>
      <c r="P181" s="196"/>
    </row>
    <row r="182" spans="1:16" ht="18">
      <c r="A182" s="190"/>
      <c r="C182" s="192"/>
      <c r="D182" s="192"/>
      <c r="E182" s="193"/>
      <c r="F182" s="192"/>
      <c r="G182" s="192"/>
      <c r="H182" s="192"/>
      <c r="I182" s="194"/>
      <c r="J182" s="195" t="str">
        <f>J1</f>
        <v>Attachment H-24A</v>
      </c>
      <c r="M182" s="223"/>
      <c r="N182" s="196"/>
      <c r="O182" s="196"/>
      <c r="P182" s="196"/>
    </row>
    <row r="183" spans="1:16">
      <c r="C183" s="192"/>
      <c r="D183" s="192"/>
      <c r="E183" s="193"/>
      <c r="F183" s="192"/>
      <c r="G183" s="192"/>
      <c r="H183" s="192"/>
      <c r="I183" s="194"/>
      <c r="J183" s="195" t="s">
        <v>425</v>
      </c>
      <c r="M183" s="195"/>
      <c r="N183" s="196"/>
      <c r="O183" s="196"/>
      <c r="P183" s="196"/>
    </row>
    <row r="184" spans="1:16">
      <c r="C184" s="192"/>
      <c r="D184" s="192"/>
      <c r="E184" s="193"/>
      <c r="F184" s="192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192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192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192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192"/>
      <c r="G188" s="192"/>
      <c r="H188" s="192"/>
      <c r="I188" s="194"/>
      <c r="J188" s="223" t="str">
        <f>J7</f>
        <v>For the 12 months ended 12/31/2013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198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40" t="str">
        <f>$A$9</f>
        <v>Utilizing EKPC 2013 Form FF1 Data</v>
      </c>
      <c r="B190" s="197"/>
      <c r="C190" s="198"/>
      <c r="D190" s="199"/>
      <c r="E190" s="197"/>
      <c r="F190" s="199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00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6" t="str">
        <f>$A$11</f>
        <v>East Kentucky Power Cooperative, Inc.</v>
      </c>
      <c r="B192" s="197"/>
      <c r="C192" s="200"/>
      <c r="D192" s="200"/>
      <c r="E192" s="197"/>
      <c r="F192" s="200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75">
      <c r="A193" s="266" t="s">
        <v>227</v>
      </c>
      <c r="B193" s="197"/>
      <c r="C193" s="197"/>
      <c r="D193" s="197"/>
      <c r="E193" s="197"/>
      <c r="F193" s="200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75">
      <c r="A194" s="201" t="s">
        <v>6</v>
      </c>
      <c r="C194" s="228"/>
      <c r="D194" s="196"/>
      <c r="E194" s="196"/>
      <c r="F194" s="196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75">
      <c r="A195" s="203" t="s">
        <v>8</v>
      </c>
      <c r="B195" s="242"/>
      <c r="C195" s="267" t="s">
        <v>253</v>
      </c>
      <c r="D195" s="196"/>
      <c r="E195" s="196"/>
      <c r="F195" s="196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196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10"/>
      <c r="G197" s="210"/>
      <c r="H197" s="210"/>
      <c r="I197" s="210"/>
      <c r="J197" s="215">
        <f>E76</f>
        <v>563372379</v>
      </c>
      <c r="K197" s="210"/>
      <c r="L197" s="210"/>
      <c r="M197" s="210"/>
      <c r="N197" s="196"/>
      <c r="O197" s="210"/>
      <c r="P197" s="212"/>
    </row>
    <row r="198" spans="1:24" ht="15.75">
      <c r="A198" s="201">
        <v>2</v>
      </c>
      <c r="C198" s="443" t="s">
        <v>453</v>
      </c>
      <c r="J198" s="215">
        <v>0</v>
      </c>
      <c r="K198" s="210"/>
      <c r="L198" s="210"/>
      <c r="M198" s="210"/>
      <c r="N198" s="305"/>
      <c r="O198" s="307"/>
      <c r="P198" s="502"/>
      <c r="Q198" s="2"/>
      <c r="R198" s="2"/>
      <c r="S198" s="2"/>
      <c r="T198" s="2"/>
      <c r="U198" s="2"/>
      <c r="V198" s="2"/>
    </row>
    <row r="199" spans="1:24" ht="16.5" thickBot="1">
      <c r="A199" s="201">
        <v>3</v>
      </c>
      <c r="C199" s="474" t="s">
        <v>505</v>
      </c>
      <c r="D199" s="528" t="s">
        <v>548</v>
      </c>
      <c r="E199" s="529"/>
      <c r="F199" s="210"/>
      <c r="G199" s="210"/>
      <c r="H199" s="238"/>
      <c r="I199" s="210"/>
      <c r="J199" s="232">
        <f>'Pg 5 of 8 Trans Plant In OATT'!C21</f>
        <v>14098802.130000001</v>
      </c>
      <c r="K199" s="210"/>
      <c r="M199" s="210"/>
      <c r="N199" s="307"/>
      <c r="O199" s="305"/>
      <c r="P199" s="502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10"/>
      <c r="G200" s="210"/>
      <c r="H200" s="238"/>
      <c r="I200" s="210"/>
      <c r="J200" s="215">
        <f>J197-J198-J199</f>
        <v>549273576.87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10"/>
      <c r="G201" s="210"/>
      <c r="H201" s="238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9"/>
      <c r="F202" s="269"/>
      <c r="G202" s="269"/>
      <c r="H202" s="226"/>
      <c r="I202" s="210" t="s">
        <v>64</v>
      </c>
      <c r="J202" s="270">
        <f>IF(J197&gt;0,J200/J197,0)</f>
        <v>0.9749742751765258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75">
      <c r="A204" s="201"/>
      <c r="C204" s="228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196"/>
      <c r="G206" s="196"/>
      <c r="H206" s="224"/>
      <c r="I206" s="196"/>
      <c r="J206" s="215">
        <f>E135</f>
        <v>40376545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75" thickBot="1">
      <c r="A207" s="201">
        <v>7</v>
      </c>
      <c r="C207" s="474" t="s">
        <v>504</v>
      </c>
      <c r="D207" s="528" t="s">
        <v>494</v>
      </c>
      <c r="E207" s="268"/>
      <c r="F207" s="268"/>
      <c r="G207" s="210"/>
      <c r="H207" s="210"/>
      <c r="I207" s="210"/>
      <c r="J207" s="232">
        <f>'Pg 4 of 8 Sch 1 Charges 561'!D42</f>
        <v>2811255.5300000003</v>
      </c>
      <c r="K207" s="210"/>
      <c r="M207" s="307"/>
      <c r="N207" s="307"/>
      <c r="O207" s="307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9"/>
      <c r="F208" s="269"/>
      <c r="G208" s="269"/>
      <c r="H208" s="226"/>
      <c r="I208" s="269"/>
      <c r="J208" s="215">
        <f>J206-J207</f>
        <v>37565289.469999999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10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10"/>
      <c r="G210" s="210"/>
      <c r="H210" s="210"/>
      <c r="I210" s="210"/>
      <c r="J210" s="231">
        <f>IF(J206&gt;0,J208/J206,0)</f>
        <v>0.93037404438641291</v>
      </c>
      <c r="L210" s="2"/>
      <c r="M210" s="307"/>
      <c r="N210" s="307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10"/>
      <c r="G211" s="210"/>
      <c r="H211" s="210"/>
      <c r="I211" s="196" t="s">
        <v>12</v>
      </c>
      <c r="J211" s="271">
        <f>J202</f>
        <v>0.9749742751765258</v>
      </c>
      <c r="L211" s="2"/>
      <c r="M211" s="307"/>
      <c r="N211" s="307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196"/>
      <c r="G212" s="196"/>
      <c r="H212" s="196"/>
      <c r="I212" s="196" t="s">
        <v>63</v>
      </c>
      <c r="J212" s="272">
        <f>J211*J210</f>
        <v>0.90709075956869578</v>
      </c>
      <c r="L212" s="2"/>
      <c r="M212" s="307"/>
      <c r="N212" s="307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10"/>
      <c r="G213" s="210"/>
      <c r="H213" s="238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75">
      <c r="A214" s="201" t="s">
        <v>5</v>
      </c>
      <c r="C214" s="228" t="s">
        <v>65</v>
      </c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75" thickBot="1">
      <c r="A215" s="201" t="s">
        <v>5</v>
      </c>
      <c r="C215" s="212"/>
      <c r="D215" s="268" t="s">
        <v>66</v>
      </c>
      <c r="E215" s="273" t="s">
        <v>67</v>
      </c>
      <c r="F215" s="273" t="s">
        <v>12</v>
      </c>
      <c r="G215" s="210"/>
      <c r="H215" s="273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317</v>
      </c>
      <c r="E216" s="766">
        <v>32524373</v>
      </c>
      <c r="F216" s="274">
        <v>0</v>
      </c>
      <c r="G216" s="274"/>
      <c r="H216" s="215">
        <f>E216*F216</f>
        <v>0</v>
      </c>
      <c r="I216" s="210"/>
      <c r="J216" s="210"/>
      <c r="K216" s="210"/>
      <c r="L216" s="210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318</v>
      </c>
      <c r="E217" s="766">
        <v>8788135</v>
      </c>
      <c r="F217" s="274">
        <f>J202</f>
        <v>0.9749742751765258</v>
      </c>
      <c r="G217" s="274"/>
      <c r="H217" s="215">
        <f>E217*F217</f>
        <v>8568205.5517784581</v>
      </c>
      <c r="I217" s="210"/>
      <c r="J217" s="210"/>
      <c r="K217" s="210"/>
      <c r="L217" s="210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66">
        <v>798909</v>
      </c>
      <c r="F218" s="274">
        <v>0</v>
      </c>
      <c r="G218" s="274"/>
      <c r="H218" s="215">
        <f>E218*F218</f>
        <v>0</v>
      </c>
      <c r="I218" s="210"/>
      <c r="J218" s="275" t="s">
        <v>70</v>
      </c>
      <c r="K218" s="210"/>
      <c r="L218" s="210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75" thickBot="1">
      <c r="A219" s="201">
        <v>15</v>
      </c>
      <c r="C219" s="212" t="s">
        <v>71</v>
      </c>
      <c r="D219" s="210" t="s">
        <v>325</v>
      </c>
      <c r="E219" s="767">
        <f>959600+7447+11025893</f>
        <v>11992940</v>
      </c>
      <c r="F219" s="274">
        <v>0</v>
      </c>
      <c r="G219" s="274"/>
      <c r="H219" s="232">
        <f>E219*F219</f>
        <v>0</v>
      </c>
      <c r="I219" s="210"/>
      <c r="J219" s="209" t="s">
        <v>72</v>
      </c>
      <c r="K219" s="210"/>
      <c r="L219" s="210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54104357</v>
      </c>
      <c r="F220" s="210"/>
      <c r="G220" s="210"/>
      <c r="H220" s="215">
        <f>SUM(H216:H219)</f>
        <v>8568205.5517784581</v>
      </c>
      <c r="I220" s="224" t="s">
        <v>73</v>
      </c>
      <c r="J220" s="231">
        <f>IF(H220&gt;0,H220/E220,0)</f>
        <v>0.15836442805851031</v>
      </c>
      <c r="K220"/>
      <c r="L220"/>
      <c r="M220" s="307"/>
      <c r="N220" s="307"/>
      <c r="O220" s="210"/>
      <c r="P220" s="212"/>
    </row>
    <row r="221" spans="1:24">
      <c r="A221" s="201"/>
      <c r="C221" s="212"/>
      <c r="D221" s="210"/>
      <c r="E221" s="210"/>
      <c r="F221" s="210"/>
      <c r="G221" s="210"/>
      <c r="H221" s="210"/>
      <c r="I221" s="210"/>
      <c r="J221" s="210"/>
      <c r="K221"/>
      <c r="L221"/>
      <c r="M221" s="210"/>
      <c r="N221" s="210"/>
      <c r="O221" s="210"/>
      <c r="P221" s="212"/>
    </row>
    <row r="222" spans="1:24" ht="15.75">
      <c r="A222" s="201"/>
      <c r="C222" s="228" t="s">
        <v>261</v>
      </c>
      <c r="D222" s="210"/>
      <c r="E222" s="210"/>
      <c r="F222" s="210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8" t="s">
        <v>86</v>
      </c>
      <c r="F223" s="210"/>
      <c r="G223" s="210"/>
      <c r="H223" s="238" t="s">
        <v>74</v>
      </c>
      <c r="I223" s="256" t="s">
        <v>5</v>
      </c>
      <c r="J223" s="234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3">
        <v>1</v>
      </c>
      <c r="F224" s="210"/>
      <c r="H224" s="201" t="s">
        <v>77</v>
      </c>
      <c r="I224" s="276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3">
        <v>0</v>
      </c>
      <c r="F225" s="210"/>
      <c r="H225" s="214">
        <f>IF(E227&gt;0,E224/E227,0)</f>
        <v>1</v>
      </c>
      <c r="I225" s="238" t="s">
        <v>81</v>
      </c>
      <c r="J225" s="214">
        <f>J220</f>
        <v>0.15836442805851031</v>
      </c>
      <c r="K225"/>
      <c r="L225"/>
      <c r="M225" s="210"/>
      <c r="N225" s="210"/>
      <c r="O225" s="210"/>
      <c r="P225" s="212"/>
    </row>
    <row r="226" spans="1:18" ht="15.75" thickBot="1">
      <c r="A226" s="201">
        <v>19</v>
      </c>
      <c r="C226" s="278" t="s">
        <v>82</v>
      </c>
      <c r="D226" s="268" t="s">
        <v>147</v>
      </c>
      <c r="E226" s="344">
        <v>0</v>
      </c>
      <c r="F226" s="210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2">
        <f>E224+E225+E226</f>
        <v>1</v>
      </c>
      <c r="F227" s="210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10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5" thickBot="1">
      <c r="A229" s="201"/>
      <c r="B229" s="194"/>
      <c r="C229" s="279" t="s">
        <v>83</v>
      </c>
      <c r="D229" s="210"/>
      <c r="E229" s="210"/>
      <c r="F229" s="210"/>
      <c r="G229" s="210"/>
      <c r="H229" s="210"/>
      <c r="I229" s="210"/>
      <c r="J229" s="273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326</v>
      </c>
      <c r="E230" s="210"/>
      <c r="F230" s="210"/>
      <c r="G230" s="210"/>
      <c r="H230" s="210"/>
      <c r="I230" s="210"/>
      <c r="J230" s="324">
        <f>'Pg 7 of 8 Cap Str'!C18</f>
        <v>112306172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10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10"/>
      <c r="G232" s="210"/>
      <c r="H232" s="210"/>
      <c r="I232" s="210"/>
      <c r="J232" s="340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10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75">
      <c r="A234" s="201"/>
      <c r="B234" s="194"/>
      <c r="C234" s="279" t="s">
        <v>496</v>
      </c>
      <c r="D234" s="210"/>
      <c r="E234" s="210"/>
      <c r="F234" s="210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465</v>
      </c>
      <c r="D235" s="2" t="s">
        <v>547</v>
      </c>
      <c r="J235" s="475">
        <f>'Pg 7 of 8 Cap Str'!C24</f>
        <v>2715367418</v>
      </c>
      <c r="K235"/>
      <c r="L235"/>
      <c r="M235" s="307"/>
      <c r="N235" s="307"/>
      <c r="O235" s="307"/>
      <c r="P235" s="442"/>
      <c r="Q235" s="2"/>
      <c r="R235" s="2"/>
    </row>
    <row r="236" spans="1:18">
      <c r="A236" s="201">
        <v>24</v>
      </c>
      <c r="B236" s="194"/>
      <c r="C236" s="307" t="s">
        <v>500</v>
      </c>
      <c r="D236" s="2" t="s">
        <v>497</v>
      </c>
      <c r="E236" s="194"/>
      <c r="F236" s="210"/>
      <c r="G236" s="210"/>
      <c r="H236" s="210"/>
      <c r="I236" s="210"/>
      <c r="J236" s="215">
        <f>'Pg 7 of 8 Cap Str'!C25</f>
        <v>428741783</v>
      </c>
      <c r="K236"/>
      <c r="L236"/>
      <c r="M236" s="307"/>
      <c r="N236" s="307"/>
      <c r="O236" s="307"/>
      <c r="P236" s="442"/>
      <c r="Q236" s="2"/>
      <c r="R236" s="2"/>
    </row>
    <row r="237" spans="1:18" ht="15.75" thickBot="1">
      <c r="A237" s="201">
        <v>25</v>
      </c>
      <c r="B237" s="194"/>
      <c r="C237" s="307" t="s">
        <v>498</v>
      </c>
      <c r="D237" s="2" t="s">
        <v>499</v>
      </c>
      <c r="E237" s="210"/>
      <c r="F237" s="210"/>
      <c r="G237" s="210"/>
      <c r="H237" s="210"/>
      <c r="I237" s="210"/>
      <c r="J237" s="232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7" t="s">
        <v>554</v>
      </c>
      <c r="E238" s="306" t="s">
        <v>85</v>
      </c>
      <c r="F238" s="306"/>
      <c r="G238" s="306"/>
      <c r="H238" s="306"/>
      <c r="I238" s="194"/>
      <c r="J238" s="362">
        <f>J235+J236+J237</f>
        <v>3144109201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7"/>
      <c r="E239" s="307"/>
      <c r="F239" s="307"/>
      <c r="G239" s="307"/>
      <c r="H239" s="489"/>
      <c r="I239" s="210"/>
      <c r="J239" s="210"/>
      <c r="K239"/>
      <c r="L239"/>
      <c r="M239" s="210"/>
      <c r="N239" s="210"/>
      <c r="O239" s="210"/>
      <c r="P239" s="212"/>
    </row>
    <row r="240" spans="1:18" ht="15.75" thickBot="1">
      <c r="A240" s="201"/>
      <c r="C240" s="212"/>
      <c r="D240" s="2"/>
      <c r="E240" s="530" t="s">
        <v>67</v>
      </c>
      <c r="F240" s="530" t="s">
        <v>86</v>
      </c>
      <c r="G240" s="307"/>
      <c r="H240" s="530" t="s">
        <v>550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454</v>
      </c>
      <c r="D241" s="531" t="s">
        <v>503</v>
      </c>
      <c r="E241" s="322">
        <f>J235</f>
        <v>2715367418</v>
      </c>
      <c r="F241" s="532">
        <f>E241/E243</f>
        <v>0.86363648474307553</v>
      </c>
      <c r="G241" s="533"/>
      <c r="H241" s="534">
        <f>'Pg 7 of 8 Cap Str'!E24</f>
        <v>4.1359475426982532E-2</v>
      </c>
      <c r="J241" s="363">
        <f>F241*H241</f>
        <v>3.5719551968576804E-2</v>
      </c>
      <c r="K241"/>
      <c r="L241"/>
      <c r="M241" s="210"/>
      <c r="N241" s="307"/>
      <c r="O241" s="210"/>
      <c r="P241" s="212"/>
    </row>
    <row r="242" spans="1:23" ht="16.5" thickBot="1">
      <c r="A242" s="201">
        <v>28</v>
      </c>
      <c r="C242" s="210" t="s">
        <v>327</v>
      </c>
      <c r="D242" s="472" t="s">
        <v>495</v>
      </c>
      <c r="E242" s="535">
        <f>J236</f>
        <v>428741783</v>
      </c>
      <c r="F242" s="532">
        <f>E242/E243</f>
        <v>0.13636351525692444</v>
      </c>
      <c r="G242" s="533"/>
      <c r="H242" s="536">
        <f>'Pg 7 of 8 Cap Str'!E25</f>
        <v>0.19301102001006459</v>
      </c>
      <c r="J242" s="364">
        <f>F242*H242</f>
        <v>2.6319661171896991E-2</v>
      </c>
      <c r="K242"/>
      <c r="L242"/>
      <c r="M242" s="210"/>
      <c r="N242" s="210"/>
      <c r="O242" s="210"/>
      <c r="P242" s="212"/>
    </row>
    <row r="243" spans="1:23" ht="15.75">
      <c r="A243" s="201">
        <v>29</v>
      </c>
      <c r="C243" s="212" t="s">
        <v>385</v>
      </c>
      <c r="D243" s="472"/>
      <c r="E243" s="537">
        <f>E241+E242</f>
        <v>3144109201</v>
      </c>
      <c r="F243" s="532"/>
      <c r="G243" s="533"/>
      <c r="H243" s="601" t="s">
        <v>596</v>
      </c>
      <c r="J243" s="366">
        <f>J241+J242</f>
        <v>6.2039213140473795E-2</v>
      </c>
      <c r="K243"/>
      <c r="L243"/>
      <c r="M243" s="210"/>
      <c r="N243" s="210"/>
      <c r="O243" s="210"/>
      <c r="P243" s="212"/>
    </row>
    <row r="244" spans="1:23">
      <c r="D244" s="472"/>
      <c r="E244" s="2"/>
      <c r="F244" s="2"/>
      <c r="G244" s="2"/>
      <c r="H244" s="2"/>
      <c r="M244" s="210"/>
      <c r="N244" s="210"/>
      <c r="O244" s="210"/>
      <c r="P244" s="212"/>
    </row>
    <row r="245" spans="1:23" ht="15.75">
      <c r="A245" s="201">
        <v>30</v>
      </c>
      <c r="C245" s="191" t="s">
        <v>502</v>
      </c>
      <c r="D245" s="472" t="s">
        <v>551</v>
      </c>
      <c r="E245" s="322"/>
      <c r="F245" s="307" t="s">
        <v>5</v>
      </c>
      <c r="G245" s="307"/>
      <c r="H245" s="538" t="s">
        <v>386</v>
      </c>
      <c r="I245" s="229"/>
      <c r="J245" s="365">
        <f>J243/H241</f>
        <v>1.5</v>
      </c>
      <c r="M245" s="210"/>
      <c r="N245" s="210"/>
      <c r="O245" s="210"/>
      <c r="P245" s="212"/>
    </row>
    <row r="246" spans="1:23" ht="15.75">
      <c r="C246" s="279"/>
      <c r="D246" s="472"/>
      <c r="E246" s="2"/>
      <c r="F246" s="2"/>
      <c r="G246" s="2"/>
      <c r="H246" s="2"/>
      <c r="J246" s="194"/>
      <c r="L246" s="210"/>
      <c r="M246" s="210"/>
      <c r="N246" s="210"/>
      <c r="O246" s="210"/>
      <c r="P246" s="212"/>
    </row>
    <row r="247" spans="1:23" ht="15.75">
      <c r="A247" s="201"/>
      <c r="C247" s="279" t="s">
        <v>88</v>
      </c>
      <c r="D247" s="193"/>
      <c r="E247" s="194"/>
      <c r="F247" s="194"/>
      <c r="G247" s="194"/>
      <c r="H247" s="194"/>
      <c r="I247" s="194"/>
      <c r="J247" s="241"/>
      <c r="K247" s="194"/>
      <c r="L247" s="194"/>
      <c r="M247" s="210"/>
      <c r="N247" s="238"/>
      <c r="O247" s="210"/>
      <c r="P247" s="212"/>
    </row>
    <row r="248" spans="1:23">
      <c r="A248" s="201"/>
      <c r="C248" s="192"/>
      <c r="D248" s="193"/>
      <c r="E248" s="192"/>
      <c r="F248" s="192"/>
      <c r="G248" s="192"/>
      <c r="H248" s="192"/>
      <c r="I248" s="192"/>
      <c r="J248" s="280"/>
      <c r="K248" s="241"/>
      <c r="O248" s="210"/>
      <c r="P248" s="212"/>
    </row>
    <row r="249" spans="1:23">
      <c r="A249" s="201"/>
      <c r="C249" s="236" t="s">
        <v>411</v>
      </c>
      <c r="D249" s="193"/>
      <c r="E249" s="194" t="s">
        <v>89</v>
      </c>
      <c r="F249" s="194"/>
      <c r="G249" s="194"/>
      <c r="H249" s="194" t="s">
        <v>5</v>
      </c>
      <c r="J249" s="620"/>
      <c r="K249" s="280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328</v>
      </c>
      <c r="D250" s="193"/>
      <c r="E250" s="194"/>
      <c r="G250" s="194"/>
      <c r="H250" s="2"/>
      <c r="J250" s="711">
        <v>0</v>
      </c>
      <c r="K250" s="281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75" thickBot="1">
      <c r="A251" s="201">
        <v>32</v>
      </c>
      <c r="C251" s="282" t="s">
        <v>266</v>
      </c>
      <c r="D251" s="454"/>
      <c r="E251" s="282"/>
      <c r="F251" s="283"/>
      <c r="G251" s="283"/>
      <c r="H251" s="283"/>
      <c r="I251" s="194"/>
      <c r="J251" s="712">
        <f>J249-J250</f>
        <v>0</v>
      </c>
      <c r="K251" s="284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39"/>
      <c r="E252" s="2"/>
      <c r="F252" s="306"/>
      <c r="G252" s="194"/>
      <c r="H252" s="194"/>
      <c r="I252" s="194"/>
      <c r="J252" s="286">
        <f>J250-J251</f>
        <v>0</v>
      </c>
      <c r="K252" s="281"/>
      <c r="O252" s="210"/>
      <c r="P252" s="212"/>
    </row>
    <row r="253" spans="1:23">
      <c r="A253" s="201"/>
      <c r="C253" s="191" t="s">
        <v>5</v>
      </c>
      <c r="D253" s="539"/>
      <c r="E253" s="2"/>
      <c r="F253" s="306"/>
      <c r="G253" s="194"/>
      <c r="H253" s="285"/>
      <c r="I253" s="194"/>
      <c r="K253" s="280"/>
      <c r="L253" s="287"/>
      <c r="M253" s="210"/>
      <c r="N253" s="238"/>
      <c r="O253" s="210"/>
      <c r="P253" s="212"/>
    </row>
    <row r="254" spans="1:23">
      <c r="A254" s="201">
        <v>34</v>
      </c>
      <c r="C254" s="236" t="s">
        <v>501</v>
      </c>
      <c r="D254" s="539" t="s">
        <v>552</v>
      </c>
      <c r="E254" s="2"/>
      <c r="F254" s="306"/>
      <c r="G254" s="194"/>
      <c r="H254" s="288"/>
      <c r="I254" s="194"/>
      <c r="J254" s="476">
        <f>ROUND('Pg 6 of 8 Rev Cred Support'!E24,0)</f>
        <v>130516</v>
      </c>
      <c r="K254" s="280"/>
      <c r="L254" s="287"/>
      <c r="M254" s="210"/>
      <c r="N254" s="238"/>
      <c r="O254" s="210"/>
      <c r="P254" s="261"/>
    </row>
    <row r="255" spans="1:23">
      <c r="A255" s="201"/>
      <c r="D255" s="306"/>
      <c r="E255" s="306"/>
      <c r="F255" s="306"/>
      <c r="G255" s="194"/>
      <c r="H255" s="194"/>
      <c r="I255" s="194"/>
      <c r="J255" s="286"/>
      <c r="K255" s="280"/>
      <c r="L255" s="488"/>
      <c r="M255" s="307"/>
      <c r="N255" s="489"/>
      <c r="O255" s="307"/>
      <c r="P255" s="238"/>
    </row>
    <row r="256" spans="1:23">
      <c r="A256" s="201">
        <v>35</v>
      </c>
      <c r="C256" s="443" t="s">
        <v>455</v>
      </c>
      <c r="D256" s="306" t="s">
        <v>553</v>
      </c>
      <c r="E256" s="306"/>
      <c r="F256" s="306"/>
      <c r="G256" s="194"/>
      <c r="H256" s="194"/>
      <c r="I256" s="194"/>
      <c r="J256" s="476">
        <f>'Pg 6 of 8 Rev Cred Support'!E46</f>
        <v>175674.07999999891</v>
      </c>
      <c r="L256" s="490"/>
      <c r="M256" s="307"/>
      <c r="N256" s="459"/>
      <c r="O256" s="305"/>
      <c r="P256" s="238"/>
    </row>
    <row r="257" spans="1:16">
      <c r="A257" s="201"/>
      <c r="C257" s="192"/>
      <c r="D257" s="338"/>
      <c r="E257" s="540"/>
      <c r="F257" s="338"/>
      <c r="G257" s="192"/>
      <c r="H257" s="192"/>
      <c r="I257" s="194"/>
      <c r="K257" s="201"/>
      <c r="L257" s="491"/>
      <c r="M257" s="319"/>
      <c r="N257" s="305"/>
      <c r="O257" s="305"/>
      <c r="P257" s="196"/>
    </row>
    <row r="258" spans="1:16">
      <c r="C258" s="192"/>
      <c r="D258" s="338"/>
      <c r="E258" s="540"/>
      <c r="F258" s="338"/>
      <c r="G258" s="192"/>
      <c r="H258" s="192"/>
      <c r="I258" s="194"/>
      <c r="L258" s="2"/>
      <c r="M258" s="492"/>
      <c r="N258" s="305"/>
      <c r="O258" s="305"/>
      <c r="P258" s="196"/>
    </row>
    <row r="259" spans="1:16">
      <c r="C259" s="192"/>
      <c r="D259" s="338"/>
      <c r="E259" s="540"/>
      <c r="F259" s="338"/>
      <c r="G259" s="192"/>
      <c r="H259" s="192"/>
      <c r="I259" s="194"/>
      <c r="L259" s="2"/>
      <c r="M259" s="492"/>
      <c r="N259" s="305"/>
      <c r="O259" s="305"/>
      <c r="P259" s="196"/>
    </row>
    <row r="260" spans="1:16" ht="18">
      <c r="A260" s="190"/>
      <c r="C260" s="192"/>
      <c r="D260" s="192"/>
      <c r="E260" s="193"/>
      <c r="F260" s="192"/>
      <c r="G260" s="192"/>
      <c r="H260" s="192"/>
      <c r="I260" s="194"/>
      <c r="J260" s="195" t="str">
        <f>J1</f>
        <v>Attachment H-24A</v>
      </c>
      <c r="K260" s="223"/>
      <c r="M260" s="223"/>
      <c r="N260" s="196"/>
      <c r="O260" s="196"/>
      <c r="P260" s="196"/>
    </row>
    <row r="261" spans="1:16">
      <c r="C261" s="192"/>
      <c r="D261" s="192"/>
      <c r="E261" s="193"/>
      <c r="F261" s="192"/>
      <c r="G261" s="192"/>
      <c r="H261" s="192"/>
      <c r="I261" s="194"/>
      <c r="J261" s="195" t="s">
        <v>424</v>
      </c>
      <c r="M261" s="195"/>
      <c r="N261" s="196"/>
      <c r="O261" s="196"/>
      <c r="P261" s="196"/>
    </row>
    <row r="262" spans="1:16">
      <c r="C262" s="192"/>
      <c r="D262" s="192"/>
      <c r="E262" s="193"/>
      <c r="F262" s="192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192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192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192"/>
      <c r="G265" s="192"/>
      <c r="H265" s="192"/>
      <c r="I265" s="194"/>
      <c r="J265" s="223" t="str">
        <f>$J$7</f>
        <v>For the 12 months ended 12/31/2013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192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815" t="str">
        <f>$A$8</f>
        <v>Rate Formula Template</v>
      </c>
      <c r="B267" s="815"/>
      <c r="C267" s="815"/>
      <c r="D267" s="815"/>
      <c r="E267" s="815"/>
      <c r="F267" s="815"/>
      <c r="G267" s="815"/>
      <c r="H267" s="815"/>
      <c r="I267" s="815"/>
      <c r="J267" s="815"/>
      <c r="K267" s="194"/>
      <c r="L267" s="197"/>
      <c r="M267" s="196"/>
      <c r="N267" s="196"/>
      <c r="O267" s="196"/>
      <c r="P267" s="196"/>
    </row>
    <row r="268" spans="1:16">
      <c r="A268" s="240" t="str">
        <f>$A$9</f>
        <v>Utilizing EKPC 2013 Form FF1 Data</v>
      </c>
      <c r="B268" s="197"/>
      <c r="C268" s="198"/>
      <c r="D268" s="199"/>
      <c r="E268" s="197"/>
      <c r="F268" s="199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00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814" t="str">
        <f>$A$11</f>
        <v>East Kentucky Power Cooperative, Inc.</v>
      </c>
      <c r="B270" s="814"/>
      <c r="C270" s="814"/>
      <c r="D270" s="814"/>
      <c r="E270" s="814"/>
      <c r="F270" s="814"/>
      <c r="G270" s="814"/>
      <c r="H270" s="814"/>
      <c r="I270" s="814"/>
      <c r="J270" s="814"/>
      <c r="K270" s="194"/>
      <c r="L270" s="200"/>
      <c r="M270" s="194"/>
      <c r="N270" s="201"/>
      <c r="O270" s="196"/>
      <c r="P270" s="196"/>
    </row>
    <row r="271" spans="1:16" ht="15.75">
      <c r="A271" s="471"/>
      <c r="B271" s="194"/>
      <c r="C271" s="289"/>
      <c r="D271" s="201"/>
      <c r="E271" s="210"/>
      <c r="F271" s="210"/>
      <c r="G271" s="210"/>
      <c r="H271" s="210"/>
      <c r="I271" s="194"/>
      <c r="J271" s="210"/>
      <c r="K271" s="194"/>
      <c r="L271" s="290"/>
      <c r="M271" s="194"/>
      <c r="N271" s="201"/>
      <c r="O271" s="196"/>
      <c r="P271" s="196"/>
    </row>
    <row r="272" spans="1:16" ht="20.25">
      <c r="A272" s="201"/>
      <c r="B272" s="194"/>
      <c r="C272" s="279" t="s">
        <v>91</v>
      </c>
      <c r="D272" s="227"/>
      <c r="E272" s="210"/>
      <c r="F272" s="210"/>
      <c r="G272" s="210"/>
      <c r="H272" s="210"/>
      <c r="I272" s="194"/>
      <c r="J272" s="210"/>
      <c r="K272" s="194"/>
      <c r="L272" s="210"/>
      <c r="M272" s="291"/>
      <c r="N272" s="292"/>
      <c r="O272" s="196"/>
      <c r="P272" s="196"/>
    </row>
    <row r="273" spans="1:20" ht="20.25">
      <c r="A273" s="201" t="s">
        <v>93</v>
      </c>
      <c r="B273" s="194"/>
      <c r="C273" s="279" t="s">
        <v>92</v>
      </c>
      <c r="D273" s="250"/>
      <c r="E273" s="210"/>
      <c r="F273" s="210"/>
      <c r="G273" s="210"/>
      <c r="H273" s="210"/>
      <c r="I273" s="194"/>
      <c r="J273" s="210"/>
      <c r="K273" s="194"/>
      <c r="L273" s="210"/>
      <c r="M273" s="291"/>
      <c r="N273" s="292"/>
      <c r="O273" s="196"/>
      <c r="P273" s="196"/>
    </row>
    <row r="274" spans="1:20" ht="20.25">
      <c r="A274" s="203" t="s">
        <v>94</v>
      </c>
      <c r="B274" s="194"/>
      <c r="C274" s="192"/>
      <c r="D274" s="194"/>
      <c r="E274" s="210"/>
      <c r="F274" s="210"/>
      <c r="G274" s="210"/>
      <c r="H274" s="210"/>
      <c r="I274" s="194"/>
      <c r="J274" s="210"/>
      <c r="K274" s="194"/>
      <c r="L274" s="210"/>
      <c r="M274" s="291"/>
      <c r="N274" s="293"/>
      <c r="O274" s="196"/>
      <c r="P274" s="196"/>
    </row>
    <row r="275" spans="1:20" ht="20.25" customHeight="1">
      <c r="A275" s="381" t="s">
        <v>95</v>
      </c>
      <c r="B275" s="2"/>
      <c r="C275" s="305" t="s">
        <v>299</v>
      </c>
      <c r="D275" s="305"/>
      <c r="E275" s="305"/>
      <c r="F275" s="305"/>
      <c r="G275" s="307"/>
      <c r="H275" s="307"/>
      <c r="I275" s="306"/>
      <c r="J275" s="307"/>
      <c r="K275" s="306"/>
      <c r="L275" s="307"/>
      <c r="M275" s="383"/>
      <c r="N275" s="293"/>
      <c r="O275" s="196"/>
      <c r="P275" s="196"/>
    </row>
    <row r="276" spans="1:20" ht="20.25" customHeight="1">
      <c r="A276" s="381"/>
      <c r="B276" s="2"/>
      <c r="C276" s="305" t="s">
        <v>248</v>
      </c>
      <c r="D276" s="341"/>
      <c r="E276" s="305"/>
      <c r="F276" s="305"/>
      <c r="G276" s="307"/>
      <c r="H276" s="307"/>
      <c r="I276" s="306"/>
      <c r="J276" s="307"/>
      <c r="K276" s="306"/>
      <c r="L276" s="307"/>
      <c r="M276" s="383"/>
      <c r="N276" s="293"/>
      <c r="O276" s="196"/>
      <c r="P276" s="196"/>
    </row>
    <row r="277" spans="1:20" ht="20.25" customHeight="1">
      <c r="A277" s="381"/>
      <c r="B277" s="2"/>
      <c r="C277" s="305" t="s">
        <v>278</v>
      </c>
      <c r="D277" s="305"/>
      <c r="E277" s="305"/>
      <c r="F277" s="305"/>
      <c r="G277" s="307"/>
      <c r="H277" s="307"/>
      <c r="I277" s="306"/>
      <c r="J277" s="307"/>
      <c r="K277" s="306"/>
      <c r="L277" s="307"/>
      <c r="M277" s="383"/>
      <c r="N277" s="293"/>
      <c r="O277" s="196"/>
      <c r="P277" s="196"/>
    </row>
    <row r="278" spans="1:20" ht="20.25" customHeight="1">
      <c r="A278" s="381"/>
      <c r="B278" s="2"/>
      <c r="C278" s="305" t="s">
        <v>423</v>
      </c>
      <c r="D278" s="305"/>
      <c r="E278" s="341"/>
      <c r="F278" s="305"/>
      <c r="G278" s="307"/>
      <c r="H278" s="307"/>
      <c r="I278" s="306"/>
      <c r="J278" s="307"/>
      <c r="K278" s="306"/>
      <c r="L278" s="307"/>
      <c r="M278" s="383"/>
      <c r="N278" s="293"/>
      <c r="O278" s="196"/>
      <c r="P278" s="196"/>
    </row>
    <row r="279" spans="1:20" ht="20.25" customHeight="1">
      <c r="A279" s="381" t="s">
        <v>96</v>
      </c>
      <c r="B279" s="306"/>
      <c r="C279" s="338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6"/>
      <c r="E279" s="307"/>
      <c r="F279" s="307"/>
      <c r="G279" s="307"/>
      <c r="H279" s="307"/>
      <c r="I279" s="306"/>
      <c r="J279" s="307"/>
      <c r="K279" s="306"/>
      <c r="L279" s="307"/>
      <c r="M279" s="383"/>
      <c r="N279" s="293"/>
      <c r="O279" s="196"/>
      <c r="P279" s="196"/>
    </row>
    <row r="280" spans="1:20" ht="20.25" customHeight="1">
      <c r="A280" s="381" t="s">
        <v>97</v>
      </c>
      <c r="B280" s="306"/>
      <c r="C280" s="338" t="s">
        <v>561</v>
      </c>
      <c r="D280" s="306"/>
      <c r="E280" s="307"/>
      <c r="F280" s="307"/>
      <c r="G280" s="307"/>
      <c r="H280" s="307"/>
      <c r="I280" s="306"/>
      <c r="J280" s="307"/>
      <c r="K280" s="306"/>
      <c r="L280" s="307"/>
      <c r="M280" s="383"/>
      <c r="N280" s="293"/>
      <c r="O280" s="196"/>
      <c r="P280" s="196"/>
    </row>
    <row r="281" spans="1:20" ht="20.25" customHeight="1">
      <c r="A281" s="381" t="s">
        <v>98</v>
      </c>
      <c r="B281" s="306"/>
      <c r="C281" s="588" t="s">
        <v>578</v>
      </c>
      <c r="D281" s="586"/>
      <c r="E281" s="587"/>
      <c r="F281" s="587"/>
      <c r="G281" s="307"/>
      <c r="H281" s="307"/>
      <c r="I281" s="306"/>
      <c r="J281" s="307"/>
      <c r="K281" s="306"/>
      <c r="L281" s="307"/>
      <c r="M281" s="383"/>
      <c r="N281" s="541"/>
      <c r="O281" s="305"/>
      <c r="P281" s="305"/>
      <c r="Q281" s="2"/>
      <c r="R281" s="2"/>
      <c r="S281" s="2"/>
      <c r="T281" s="2"/>
    </row>
    <row r="282" spans="1:20" ht="20.25" customHeight="1">
      <c r="A282" s="381"/>
      <c r="B282" s="306"/>
      <c r="C282" s="588" t="s">
        <v>397</v>
      </c>
      <c r="D282" s="586"/>
      <c r="E282" s="587"/>
      <c r="F282" s="587"/>
      <c r="G282" s="307"/>
      <c r="H282" s="307"/>
      <c r="I282" s="306"/>
      <c r="J282" s="307"/>
      <c r="K282" s="306"/>
      <c r="L282" s="307"/>
      <c r="M282" s="383"/>
      <c r="N282" s="493"/>
      <c r="O282" s="305"/>
      <c r="P282" s="305"/>
      <c r="Q282" s="2"/>
      <c r="R282" s="2"/>
      <c r="S282" s="2"/>
      <c r="T282" s="2"/>
    </row>
    <row r="283" spans="1:20" ht="20.25" customHeight="1">
      <c r="A283" s="381"/>
      <c r="B283" s="306"/>
      <c r="C283" s="588" t="s">
        <v>579</v>
      </c>
      <c r="D283" s="586"/>
      <c r="E283" s="587"/>
      <c r="F283" s="587"/>
      <c r="G283" s="307"/>
      <c r="H283" s="307"/>
      <c r="I283" s="306"/>
      <c r="J283" s="307"/>
      <c r="K283" s="306"/>
      <c r="L283" s="307"/>
      <c r="M283" s="383"/>
      <c r="N283" s="493"/>
      <c r="O283" s="305"/>
      <c r="P283" s="305"/>
      <c r="Q283" s="2"/>
      <c r="R283" s="2"/>
      <c r="S283" s="2"/>
      <c r="T283" s="2"/>
    </row>
    <row r="284" spans="1:20" ht="20.25" customHeight="1">
      <c r="A284" s="381" t="s">
        <v>99</v>
      </c>
      <c r="B284" s="306"/>
      <c r="C284" s="588" t="s">
        <v>580</v>
      </c>
      <c r="D284" s="586"/>
      <c r="E284" s="587"/>
      <c r="F284" s="587"/>
      <c r="G284" s="307"/>
      <c r="H284" s="307"/>
      <c r="I284" s="306"/>
      <c r="J284" s="307"/>
      <c r="K284" s="306"/>
      <c r="L284" s="307"/>
      <c r="M284" s="383"/>
      <c r="N284" s="293"/>
      <c r="O284" s="196"/>
      <c r="P284" s="196"/>
    </row>
    <row r="285" spans="1:20" ht="20.25" customHeight="1">
      <c r="A285" s="381"/>
      <c r="B285" s="306"/>
      <c r="C285" s="588" t="s">
        <v>397</v>
      </c>
      <c r="D285" s="586"/>
      <c r="E285" s="587"/>
      <c r="F285" s="587"/>
      <c r="G285" s="307"/>
      <c r="H285" s="307"/>
      <c r="I285" s="306"/>
      <c r="J285" s="307"/>
      <c r="K285" s="306"/>
      <c r="L285" s="307"/>
      <c r="M285" s="383"/>
      <c r="N285" s="293"/>
      <c r="O285" s="196"/>
      <c r="P285" s="196"/>
    </row>
    <row r="286" spans="1:20" ht="20.25" customHeight="1">
      <c r="A286" s="381"/>
      <c r="B286" s="306"/>
      <c r="C286" s="588" t="s">
        <v>581</v>
      </c>
      <c r="D286" s="586"/>
      <c r="E286" s="587"/>
      <c r="F286" s="587"/>
      <c r="G286" s="307"/>
      <c r="H286" s="307"/>
      <c r="I286" s="306"/>
      <c r="J286" s="307"/>
      <c r="K286" s="306"/>
      <c r="L286" s="307"/>
      <c r="M286" s="383"/>
      <c r="N286" s="293"/>
      <c r="O286" s="196"/>
      <c r="P286" s="196"/>
    </row>
    <row r="287" spans="1:20" ht="20.25" customHeight="1">
      <c r="A287" s="381" t="s">
        <v>100</v>
      </c>
      <c r="B287" s="306"/>
      <c r="C287" s="339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9"/>
      <c r="E287" s="307"/>
      <c r="F287" s="307"/>
      <c r="G287" s="307"/>
      <c r="H287" s="307"/>
      <c r="I287" s="306"/>
      <c r="J287" s="307"/>
      <c r="K287" s="306"/>
      <c r="L287" s="307"/>
      <c r="M287" s="383"/>
      <c r="N287" s="293"/>
      <c r="O287" s="196"/>
      <c r="P287" s="196"/>
    </row>
    <row r="288" spans="1:20" ht="20.25" customHeight="1">
      <c r="A288" s="381" t="s">
        <v>101</v>
      </c>
      <c r="B288" s="2"/>
      <c r="C288" s="339" t="s">
        <v>555</v>
      </c>
      <c r="D288" s="339"/>
      <c r="E288" s="307"/>
      <c r="F288" s="307"/>
      <c r="G288" s="307"/>
      <c r="H288" s="307"/>
      <c r="I288" s="306"/>
      <c r="J288" s="307"/>
      <c r="K288" s="306"/>
      <c r="L288" s="307"/>
      <c r="M288" s="383"/>
      <c r="N288" s="293"/>
      <c r="O288" s="196"/>
      <c r="P288" s="196"/>
    </row>
    <row r="289" spans="1:22" ht="20.25" customHeight="1">
      <c r="A289" s="381"/>
      <c r="B289" s="306"/>
      <c r="C289" s="339" t="s">
        <v>562</v>
      </c>
      <c r="D289" s="2"/>
      <c r="E289" s="2"/>
      <c r="F289" s="307"/>
      <c r="G289" s="307"/>
      <c r="H289" s="2"/>
      <c r="I289" s="339"/>
      <c r="J289" s="339"/>
      <c r="K289" s="306"/>
      <c r="L289" s="307"/>
      <c r="M289" s="383"/>
      <c r="N289" s="293"/>
      <c r="O289" s="196"/>
      <c r="P289" s="196"/>
    </row>
    <row r="290" spans="1:22" ht="20.25" customHeight="1">
      <c r="A290" s="497" t="s">
        <v>102</v>
      </c>
      <c r="B290" s="194"/>
      <c r="C290" s="306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6"/>
      <c r="E290" s="306"/>
      <c r="F290" s="306"/>
      <c r="G290" s="306"/>
      <c r="H290" s="306"/>
      <c r="I290" s="306"/>
      <c r="J290" s="307"/>
      <c r="K290" s="306"/>
      <c r="L290" s="210"/>
      <c r="M290" s="291"/>
      <c r="N290" s="293"/>
      <c r="O290" s="196"/>
      <c r="P290" s="196"/>
    </row>
    <row r="291" spans="1:22" ht="20.25" customHeight="1">
      <c r="A291" s="497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6"/>
      <c r="E291" s="306"/>
      <c r="F291" s="306"/>
      <c r="G291" s="306"/>
      <c r="H291" s="306"/>
      <c r="I291" s="306"/>
      <c r="J291" s="307"/>
      <c r="K291" s="306"/>
      <c r="L291" s="210"/>
      <c r="M291" s="291"/>
      <c r="N291" s="293"/>
      <c r="O291" s="196"/>
      <c r="P291" s="196"/>
    </row>
    <row r="292" spans="1:22" ht="35.25" customHeight="1">
      <c r="A292" s="497"/>
      <c r="B292" s="194"/>
      <c r="C292" s="816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16"/>
      <c r="E292" s="816"/>
      <c r="F292" s="816"/>
      <c r="G292" s="816"/>
      <c r="H292" s="816"/>
      <c r="I292" s="816"/>
      <c r="J292" s="816"/>
      <c r="K292" s="306"/>
      <c r="L292" s="307"/>
      <c r="M292" s="477"/>
      <c r="N292" s="150"/>
      <c r="O292" s="305"/>
      <c r="P292" s="305"/>
      <c r="Q292" s="2"/>
      <c r="R292" s="150"/>
      <c r="S292" s="150"/>
      <c r="T292" s="150"/>
      <c r="U292" s="150"/>
      <c r="V292" s="150"/>
    </row>
    <row r="293" spans="1:22" ht="20.25" customHeight="1">
      <c r="A293" s="497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6"/>
      <c r="E293" s="306"/>
      <c r="F293" s="306"/>
      <c r="G293" s="306"/>
      <c r="H293" s="306"/>
      <c r="I293" s="306"/>
      <c r="J293" s="307"/>
      <c r="K293" s="306"/>
      <c r="L293" s="307"/>
      <c r="M293" s="477"/>
      <c r="N293" s="150"/>
      <c r="O293" s="305"/>
      <c r="P293" s="305"/>
      <c r="Q293" s="2"/>
      <c r="R293" s="150"/>
      <c r="S293" s="150"/>
      <c r="T293" s="150"/>
      <c r="U293" s="150"/>
      <c r="V293" s="150"/>
    </row>
    <row r="294" spans="1:22" ht="20.25" customHeight="1">
      <c r="A294" s="497" t="s">
        <v>103</v>
      </c>
      <c r="B294" s="194"/>
      <c r="C294" s="306" t="s">
        <v>529</v>
      </c>
      <c r="D294" s="306"/>
      <c r="E294" s="306"/>
      <c r="F294" s="306"/>
      <c r="G294" s="306"/>
      <c r="H294" s="306"/>
      <c r="I294" s="306"/>
      <c r="J294" s="307"/>
      <c r="K294" s="306"/>
      <c r="L294" s="307"/>
      <c r="M294" s="477"/>
      <c r="N294" s="384"/>
      <c r="O294" s="305"/>
      <c r="P294" s="305"/>
      <c r="Q294" s="2"/>
      <c r="R294" s="150"/>
      <c r="S294" s="150"/>
      <c r="T294" s="150"/>
      <c r="U294" s="150"/>
      <c r="V294" s="150"/>
    </row>
    <row r="295" spans="1:22" ht="20.25" customHeight="1">
      <c r="A295" s="497"/>
      <c r="B295" s="194"/>
      <c r="C295" s="306" t="s">
        <v>530</v>
      </c>
      <c r="D295" s="306"/>
      <c r="E295" s="306"/>
      <c r="F295" s="306"/>
      <c r="G295" s="306"/>
      <c r="H295" s="306"/>
      <c r="I295" s="306"/>
      <c r="J295" s="307"/>
      <c r="K295" s="306"/>
      <c r="L295" s="307"/>
      <c r="M295" s="477"/>
      <c r="N295" s="384"/>
      <c r="O295" s="305"/>
      <c r="P295" s="305"/>
      <c r="Q295" s="2"/>
      <c r="R295" s="150"/>
      <c r="S295" s="150"/>
      <c r="T295" s="150"/>
      <c r="U295" s="150"/>
      <c r="V295" s="150"/>
    </row>
    <row r="296" spans="1:22" ht="20.25" customHeight="1">
      <c r="A296" s="381" t="s">
        <v>104</v>
      </c>
      <c r="B296" s="306"/>
      <c r="C296" s="306" t="s">
        <v>543</v>
      </c>
      <c r="D296" s="306"/>
      <c r="E296" s="306"/>
      <c r="F296" s="306"/>
      <c r="G296" s="306"/>
      <c r="H296" s="306"/>
      <c r="I296" s="306"/>
      <c r="J296" s="306"/>
      <c r="K296" s="306"/>
      <c r="L296"/>
      <c r="N296" s="150"/>
      <c r="O296" s="150"/>
      <c r="P296" s="150"/>
      <c r="Q296" s="150"/>
      <c r="R296" s="150"/>
    </row>
    <row r="297" spans="1:22" ht="20.25" customHeight="1">
      <c r="A297" s="497" t="s">
        <v>105</v>
      </c>
      <c r="B297" s="194"/>
      <c r="C297" s="306" t="s">
        <v>528</v>
      </c>
      <c r="D297" s="306"/>
      <c r="E297" s="306"/>
      <c r="F297" s="2"/>
      <c r="G297" s="2"/>
      <c r="H297" s="2"/>
      <c r="I297" s="306"/>
      <c r="J297" s="307"/>
      <c r="K297" s="306"/>
      <c r="L297" s="210"/>
      <c r="M297" s="291"/>
      <c r="N297" s="293"/>
      <c r="O297" s="196"/>
      <c r="P297" s="196"/>
    </row>
    <row r="298" spans="1:22" ht="20.25" customHeight="1">
      <c r="A298" s="497"/>
      <c r="B298" s="194"/>
      <c r="C298" s="306" t="s">
        <v>531</v>
      </c>
      <c r="D298" s="306"/>
      <c r="E298" s="306"/>
      <c r="F298" s="306"/>
      <c r="G298" s="306"/>
      <c r="H298" s="306"/>
      <c r="I298" s="306"/>
      <c r="J298" s="307"/>
      <c r="K298" s="306"/>
      <c r="L298" s="194"/>
      <c r="M298" s="291"/>
      <c r="N298" s="294"/>
      <c r="O298" s="196"/>
      <c r="P298" s="196"/>
    </row>
    <row r="299" spans="1:22" ht="20.25" customHeight="1">
      <c r="A299" s="497"/>
      <c r="B299" s="194"/>
      <c r="C299" s="306" t="s">
        <v>532</v>
      </c>
      <c r="D299" s="306"/>
      <c r="E299" s="306"/>
      <c r="F299" s="306"/>
      <c r="G299" s="306"/>
      <c r="H299" s="306"/>
      <c r="I299" s="306"/>
      <c r="J299" s="2"/>
      <c r="K299" s="306"/>
      <c r="L299" s="194"/>
      <c r="M299" s="291"/>
      <c r="N299" s="294"/>
      <c r="O299" s="196"/>
      <c r="P299" s="196"/>
    </row>
    <row r="300" spans="1:22" ht="20.25" customHeight="1">
      <c r="A300" s="497" t="s">
        <v>106</v>
      </c>
      <c r="B300" s="194"/>
      <c r="C300" s="306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6"/>
      <c r="E300" s="306"/>
      <c r="F300" s="306"/>
      <c r="G300" s="306"/>
      <c r="H300" s="306"/>
      <c r="I300" s="306"/>
      <c r="J300" s="306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497" t="s">
        <v>107</v>
      </c>
      <c r="B301" s="194"/>
      <c r="C301" s="306" t="s">
        <v>422</v>
      </c>
      <c r="D301" s="306"/>
      <c r="E301" s="339"/>
      <c r="F301" s="306"/>
      <c r="G301" s="306"/>
      <c r="H301" s="306"/>
      <c r="I301" s="306"/>
      <c r="J301" s="339"/>
      <c r="K301" s="306"/>
      <c r="L301" s="150"/>
      <c r="M301" s="150"/>
      <c r="N301" s="150"/>
      <c r="O301" s="150"/>
      <c r="P301" s="150"/>
      <c r="Q301" s="150"/>
    </row>
    <row r="302" spans="1:22" ht="20.25" customHeight="1">
      <c r="A302" s="497" t="s">
        <v>108</v>
      </c>
      <c r="B302" s="194"/>
      <c r="C302" s="338" t="str">
        <f>CONCATENATE('Pg 7 of 8 Cap Str'!I30,TEXT('Pg 7 of 8 Cap Str'!J28,"#.00"))</f>
        <v>Proprietary Capital Cost calculated to achieve TIER of 1.50</v>
      </c>
      <c r="D302" s="306"/>
      <c r="E302" s="2"/>
      <c r="F302" s="339"/>
      <c r="G302" s="339"/>
      <c r="H302" s="339"/>
      <c r="I302" s="339"/>
      <c r="J302" s="339"/>
      <c r="K302" s="306"/>
      <c r="L302" s="150"/>
      <c r="M302" s="150"/>
      <c r="N302" s="150"/>
      <c r="O302" s="150"/>
      <c r="P302" s="150"/>
      <c r="Q302" s="150"/>
    </row>
    <row r="303" spans="1:22" ht="20.25" customHeight="1">
      <c r="A303" s="497" t="s">
        <v>109</v>
      </c>
      <c r="B303" s="194"/>
      <c r="C303" s="338" t="str">
        <f>'Pg 7 of 8 Cap Str'!I31</f>
        <v xml:space="preserve"> TIER value approved by KPSC in Case No. 2010-000167</v>
      </c>
      <c r="D303" s="306"/>
      <c r="E303" s="2"/>
      <c r="F303" s="339"/>
      <c r="G303" s="339"/>
      <c r="H303" s="339"/>
      <c r="I303" s="339"/>
      <c r="J303" s="339"/>
      <c r="K303" s="306"/>
      <c r="L303" s="194"/>
      <c r="M303" s="291"/>
      <c r="N303" s="292"/>
      <c r="O303" s="196"/>
      <c r="P303" s="196"/>
    </row>
    <row r="304" spans="1:22" ht="20.25" customHeight="1">
      <c r="A304" s="497" t="s">
        <v>110</v>
      </c>
      <c r="B304" s="194"/>
      <c r="C304" s="306" t="s">
        <v>113</v>
      </c>
      <c r="D304" s="2"/>
      <c r="E304" s="2"/>
      <c r="F304" s="339"/>
      <c r="G304" s="478"/>
      <c r="H304" s="339"/>
      <c r="I304" s="339"/>
      <c r="J304" s="306"/>
      <c r="K304" s="306"/>
      <c r="L304" s="194"/>
      <c r="M304" s="291"/>
      <c r="N304" s="493"/>
      <c r="O304" s="196"/>
      <c r="P304" s="196"/>
    </row>
    <row r="305" spans="1:18" ht="20.25" customHeight="1">
      <c r="A305" s="506" t="s">
        <v>111</v>
      </c>
      <c r="B305" s="306"/>
      <c r="C305" s="306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2"/>
      <c r="G305" s="2"/>
      <c r="H305" s="2"/>
      <c r="I305" s="2"/>
      <c r="J305" s="2"/>
      <c r="K305" s="306"/>
      <c r="L305" s="306"/>
      <c r="M305" s="383"/>
      <c r="N305" s="493"/>
      <c r="O305" s="305"/>
      <c r="P305" s="305"/>
      <c r="Q305" s="2"/>
      <c r="R305" s="2"/>
    </row>
    <row r="306" spans="1:18">
      <c r="C306" s="2"/>
      <c r="D306" s="2"/>
      <c r="E306" s="2"/>
      <c r="F306" s="2"/>
      <c r="G306" s="2"/>
      <c r="H306" s="2"/>
      <c r="I306" s="2"/>
      <c r="J306" s="306"/>
      <c r="K306" s="306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2"/>
      <c r="G307" s="2"/>
      <c r="H307" s="2"/>
      <c r="I307" s="2"/>
      <c r="J307" s="306"/>
      <c r="K307" s="306"/>
      <c r="L307" s="150"/>
      <c r="M307" s="150"/>
      <c r="N307" s="150"/>
      <c r="O307" s="150"/>
      <c r="P307" s="150"/>
      <c r="Q307" s="150"/>
      <c r="R307" s="2"/>
    </row>
    <row r="308" spans="1:18" ht="20.25">
      <c r="C308" s="2"/>
      <c r="D308" s="2"/>
      <c r="E308" s="2"/>
      <c r="F308" s="2"/>
      <c r="G308" s="2"/>
      <c r="H308" s="2"/>
      <c r="I308" s="306"/>
      <c r="J308" s="306"/>
      <c r="K308" s="306"/>
      <c r="L308" s="194"/>
      <c r="M308" s="291"/>
      <c r="N308" s="292"/>
      <c r="O308" s="196"/>
      <c r="P308" s="196"/>
    </row>
    <row r="309" spans="1:18" ht="20.25">
      <c r="C309" s="2"/>
      <c r="D309" s="2"/>
      <c r="E309" s="2"/>
      <c r="F309" s="2"/>
      <c r="G309" s="2"/>
      <c r="H309" s="2"/>
      <c r="I309" s="2"/>
      <c r="J309" s="2"/>
      <c r="K309" s="306"/>
      <c r="L309" s="306"/>
      <c r="M309" s="291"/>
      <c r="N309" s="292"/>
      <c r="O309" s="196"/>
      <c r="P309" s="196"/>
    </row>
    <row r="310" spans="1:18" ht="20.25">
      <c r="F310" s="306"/>
      <c r="G310" s="306"/>
      <c r="H310" s="306"/>
      <c r="I310" s="194"/>
      <c r="J310" s="194"/>
      <c r="K310" s="194"/>
      <c r="L310" s="194"/>
      <c r="M310" s="291"/>
      <c r="N310" s="493"/>
      <c r="O310" s="196"/>
      <c r="P310" s="196"/>
    </row>
    <row r="311" spans="1:18" ht="20.25">
      <c r="D311" s="306"/>
      <c r="E311" s="306"/>
      <c r="F311" s="306"/>
      <c r="G311" s="306"/>
      <c r="H311" s="306"/>
      <c r="I311" s="194"/>
      <c r="J311" s="194"/>
      <c r="K311" s="194"/>
      <c r="L311" s="194"/>
      <c r="M311" s="291"/>
      <c r="N311" s="292"/>
      <c r="O311" s="196"/>
      <c r="P311" s="196"/>
    </row>
    <row r="312" spans="1:18" ht="20.25">
      <c r="F312" s="306"/>
      <c r="G312" s="306"/>
      <c r="H312" s="306"/>
      <c r="I312" s="194"/>
      <c r="J312" s="194"/>
      <c r="K312" s="194"/>
      <c r="L312" s="194"/>
      <c r="M312" s="291"/>
      <c r="N312" s="292"/>
      <c r="O312" s="196"/>
      <c r="P312" s="196"/>
    </row>
    <row r="313" spans="1:18" ht="20.25">
      <c r="F313" s="306"/>
      <c r="G313" s="306"/>
      <c r="H313" s="306"/>
      <c r="I313" s="194"/>
      <c r="J313" s="194"/>
      <c r="K313" s="194"/>
      <c r="L313" s="194"/>
      <c r="M313" s="291"/>
      <c r="N313" s="292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5">
    <tabColor rgb="FF00B050"/>
    <pageSetUpPr fitToPage="1"/>
  </sheetPr>
  <dimension ref="A1:Y48"/>
  <sheetViews>
    <sheetView zoomScale="70" zoomScaleNormal="70" workbookViewId="0">
      <selection activeCell="A15" sqref="A15"/>
    </sheetView>
  </sheetViews>
  <sheetFormatPr defaultColWidth="8.77734375" defaultRowHeight="15"/>
  <cols>
    <col min="1" max="1" width="8.77734375" style="1"/>
    <col min="2" max="2" width="56.109375" style="1" customWidth="1"/>
    <col min="3" max="3" width="24.77734375" style="1" customWidth="1"/>
    <col min="4" max="4" width="19.21875" style="1" customWidth="1"/>
    <col min="5" max="5" width="8.77734375" style="1" customWidth="1"/>
    <col min="6" max="6" width="10.6640625" style="1" customWidth="1"/>
    <col min="7" max="7" width="26" style="1" customWidth="1"/>
    <col min="8" max="8" width="11.109375" style="1" customWidth="1"/>
    <col min="9" max="9" width="8.33203125" style="1" customWidth="1"/>
    <col min="10" max="10" width="12.6640625" style="1" bestFit="1" customWidth="1"/>
    <col min="11" max="16384" width="8.77734375" style="1"/>
  </cols>
  <sheetData>
    <row r="1" spans="1:6">
      <c r="E1" s="337" t="str">
        <f>EKPC!J1</f>
        <v>Attachment H-24A</v>
      </c>
    </row>
    <row r="2" spans="1:6">
      <c r="E2" s="168" t="s">
        <v>546</v>
      </c>
    </row>
    <row r="3" spans="1:6">
      <c r="B3"/>
      <c r="C3" s="17"/>
      <c r="D3" s="17"/>
      <c r="E3" s="168" t="s">
        <v>378</v>
      </c>
    </row>
    <row r="4" spans="1:6" ht="18">
      <c r="B4" s="25"/>
      <c r="C4" s="17"/>
      <c r="D4" s="17"/>
      <c r="E4" s="168" t="str">
        <f>EKPC!$J$124</f>
        <v>For the 12 months ended 12/31/2013</v>
      </c>
      <c r="F4" s="139"/>
    </row>
    <row r="5" spans="1:6" ht="18">
      <c r="B5" s="25"/>
      <c r="C5" s="17"/>
      <c r="D5" s="17"/>
      <c r="E5" s="168"/>
      <c r="F5" s="139"/>
    </row>
    <row r="6" spans="1:6" ht="15.75">
      <c r="A6" s="834" t="str">
        <f>EKPC!A11</f>
        <v>East Kentucky Power Cooperative, Inc.</v>
      </c>
      <c r="B6" s="834"/>
      <c r="C6" s="834"/>
      <c r="D6" s="834"/>
      <c r="E6" s="432"/>
      <c r="F6" s="139"/>
    </row>
    <row r="7" spans="1:6" ht="15.75">
      <c r="A7" s="834" t="str">
        <f>EKPC!A9</f>
        <v>Utilizing EKPC 2013 Form FF1 Data</v>
      </c>
      <c r="B7" s="834"/>
      <c r="C7" s="834"/>
      <c r="D7" s="834"/>
      <c r="E7" s="432"/>
      <c r="F7" s="139"/>
    </row>
    <row r="8" spans="1:6" ht="15.75">
      <c r="B8" s="16"/>
      <c r="C8" s="17"/>
      <c r="D8" s="168"/>
      <c r="F8" s="139"/>
    </row>
    <row r="9" spans="1:6" ht="15.75">
      <c r="A9" s="834" t="s">
        <v>148</v>
      </c>
      <c r="B9" s="834"/>
      <c r="C9" s="834"/>
      <c r="D9" s="834"/>
      <c r="F9" s="139"/>
    </row>
    <row r="10" spans="1:6" ht="15.75">
      <c r="B10" s="16"/>
      <c r="C10" s="17"/>
      <c r="D10" s="17"/>
      <c r="F10" s="139"/>
    </row>
    <row r="11" spans="1:6" ht="15.75">
      <c r="B11" s="19"/>
      <c r="C11" s="426"/>
      <c r="D11" s="18"/>
      <c r="F11" s="139"/>
    </row>
    <row r="12" spans="1:6" ht="20.25">
      <c r="B12" s="18"/>
      <c r="C12" s="79"/>
      <c r="D12" s="20"/>
      <c r="F12" s="139"/>
    </row>
    <row r="13" spans="1:6" ht="21" thickBot="1">
      <c r="A13" s="428" t="s">
        <v>188</v>
      </c>
      <c r="B13" s="18"/>
      <c r="C13" s="80"/>
      <c r="D13" s="21" t="s">
        <v>321</v>
      </c>
      <c r="F13" s="139"/>
    </row>
    <row r="14" spans="1:6" ht="21" thickBot="1">
      <c r="B14" s="29" t="s">
        <v>166</v>
      </c>
      <c r="C14" s="80"/>
      <c r="D14" s="21"/>
      <c r="F14" s="139"/>
    </row>
    <row r="15" spans="1:6" ht="17.25" customHeight="1">
      <c r="A15" s="427" t="s">
        <v>478</v>
      </c>
      <c r="B15" s="176" t="s">
        <v>461</v>
      </c>
      <c r="C15" s="81"/>
      <c r="D15" s="756">
        <v>36583793</v>
      </c>
    </row>
    <row r="16" spans="1:6" ht="15.75">
      <c r="A16" s="425"/>
      <c r="B16" s="375"/>
      <c r="C16" s="82"/>
      <c r="D16" s="82"/>
      <c r="F16" s="139"/>
    </row>
    <row r="17" spans="1:9" ht="34.5" customHeight="1">
      <c r="A17" s="427" t="s">
        <v>206</v>
      </c>
      <c r="B17" s="838" t="s">
        <v>481</v>
      </c>
      <c r="C17" s="828"/>
      <c r="D17" s="26">
        <v>0</v>
      </c>
      <c r="F17" s="139"/>
    </row>
    <row r="18" spans="1:9" ht="15.75">
      <c r="A18" s="462"/>
      <c r="B18" s="23"/>
      <c r="C18" s="82"/>
      <c r="D18" s="82"/>
      <c r="F18" s="139"/>
    </row>
    <row r="19" spans="1:9" ht="17.25" customHeight="1">
      <c r="A19" s="427" t="s">
        <v>479</v>
      </c>
      <c r="B19" s="374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36583793</v>
      </c>
      <c r="F19" s="139"/>
    </row>
    <row r="20" spans="1:9" ht="14.25" customHeight="1">
      <c r="A20" s="462"/>
      <c r="B20" s="24"/>
      <c r="C20" s="83"/>
      <c r="D20" s="83"/>
      <c r="F20" s="139"/>
    </row>
    <row r="21" spans="1:9" ht="10.5" customHeight="1">
      <c r="A21" s="462"/>
      <c r="B21" s="24"/>
      <c r="C21" s="83"/>
      <c r="D21" s="83"/>
      <c r="F21" s="139"/>
    </row>
    <row r="22" spans="1:9" ht="16.5" thickBot="1">
      <c r="A22" s="462"/>
      <c r="B22" s="23"/>
      <c r="C22" s="82"/>
      <c r="D22" s="82"/>
      <c r="F22" s="139"/>
    </row>
    <row r="23" spans="1:9" ht="16.5" thickBot="1">
      <c r="A23" s="462"/>
      <c r="B23" s="29" t="s">
        <v>167</v>
      </c>
      <c r="C23" s="82"/>
      <c r="D23" s="82"/>
      <c r="F23" s="139"/>
    </row>
    <row r="24" spans="1:9" ht="17.25" customHeight="1">
      <c r="A24" s="427" t="s">
        <v>480</v>
      </c>
      <c r="B24" s="176" t="s">
        <v>564</v>
      </c>
      <c r="C24" s="81"/>
      <c r="D24" s="756">
        <f>42654461-2277916</f>
        <v>40376545</v>
      </c>
    </row>
    <row r="25" spans="1:9" ht="15.75">
      <c r="A25" s="462"/>
      <c r="B25" s="375"/>
      <c r="C25" s="82"/>
      <c r="D25" s="82"/>
      <c r="F25" s="139"/>
    </row>
    <row r="26" spans="1:9" ht="17.25">
      <c r="A26" s="427" t="s">
        <v>176</v>
      </c>
      <c r="B26" s="464" t="s">
        <v>481</v>
      </c>
      <c r="C26" s="26"/>
      <c r="D26" s="26">
        <f>D17</f>
        <v>0</v>
      </c>
      <c r="F26" s="139"/>
      <c r="G26"/>
    </row>
    <row r="27" spans="1:9" ht="15.75">
      <c r="A27" s="462"/>
      <c r="B27" s="23"/>
      <c r="C27" s="82"/>
      <c r="D27" s="82"/>
      <c r="F27" s="139"/>
    </row>
    <row r="28" spans="1:9" ht="17.25" customHeight="1">
      <c r="A28" s="427" t="s">
        <v>177</v>
      </c>
      <c r="B28" s="374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40376545</v>
      </c>
      <c r="F28" s="139"/>
    </row>
    <row r="29" spans="1:9" ht="14.25" customHeight="1">
      <c r="A29" s="462"/>
      <c r="B29" s="24"/>
      <c r="C29" s="83"/>
      <c r="D29" s="83"/>
      <c r="G29" s="2"/>
    </row>
    <row r="30" spans="1:9" ht="10.5" customHeight="1">
      <c r="A30" s="462"/>
      <c r="B30" s="24"/>
      <c r="C30" s="83"/>
      <c r="D30" s="83"/>
      <c r="G30" s="2"/>
    </row>
    <row r="31" spans="1:9" ht="16.5" thickBot="1">
      <c r="A31" s="462"/>
      <c r="B31" s="23"/>
      <c r="C31" s="82"/>
      <c r="D31" s="82"/>
      <c r="F31" s="308"/>
      <c r="G31" s="2"/>
      <c r="H31" s="2"/>
      <c r="I31" s="2"/>
    </row>
    <row r="32" spans="1:9" ht="16.5" thickBot="1">
      <c r="A32" s="462"/>
      <c r="B32" s="29" t="s">
        <v>168</v>
      </c>
      <c r="C32" s="82"/>
      <c r="D32" s="82"/>
      <c r="F32" s="309"/>
      <c r="G32"/>
      <c r="H32" s="2"/>
      <c r="I32" s="2"/>
    </row>
    <row r="33" spans="1:25" ht="17.25" customHeight="1">
      <c r="A33" s="427" t="s">
        <v>180</v>
      </c>
      <c r="B33" s="176" t="s">
        <v>565</v>
      </c>
      <c r="C33" s="81"/>
      <c r="D33" s="756">
        <f>5408139-2277916</f>
        <v>3130223</v>
      </c>
      <c r="F33" s="77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62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27" t="s">
        <v>182</v>
      </c>
      <c r="B35" s="513" t="s">
        <v>527</v>
      </c>
      <c r="C35" s="487"/>
      <c r="D35" s="773">
        <v>318967.46999999997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62"/>
      <c r="B36" s="23"/>
      <c r="C36" s="82"/>
      <c r="D36" s="82"/>
      <c r="F36"/>
      <c r="G36"/>
    </row>
    <row r="37" spans="1:25" ht="17.25" customHeight="1">
      <c r="A37" s="427" t="s">
        <v>153</v>
      </c>
      <c r="B37" s="24" t="s">
        <v>392</v>
      </c>
      <c r="C37" s="83"/>
      <c r="D37" s="83">
        <f>D33-D35</f>
        <v>2811255.5300000003</v>
      </c>
    </row>
    <row r="38" spans="1:25" ht="17.25" customHeight="1">
      <c r="A38" s="462"/>
      <c r="B38" s="23"/>
      <c r="C38" s="82"/>
      <c r="D38" s="82"/>
      <c r="F38" s="139"/>
    </row>
    <row r="39" spans="1:25" ht="17.25" customHeight="1">
      <c r="A39" s="427" t="s">
        <v>154</v>
      </c>
      <c r="B39" s="782" t="s">
        <v>625</v>
      </c>
      <c r="C39" s="469" t="s">
        <v>468</v>
      </c>
      <c r="D39" s="777">
        <v>0</v>
      </c>
      <c r="F39" s="42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62"/>
      <c r="B40" s="375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62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27" t="s">
        <v>156</v>
      </c>
      <c r="B42" s="376" t="s">
        <v>391</v>
      </c>
      <c r="C42" s="470" t="s">
        <v>467</v>
      </c>
      <c r="D42" s="377">
        <f>D37-D39</f>
        <v>2811255.5300000003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37"/>
      <c r="C43" s="837"/>
      <c r="D43" s="463"/>
    </row>
    <row r="44" spans="1:25" ht="17.25" customHeight="1">
      <c r="B44" s="368" t="s">
        <v>389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624</v>
      </c>
      <c r="C45" s="150"/>
      <c r="D45" s="150"/>
      <c r="E45"/>
      <c r="F45" s="424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rgb="FF00B050"/>
    <pageSetUpPr fitToPage="1"/>
  </sheetPr>
  <dimension ref="A1:L27"/>
  <sheetViews>
    <sheetView zoomScale="70" zoomScaleNormal="70" workbookViewId="0">
      <selection activeCell="A14" sqref="A14"/>
    </sheetView>
  </sheetViews>
  <sheetFormatPr defaultColWidth="7.109375" defaultRowHeight="15"/>
  <cols>
    <col min="1" max="1" width="7.109375" style="28"/>
    <col min="2" max="2" width="60.5546875" style="28" customWidth="1"/>
    <col min="3" max="3" width="29.21875" style="28" customWidth="1"/>
    <col min="4" max="4" width="11.6640625" style="28" customWidth="1"/>
    <col min="5" max="5" width="17.6640625" style="298" customWidth="1"/>
    <col min="6" max="6" width="11.6640625" style="28" customWidth="1"/>
    <col min="7" max="7" width="10.109375" style="28" customWidth="1"/>
    <col min="8" max="8" width="14.77734375" style="28" customWidth="1"/>
    <col min="9" max="9" width="16.77734375" style="28" customWidth="1"/>
    <col min="10" max="10" width="8.77734375" style="28" bestFit="1" customWidth="1"/>
    <col min="11" max="17" width="25.5546875" style="28" customWidth="1"/>
    <col min="18" max="19" width="25.5546875" style="28" bestFit="1" customWidth="1"/>
    <col min="20" max="20" width="29.21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77734375" style="28" bestFit="1" customWidth="1"/>
    <col min="35" max="35" width="8.21875" style="28" customWidth="1"/>
    <col min="36" max="53" width="16.21875" style="28" bestFit="1" customWidth="1"/>
    <col min="54" max="54" width="16.77734375" style="28" bestFit="1" customWidth="1"/>
    <col min="55" max="55" width="7.77734375" style="28" bestFit="1" customWidth="1"/>
    <col min="56" max="56" width="8.21875" style="28" bestFit="1" customWidth="1"/>
    <col min="57" max="57" width="9.88671875" style="28" bestFit="1" customWidth="1"/>
    <col min="58" max="58" width="6.33203125" style="28" customWidth="1"/>
    <col min="59" max="59" width="9.88671875" style="28" bestFit="1" customWidth="1"/>
    <col min="60" max="60" width="6.33203125" style="28" customWidth="1"/>
    <col min="61" max="61" width="9.88671875" style="28" bestFit="1" customWidth="1"/>
    <col min="62" max="63" width="6.33203125" style="28" customWidth="1"/>
    <col min="64" max="64" width="9.88671875" style="28" bestFit="1" customWidth="1"/>
    <col min="65" max="65" width="6.33203125" style="28" customWidth="1"/>
    <col min="66" max="66" width="9.88671875" style="28" bestFit="1" customWidth="1"/>
    <col min="67" max="67" width="6.33203125" style="28" customWidth="1"/>
    <col min="68" max="68" width="9.88671875" style="28" bestFit="1" customWidth="1"/>
    <col min="69" max="69" width="6.33203125" style="28" customWidth="1"/>
    <col min="70" max="70" width="9.88671875" style="28" bestFit="1" customWidth="1"/>
    <col min="71" max="71" width="8.21875" style="28" bestFit="1" customWidth="1"/>
    <col min="72" max="16384" width="7.109375" style="28"/>
  </cols>
  <sheetData>
    <row r="1" spans="1:12">
      <c r="B1" s="1"/>
      <c r="C1" s="1"/>
      <c r="D1" s="337" t="str">
        <f>EKPC!J1</f>
        <v>Attachment H-24A</v>
      </c>
    </row>
    <row r="2" spans="1:12">
      <c r="B2" s="1"/>
      <c r="C2" s="1"/>
      <c r="D2" s="168" t="s">
        <v>546</v>
      </c>
    </row>
    <row r="3" spans="1:12">
      <c r="B3" s="480"/>
      <c r="C3" s="17"/>
      <c r="D3" s="168" t="s">
        <v>377</v>
      </c>
    </row>
    <row r="4" spans="1:12" ht="15.75">
      <c r="B4" s="16"/>
      <c r="C4" s="17"/>
      <c r="D4" s="168" t="str">
        <f>EKPC!$J$124</f>
        <v>For the 12 months ended 12/31/2013</v>
      </c>
    </row>
    <row r="5" spans="1:12" ht="15.75">
      <c r="B5" s="16"/>
      <c r="C5" s="17"/>
      <c r="D5" s="17"/>
      <c r="E5" s="168"/>
    </row>
    <row r="6" spans="1:12" ht="15.75">
      <c r="B6" s="834" t="str">
        <f>EKPC!A11</f>
        <v>East Kentucky Power Cooperative, Inc.</v>
      </c>
      <c r="C6" s="834"/>
      <c r="D6" s="834"/>
      <c r="E6" s="336"/>
    </row>
    <row r="7" spans="1:12" ht="15.75">
      <c r="B7" s="834" t="str">
        <f>EKPC!A9</f>
        <v>Utilizing EKPC 2013 Form FF1 Data</v>
      </c>
      <c r="C7" s="834"/>
      <c r="D7" s="834"/>
      <c r="E7" s="336"/>
    </row>
    <row r="8" spans="1:12" ht="15.75">
      <c r="B8" s="16"/>
      <c r="C8" s="168"/>
    </row>
    <row r="9" spans="1:12" ht="15.75">
      <c r="B9" s="16"/>
      <c r="C9" s="6"/>
    </row>
    <row r="10" spans="1:12" ht="15.75">
      <c r="B10" s="16" t="s">
        <v>259</v>
      </c>
      <c r="C10" s="17"/>
    </row>
    <row r="11" spans="1:12" ht="15.75">
      <c r="B11" s="16"/>
      <c r="C11" s="17"/>
    </row>
    <row r="12" spans="1:12">
      <c r="B12" s="8"/>
      <c r="C12" s="8"/>
    </row>
    <row r="13" spans="1:12">
      <c r="B13" s="8"/>
      <c r="C13" s="8"/>
    </row>
    <row r="14" spans="1:12">
      <c r="B14" s="18"/>
      <c r="C14" s="20"/>
      <c r="E14" s="808"/>
      <c r="F14" s="607"/>
      <c r="G14" s="607"/>
      <c r="H14" s="607"/>
      <c r="I14" s="607"/>
      <c r="J14" s="607"/>
      <c r="K14" s="607"/>
      <c r="L14" s="607"/>
    </row>
    <row r="15" spans="1:12" ht="20.25">
      <c r="A15" s="447" t="s">
        <v>188</v>
      </c>
      <c r="B15" s="18"/>
      <c r="C15" s="21" t="s">
        <v>321</v>
      </c>
      <c r="E15" s="808"/>
      <c r="F15" s="607"/>
      <c r="G15" s="607"/>
      <c r="H15" s="461"/>
      <c r="I15" s="607"/>
      <c r="J15" s="607"/>
      <c r="K15" s="809"/>
      <c r="L15" s="607"/>
    </row>
    <row r="16" spans="1:12" ht="20.25">
      <c r="B16" s="18"/>
      <c r="C16" s="21"/>
      <c r="E16" s="808"/>
      <c r="F16" s="607"/>
      <c r="G16" s="607"/>
      <c r="H16" s="461"/>
      <c r="I16" s="607"/>
      <c r="J16" s="607"/>
      <c r="K16" s="809"/>
      <c r="L16" s="607"/>
    </row>
    <row r="17" spans="1:12">
      <c r="A17" s="444" t="s">
        <v>478</v>
      </c>
      <c r="B17" s="22" t="s">
        <v>393</v>
      </c>
      <c r="C17" s="756">
        <v>14098802.130000001</v>
      </c>
      <c r="E17" s="808"/>
      <c r="F17" s="607"/>
      <c r="G17" s="607"/>
      <c r="H17" s="810"/>
      <c r="I17" s="607"/>
      <c r="J17" s="607"/>
      <c r="K17" s="809"/>
      <c r="L17" s="607"/>
    </row>
    <row r="18" spans="1:12" ht="15.75">
      <c r="A18" s="444" t="s">
        <v>206</v>
      </c>
      <c r="B18" s="22" t="s">
        <v>169</v>
      </c>
      <c r="C18" s="721">
        <v>0</v>
      </c>
      <c r="E18" s="811"/>
      <c r="F18" s="607"/>
      <c r="G18" s="607"/>
      <c r="H18" s="607"/>
      <c r="I18" s="607"/>
      <c r="J18" s="607"/>
      <c r="K18" s="607"/>
      <c r="L18" s="607"/>
    </row>
    <row r="19" spans="1:12" ht="17.25">
      <c r="A19" s="444" t="s">
        <v>479</v>
      </c>
      <c r="B19" s="22" t="s">
        <v>170</v>
      </c>
      <c r="C19" s="722">
        <v>0</v>
      </c>
      <c r="E19" s="30"/>
      <c r="F19" s="30"/>
      <c r="G19" s="30"/>
      <c r="H19" s="30"/>
      <c r="I19" s="30"/>
      <c r="J19" s="30"/>
      <c r="K19" s="30"/>
      <c r="L19" s="30"/>
    </row>
    <row r="20" spans="1:12">
      <c r="A20" s="445"/>
      <c r="B20" s="23"/>
      <c r="C20" s="18"/>
      <c r="D20" s="18"/>
      <c r="E20" s="30"/>
      <c r="F20" s="30"/>
      <c r="G20" s="30"/>
      <c r="H20" s="30"/>
      <c r="I20" s="30"/>
      <c r="J20" s="30"/>
      <c r="K20" s="30"/>
      <c r="L20" s="30"/>
    </row>
    <row r="21" spans="1:12" ht="17.25" customHeight="1" thickBot="1">
      <c r="A21" s="444" t="s">
        <v>480</v>
      </c>
      <c r="B21" s="171" t="s">
        <v>439</v>
      </c>
      <c r="C21" s="700">
        <f>SUM(C17:C20)</f>
        <v>14098802.130000001</v>
      </c>
      <c r="E21" s="812"/>
      <c r="F21" s="808"/>
      <c r="G21" s="607"/>
      <c r="H21" s="607"/>
      <c r="I21" s="607"/>
      <c r="J21" s="607"/>
      <c r="K21" s="607"/>
      <c r="L21" s="607"/>
    </row>
    <row r="22" spans="1:12" ht="15.75" thickTop="1">
      <c r="B22" s="18"/>
      <c r="C22" s="378"/>
      <c r="E22" s="813"/>
      <c r="F22" s="808"/>
      <c r="G22" s="607"/>
      <c r="H22" s="607"/>
      <c r="I22" s="607"/>
      <c r="J22" s="607"/>
      <c r="K22" s="607"/>
      <c r="L22" s="607"/>
    </row>
    <row r="23" spans="1:12">
      <c r="B23" s="612" t="s">
        <v>390</v>
      </c>
      <c r="C23" s="606"/>
      <c r="D23" s="606"/>
      <c r="E23" s="808"/>
      <c r="F23" s="607"/>
      <c r="G23" s="607"/>
      <c r="H23" s="607"/>
      <c r="I23" s="607"/>
      <c r="J23" s="607"/>
      <c r="K23" s="607"/>
      <c r="L23" s="607"/>
    </row>
    <row r="24" spans="1:12" ht="29.25" customHeight="1">
      <c r="B24" s="839" t="s">
        <v>592</v>
      </c>
      <c r="C24" s="839"/>
      <c r="D24" s="839"/>
      <c r="E24"/>
      <c r="F24"/>
      <c r="G24"/>
      <c r="H24"/>
      <c r="I24"/>
      <c r="J24"/>
      <c r="K24"/>
      <c r="L24"/>
    </row>
    <row r="25" spans="1:12">
      <c r="B25" s="543" t="str">
        <f>CONCATENATE(" (2) To ",EKPC!J1,", page 4 of 5, Line 3")</f>
        <v xml:space="preserve"> (2) To Attachment H-24A, page 4 of 5, Line 3</v>
      </c>
      <c r="C25" s="543"/>
      <c r="E25"/>
      <c r="F25"/>
      <c r="G25"/>
      <c r="H25"/>
      <c r="I25"/>
      <c r="J25"/>
      <c r="K25"/>
      <c r="L25"/>
    </row>
    <row r="27" spans="1:12" ht="15.75">
      <c r="E27" s="380"/>
    </row>
  </sheetData>
  <mergeCells count="3">
    <mergeCell ref="B6:D6"/>
    <mergeCell ref="B7:D7"/>
    <mergeCell ref="B24:D24"/>
  </mergeCells>
  <pageMargins left="1" right="1" top="1" bottom="0.5" header="0.5" footer="0.5"/>
  <pageSetup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0" enableFormatConditionsCalculation="0">
    <tabColor rgb="FF00B050"/>
    <pageSetUpPr fitToPage="1"/>
  </sheetPr>
  <dimension ref="A1:X80"/>
  <sheetViews>
    <sheetView zoomScale="70" zoomScaleNormal="70" workbookViewId="0">
      <selection activeCell="I52" sqref="I52"/>
    </sheetView>
  </sheetViews>
  <sheetFormatPr defaultColWidth="7.109375" defaultRowHeight="15"/>
  <cols>
    <col min="1" max="1" width="7.109375" style="435"/>
    <col min="2" max="2" width="51.33203125" style="18" customWidth="1"/>
    <col min="3" max="3" width="18.88671875" style="18" customWidth="1"/>
    <col min="4" max="4" width="1.77734375" style="18" customWidth="1"/>
    <col min="5" max="5" width="24.88671875" style="18" customWidth="1"/>
    <col min="6" max="6" width="7.109375" style="18"/>
    <col min="7" max="7" width="8.44140625" style="18" bestFit="1" customWidth="1"/>
    <col min="8" max="8" width="10.21875" style="18" bestFit="1" customWidth="1"/>
    <col min="9" max="9" width="13.44140625" style="299" bestFit="1" customWidth="1"/>
    <col min="10" max="10" width="7.109375" style="18"/>
    <col min="11" max="11" width="2.5546875" style="150" customWidth="1"/>
    <col min="12" max="12" width="14.5546875" style="82" bestFit="1" customWidth="1"/>
    <col min="13" max="13" width="7.109375" style="82"/>
    <col min="14" max="14" width="15.21875" style="82" customWidth="1"/>
    <col min="15" max="15" width="14.6640625" style="82" customWidth="1"/>
    <col min="16" max="24" width="7.109375" style="82"/>
    <col min="25" max="16384" width="7.109375" style="18"/>
  </cols>
  <sheetData>
    <row r="1" spans="1:24" s="8" customFormat="1">
      <c r="A1" s="434"/>
      <c r="B1" s="1"/>
      <c r="C1" s="1"/>
      <c r="D1" s="1"/>
      <c r="E1" s="1"/>
      <c r="F1" s="337" t="str">
        <f>EKPC!J1</f>
        <v>Attachment H-24A</v>
      </c>
      <c r="I1" s="299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34"/>
      <c r="B2" s="1"/>
      <c r="C2" s="1"/>
      <c r="D2" s="1"/>
      <c r="E2" s="1"/>
      <c r="F2" s="168" t="s">
        <v>546</v>
      </c>
      <c r="I2" s="299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34"/>
      <c r="B3"/>
      <c r="C3"/>
      <c r="D3" s="17"/>
      <c r="E3" s="17"/>
      <c r="F3" s="168" t="s">
        <v>376</v>
      </c>
      <c r="I3" s="299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8">
      <c r="A4" s="434"/>
      <c r="B4" s="25"/>
      <c r="C4" s="25"/>
      <c r="D4" s="17"/>
      <c r="E4" s="17"/>
      <c r="F4" s="168" t="str">
        <f>EKPC!$J$124</f>
        <v>For the 12 months ended 12/31/2013</v>
      </c>
      <c r="I4" s="299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8">
      <c r="A5" s="434"/>
      <c r="B5" s="25"/>
      <c r="C5" s="25"/>
      <c r="D5" s="17"/>
      <c r="E5" s="17"/>
      <c r="F5" s="168"/>
      <c r="I5" s="299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75">
      <c r="A6" s="434"/>
      <c r="B6" s="834" t="str">
        <f>EKPC!A11</f>
        <v>East Kentucky Power Cooperative, Inc.</v>
      </c>
      <c r="C6" s="834"/>
      <c r="D6" s="834"/>
      <c r="E6" s="834"/>
      <c r="F6" s="834"/>
      <c r="I6" s="299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75">
      <c r="A7" s="434"/>
      <c r="B7" s="834" t="str">
        <f>EKPC!A9</f>
        <v>Utilizing EKPC 2013 Form FF1 Data</v>
      </c>
      <c r="C7" s="834"/>
      <c r="D7" s="834"/>
      <c r="E7" s="834"/>
      <c r="F7" s="834"/>
      <c r="I7" s="299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75">
      <c r="A8" s="434"/>
      <c r="B8" s="16"/>
      <c r="C8" s="16"/>
      <c r="D8" s="16"/>
      <c r="E8" s="168"/>
      <c r="I8" s="299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75">
      <c r="A9" s="434"/>
      <c r="B9" s="16"/>
      <c r="C9" s="16"/>
      <c r="D9" s="16"/>
      <c r="E9" s="168"/>
      <c r="I9" s="299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75">
      <c r="A10" s="434"/>
      <c r="B10" s="16" t="s">
        <v>526</v>
      </c>
      <c r="C10" s="16"/>
      <c r="D10" s="16"/>
      <c r="E10" s="17"/>
      <c r="I10" s="299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75">
      <c r="B12" s="19"/>
      <c r="C12" s="19"/>
      <c r="D12" s="19"/>
    </row>
    <row r="13" spans="1:24" ht="20.25">
      <c r="A13" s="437"/>
      <c r="E13" s="79" t="s">
        <v>112</v>
      </c>
      <c r="F13" s="152"/>
      <c r="G13" s="152"/>
      <c r="H13" s="152"/>
      <c r="J13" s="153"/>
    </row>
    <row r="14" spans="1:24" ht="20.25">
      <c r="A14" s="448" t="s">
        <v>188</v>
      </c>
      <c r="E14" s="21" t="s">
        <v>321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38">
        <v>1</v>
      </c>
      <c r="B15" s="551" t="s">
        <v>522</v>
      </c>
      <c r="C15" s="423"/>
      <c r="D15" s="155"/>
      <c r="E15" s="754">
        <v>903242697</v>
      </c>
      <c r="G15" s="574"/>
      <c r="H15" s="574"/>
      <c r="I15" s="350"/>
      <c r="J15" s="350"/>
      <c r="K15"/>
      <c r="L15" s="567"/>
      <c r="M15" s="574"/>
      <c r="N15" s="574"/>
      <c r="O15" s="574"/>
      <c r="P15" s="574"/>
      <c r="Q15" s="574"/>
      <c r="R15"/>
    </row>
    <row r="16" spans="1:24">
      <c r="A16" s="438"/>
      <c r="B16" s="298"/>
      <c r="G16" s="574"/>
      <c r="H16" s="574"/>
      <c r="I16" s="350"/>
      <c r="J16" s="350"/>
      <c r="K16"/>
      <c r="L16"/>
      <c r="M16"/>
      <c r="N16"/>
      <c r="O16"/>
      <c r="P16"/>
      <c r="Q16"/>
      <c r="R16"/>
    </row>
    <row r="17" spans="1:18">
      <c r="A17" s="438">
        <v>2</v>
      </c>
      <c r="B17" s="298" t="s">
        <v>213</v>
      </c>
      <c r="C17" s="438"/>
      <c r="E17" s="723">
        <v>0</v>
      </c>
      <c r="G17" s="574"/>
      <c r="H17" s="574"/>
      <c r="I17" s="350"/>
      <c r="J17" s="350"/>
      <c r="K17"/>
      <c r="L17"/>
      <c r="M17"/>
      <c r="N17"/>
      <c r="O17"/>
      <c r="P17"/>
      <c r="Q17"/>
      <c r="R17"/>
    </row>
    <row r="18" spans="1:18">
      <c r="A18" s="438"/>
      <c r="B18" s="298"/>
      <c r="C18" s="438"/>
      <c r="E18" s="82"/>
      <c r="G18" s="574"/>
      <c r="H18" s="574"/>
      <c r="I18" s="350"/>
      <c r="J18" s="350"/>
      <c r="K18"/>
      <c r="L18"/>
      <c r="M18"/>
      <c r="N18"/>
      <c r="O18"/>
      <c r="P18"/>
      <c r="Q18"/>
      <c r="R18"/>
    </row>
    <row r="19" spans="1:18">
      <c r="A19" s="438">
        <v>3</v>
      </c>
      <c r="B19" s="559" t="s">
        <v>482</v>
      </c>
      <c r="C19" s="439" t="s">
        <v>468</v>
      </c>
      <c r="E19" s="755">
        <v>130516</v>
      </c>
      <c r="G19" s="574"/>
      <c r="H19" s="574"/>
      <c r="I19" s="350"/>
      <c r="J19" s="350"/>
      <c r="K19"/>
      <c r="L19"/>
      <c r="M19"/>
      <c r="N19"/>
      <c r="O19"/>
      <c r="P19"/>
      <c r="Q19"/>
      <c r="R19"/>
    </row>
    <row r="20" spans="1:18">
      <c r="A20" s="438">
        <v>4</v>
      </c>
      <c r="B20" s="298" t="s">
        <v>316</v>
      </c>
      <c r="C20" s="438"/>
      <c r="E20" s="725">
        <v>1</v>
      </c>
      <c r="G20" s="574"/>
      <c r="H20" s="574"/>
      <c r="I20" s="350"/>
      <c r="J20" s="350"/>
      <c r="K20"/>
      <c r="L20"/>
      <c r="M20"/>
      <c r="N20"/>
      <c r="O20"/>
      <c r="P20"/>
      <c r="Q20"/>
      <c r="R20"/>
    </row>
    <row r="21" spans="1:18" ht="17.25">
      <c r="A21" s="438">
        <v>5</v>
      </c>
      <c r="B21" s="553" t="str">
        <f>CONCATENATE("  Revenue Credit Applicable to ", EKPC!J1)</f>
        <v xml:space="preserve">  Revenue Credit Applicable to Attachment H-24A</v>
      </c>
      <c r="C21" s="438"/>
      <c r="D21" s="156"/>
      <c r="E21" s="158">
        <f>ROUND(E19*E20,0)+E17</f>
        <v>130516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>
      <c r="A22" s="438"/>
      <c r="B22" s="298"/>
      <c r="C22" s="438"/>
      <c r="E22" s="170"/>
      <c r="G22"/>
      <c r="H22"/>
      <c r="I22"/>
      <c r="J22"/>
      <c r="K22"/>
      <c r="L22"/>
      <c r="M22"/>
      <c r="N22"/>
      <c r="O22"/>
      <c r="P22"/>
      <c r="Q22"/>
      <c r="R22"/>
    </row>
    <row r="23" spans="1:18">
      <c r="A23" s="438"/>
      <c r="B23" s="298"/>
      <c r="C23" s="438"/>
      <c r="E23" s="170"/>
      <c r="G23"/>
      <c r="H23"/>
      <c r="I23"/>
      <c r="J23"/>
      <c r="K23"/>
      <c r="L23"/>
      <c r="M23"/>
      <c r="N23"/>
      <c r="O23"/>
      <c r="P23"/>
      <c r="Q23"/>
      <c r="R23"/>
    </row>
    <row r="24" spans="1:18" ht="17.25">
      <c r="A24" s="438">
        <v>6</v>
      </c>
      <c r="B24" s="552" t="s">
        <v>485</v>
      </c>
      <c r="C24" s="440" t="s">
        <v>467</v>
      </c>
      <c r="E24" s="158">
        <f>E23+E21</f>
        <v>130516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>
      <c r="A25" s="438"/>
      <c r="C25" s="438"/>
      <c r="E25" s="170"/>
      <c r="G25"/>
      <c r="H25"/>
      <c r="I25"/>
      <c r="J25"/>
      <c r="K25"/>
      <c r="L25"/>
      <c r="M25"/>
      <c r="N25"/>
      <c r="O25"/>
      <c r="P25"/>
      <c r="Q25"/>
      <c r="R25"/>
    </row>
    <row r="26" spans="1:18" ht="15.75">
      <c r="A26" s="438"/>
      <c r="B26" s="19"/>
      <c r="C26" s="19"/>
      <c r="D26" s="19"/>
      <c r="E26" s="82"/>
      <c r="G26"/>
      <c r="H26"/>
      <c r="I26"/>
      <c r="J26"/>
      <c r="K26"/>
      <c r="L26"/>
      <c r="M26"/>
      <c r="N26"/>
      <c r="O26"/>
      <c r="P26"/>
      <c r="Q26"/>
      <c r="R26"/>
    </row>
    <row r="27" spans="1:18" ht="20.25">
      <c r="A27" s="438"/>
      <c r="C27" s="438"/>
      <c r="E27" s="79" t="s">
        <v>399</v>
      </c>
      <c r="F27" s="152"/>
      <c r="G27"/>
      <c r="H27"/>
      <c r="I27"/>
      <c r="J27"/>
      <c r="K27"/>
      <c r="L27"/>
      <c r="M27"/>
      <c r="N27"/>
      <c r="O27"/>
      <c r="P27"/>
      <c r="Q27"/>
      <c r="R27"/>
    </row>
    <row r="28" spans="1:18" ht="20.25">
      <c r="A28" s="438"/>
      <c r="C28" s="438"/>
      <c r="E28" s="80" t="s">
        <v>321</v>
      </c>
      <c r="F28" s="154"/>
      <c r="G28"/>
      <c r="H28"/>
      <c r="I28"/>
      <c r="J28"/>
      <c r="K28"/>
      <c r="L28"/>
      <c r="M28"/>
      <c r="N28"/>
      <c r="O28"/>
      <c r="P28"/>
      <c r="Q28"/>
      <c r="R28"/>
    </row>
    <row r="29" spans="1:18">
      <c r="A29" s="438">
        <v>7</v>
      </c>
      <c r="B29" s="176" t="s">
        <v>588</v>
      </c>
      <c r="C29" s="441" t="s">
        <v>470</v>
      </c>
      <c r="D29" s="22"/>
      <c r="E29" s="756">
        <v>16530231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ht="17.25">
      <c r="A30" s="438"/>
      <c r="B30" s="22" t="s">
        <v>252</v>
      </c>
      <c r="C30" s="440"/>
      <c r="D30" s="22"/>
      <c r="E30" s="158"/>
      <c r="G30"/>
      <c r="H30"/>
      <c r="I30"/>
      <c r="J30"/>
      <c r="K30"/>
      <c r="L30"/>
      <c r="M30"/>
      <c r="N30"/>
      <c r="O30"/>
      <c r="P30"/>
      <c r="Q30"/>
      <c r="R30"/>
    </row>
    <row r="31" spans="1:18">
      <c r="A31" s="438">
        <v>8</v>
      </c>
      <c r="B31" s="155" t="s">
        <v>586</v>
      </c>
      <c r="C31" s="440"/>
      <c r="D31" s="155"/>
      <c r="E31" s="755">
        <f>13618254+261584.3+19721+74678</f>
        <v>13974237.300000001</v>
      </c>
      <c r="G31" s="460"/>
      <c r="H31" s="574"/>
      <c r="I31" s="350"/>
      <c r="J31" s="350"/>
      <c r="K31" s="350"/>
      <c r="L31" s="350"/>
      <c r="M31" s="350"/>
      <c r="N31" s="350"/>
      <c r="O31" s="350"/>
      <c r="P31" s="350"/>
      <c r="Q31" s="350"/>
      <c r="R31"/>
    </row>
    <row r="32" spans="1:18" ht="15.75">
      <c r="A32" s="438">
        <v>9</v>
      </c>
      <c r="B32" s="155" t="s">
        <v>371</v>
      </c>
      <c r="C32" s="440"/>
      <c r="D32" s="155"/>
      <c r="E32" s="724">
        <v>0</v>
      </c>
      <c r="G32" s="574"/>
      <c r="H32" s="574"/>
      <c r="I32" s="350"/>
      <c r="J32" s="350"/>
      <c r="K32" s="350"/>
      <c r="L32" s="350"/>
      <c r="M32" s="350"/>
      <c r="N32" s="350"/>
      <c r="O32" s="350"/>
      <c r="P32" s="350"/>
      <c r="Q32" s="350"/>
      <c r="R32"/>
    </row>
    <row r="33" spans="1:18">
      <c r="A33" s="438">
        <v>10</v>
      </c>
      <c r="B33" s="155" t="s">
        <v>150</v>
      </c>
      <c r="C33" s="440"/>
      <c r="D33" s="155"/>
      <c r="E33" s="724">
        <v>0</v>
      </c>
      <c r="G33" s="574"/>
      <c r="H33" s="574"/>
      <c r="I33" s="350"/>
      <c r="J33" s="350"/>
      <c r="K33" s="350"/>
      <c r="L33" s="350"/>
      <c r="M33" s="350"/>
      <c r="N33" s="350"/>
      <c r="O33" s="350"/>
      <c r="P33" s="350"/>
      <c r="Q33" s="350"/>
      <c r="R33"/>
    </row>
    <row r="34" spans="1:18">
      <c r="A34" s="438">
        <v>11</v>
      </c>
      <c r="B34" s="155" t="s">
        <v>571</v>
      </c>
      <c r="C34" s="440"/>
      <c r="D34" s="155"/>
      <c r="E34" s="755">
        <f>109392+49182.96</f>
        <v>158574.96</v>
      </c>
      <c r="G34" s="460"/>
      <c r="H34" s="460"/>
      <c r="I34" s="460"/>
      <c r="J34" s="460"/>
      <c r="K34" s="460"/>
      <c r="L34" s="460"/>
      <c r="M34" s="460"/>
      <c r="N34" s="460"/>
      <c r="O34" s="460"/>
      <c r="P34" s="460"/>
      <c r="Q34" s="460"/>
      <c r="R34"/>
    </row>
    <row r="35" spans="1:18" ht="17.25">
      <c r="A35" s="438">
        <v>12</v>
      </c>
      <c r="B35" s="155" t="s">
        <v>572</v>
      </c>
      <c r="C35" s="440"/>
      <c r="D35" s="155"/>
      <c r="E35" s="770">
        <v>10109.61</v>
      </c>
      <c r="G35" s="460"/>
      <c r="H35" s="460"/>
      <c r="I35" s="460"/>
      <c r="J35" s="460"/>
      <c r="K35" s="460"/>
      <c r="L35" s="460"/>
      <c r="M35" s="460"/>
      <c r="N35" s="460"/>
      <c r="O35" s="460"/>
      <c r="P35" s="350"/>
      <c r="Q35" s="350"/>
      <c r="R35"/>
    </row>
    <row r="36" spans="1:18" ht="17.25">
      <c r="A36" s="438">
        <v>13</v>
      </c>
      <c r="B36" s="176" t="s">
        <v>373</v>
      </c>
      <c r="C36" s="441"/>
      <c r="D36" s="155"/>
      <c r="E36" s="158">
        <f>E29-SUM(E31:E35)</f>
        <v>2387309.129999999</v>
      </c>
      <c r="G36" s="574"/>
      <c r="H36" s="574"/>
      <c r="I36" s="350"/>
      <c r="J36" s="350"/>
      <c r="K36" s="350"/>
      <c r="L36" s="350"/>
      <c r="M36" s="350"/>
      <c r="N36" s="350"/>
      <c r="O36" s="350"/>
      <c r="P36" s="350"/>
      <c r="Q36" s="350"/>
      <c r="R36"/>
    </row>
    <row r="37" spans="1:18">
      <c r="A37" s="438"/>
      <c r="C37" s="438"/>
      <c r="D37" s="155"/>
      <c r="E37" s="82"/>
      <c r="G37" s="574"/>
      <c r="H37" s="574"/>
      <c r="I37" s="350"/>
      <c r="J37" s="350"/>
      <c r="K37" s="350"/>
      <c r="L37" s="350"/>
      <c r="M37" s="350"/>
      <c r="N37" s="350"/>
      <c r="O37" s="350"/>
      <c r="P37" s="350"/>
      <c r="Q37" s="350"/>
      <c r="R37"/>
    </row>
    <row r="38" spans="1:18" ht="17.25">
      <c r="A38" s="438">
        <v>14</v>
      </c>
      <c r="B38" s="82" t="s">
        <v>462</v>
      </c>
      <c r="C38" s="439"/>
      <c r="E38" s="771">
        <v>2025858.55</v>
      </c>
      <c r="G38" s="574"/>
      <c r="H38" s="574"/>
      <c r="I38" s="350"/>
      <c r="J38" s="350"/>
      <c r="K38" s="350"/>
      <c r="L38" s="350"/>
      <c r="M38" s="350"/>
      <c r="N38" s="350"/>
      <c r="O38" s="350"/>
      <c r="P38" s="350"/>
      <c r="Q38" s="350"/>
      <c r="R38"/>
    </row>
    <row r="39" spans="1:18">
      <c r="A39" s="438"/>
      <c r="C39" s="438"/>
      <c r="E39" s="82"/>
      <c r="G39"/>
      <c r="H39"/>
      <c r="I39"/>
      <c r="J39"/>
      <c r="K39"/>
      <c r="L39"/>
      <c r="M39"/>
      <c r="N39"/>
      <c r="O39"/>
      <c r="P39"/>
      <c r="Q39"/>
      <c r="R39"/>
    </row>
    <row r="40" spans="1:18" ht="17.25">
      <c r="A40" s="438">
        <v>15</v>
      </c>
      <c r="B40" s="155" t="s">
        <v>589</v>
      </c>
      <c r="C40" s="440"/>
      <c r="E40" s="158">
        <f>E36-E38</f>
        <v>361450.57999999891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>
      <c r="A41" s="438"/>
      <c r="C41" s="438"/>
      <c r="E41" s="82"/>
      <c r="H41" s="173"/>
      <c r="I41" s="300"/>
      <c r="J41" s="173"/>
    </row>
    <row r="42" spans="1:18">
      <c r="A42" s="438"/>
      <c r="C42" s="438"/>
      <c r="E42" s="82"/>
      <c r="H42" s="173"/>
      <c r="I42" s="300"/>
      <c r="J42" s="173"/>
    </row>
    <row r="43" spans="1:18" ht="15.75">
      <c r="A43" s="438"/>
      <c r="C43" s="438"/>
      <c r="E43" s="686" t="s">
        <v>398</v>
      </c>
      <c r="G43" s="82"/>
      <c r="H43" s="175"/>
      <c r="I43" s="461"/>
      <c r="J43" s="175"/>
      <c r="K43" s="157"/>
    </row>
    <row r="44" spans="1:18" ht="15.75">
      <c r="A44" s="438">
        <v>16</v>
      </c>
      <c r="B44" s="18" t="s">
        <v>607</v>
      </c>
      <c r="C44" s="438" t="s">
        <v>484</v>
      </c>
      <c r="E44" s="772">
        <v>185776.5</v>
      </c>
      <c r="G44" s="510"/>
      <c r="H44" s="175"/>
      <c r="I44" s="461"/>
      <c r="J44" s="175"/>
      <c r="K44" s="567"/>
    </row>
    <row r="45" spans="1:18" ht="15.75">
      <c r="A45" s="438"/>
      <c r="C45" s="438"/>
      <c r="E45" s="382"/>
      <c r="G45" s="82"/>
      <c r="H45" s="175"/>
      <c r="I45" s="461"/>
      <c r="J45" s="175"/>
      <c r="K45" s="567"/>
    </row>
    <row r="46" spans="1:18" ht="15.75">
      <c r="A46" s="438">
        <v>17</v>
      </c>
      <c r="B46" s="18" t="s">
        <v>483</v>
      </c>
      <c r="C46" s="438" t="s">
        <v>593</v>
      </c>
      <c r="E46" s="433">
        <f>E40-E44</f>
        <v>175674.07999999891</v>
      </c>
      <c r="G46" s="82"/>
      <c r="H46" s="82"/>
      <c r="I46" s="461"/>
      <c r="J46" s="175"/>
      <c r="K46" s="567"/>
    </row>
    <row r="47" spans="1:18" ht="15.75">
      <c r="E47" s="382"/>
      <c r="G47" s="82"/>
      <c r="H47" s="175"/>
      <c r="I47" s="461"/>
      <c r="J47" s="175"/>
      <c r="K47" s="567"/>
    </row>
    <row r="48" spans="1:18">
      <c r="G48" s="175"/>
      <c r="H48" s="82"/>
      <c r="I48" s="461"/>
      <c r="J48" s="175"/>
      <c r="K48" s="567"/>
    </row>
    <row r="49" spans="1:24">
      <c r="B49" s="379" t="s">
        <v>390</v>
      </c>
      <c r="C49" s="379"/>
      <c r="D49" s="155"/>
      <c r="F49" s="159"/>
      <c r="G49" s="175"/>
      <c r="H49" s="82"/>
      <c r="I49" s="301"/>
      <c r="J49" s="82"/>
      <c r="K49" s="567"/>
    </row>
    <row r="50" spans="1:24">
      <c r="B50" s="544" t="s">
        <v>606</v>
      </c>
      <c r="C50" s="544"/>
      <c r="D50" s="155"/>
      <c r="E50" s="173"/>
      <c r="F50" s="174"/>
      <c r="G50" s="175"/>
      <c r="H50" s="175"/>
      <c r="I50" s="461"/>
      <c r="J50" s="175"/>
      <c r="K50" s="565"/>
      <c r="L50" s="175"/>
      <c r="M50" s="175"/>
    </row>
    <row r="51" spans="1:24" s="173" customFormat="1">
      <c r="A51" s="436"/>
      <c r="B51" s="545" t="str">
        <f>CONCATENATE("(2) To ",EKPC!J1,", Page 4 of 5, line 34")</f>
        <v>(2) To Attachment H-24A, Page 4 of 5, line 34</v>
      </c>
      <c r="C51" s="545"/>
      <c r="D51" s="155"/>
      <c r="F51" s="174"/>
      <c r="G51" s="175"/>
      <c r="H51" s="175"/>
      <c r="I51" s="461"/>
      <c r="J51" s="175"/>
      <c r="K51" s="56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36"/>
      <c r="B52" s="840" t="s">
        <v>605</v>
      </c>
      <c r="C52" s="840"/>
      <c r="D52" s="840"/>
      <c r="E52" s="840"/>
      <c r="F52" s="174"/>
      <c r="G52" s="175"/>
      <c r="H52" s="175"/>
      <c r="I52" s="461"/>
      <c r="J52" s="175"/>
      <c r="K52" s="56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46" t="str">
        <f>CONCATENATE("(4) Revenue from AEP GFA Account 456101- to ",EKPC!J1,", Page 1 of 5, Line 4.")</f>
        <v>(4) Revenue from AEP GFA Account 456101- to Attachment H-24A, Page 1 of 5, Line 4.</v>
      </c>
      <c r="C53" s="546"/>
      <c r="D53" s="82"/>
      <c r="E53" s="80"/>
      <c r="F53" s="82"/>
      <c r="G53" s="82"/>
      <c r="H53" s="82"/>
      <c r="I53" s="301"/>
      <c r="J53" s="82"/>
      <c r="K53" s="157"/>
    </row>
    <row r="54" spans="1:24" ht="15.75">
      <c r="B54" s="547" t="str">
        <f>CONCATENATE("(5) To ",EKPC!J1,", Page 4 of 5, Line 35")</f>
        <v>(5) To Attachment H-24A, Page 4 of 5, Line 35</v>
      </c>
      <c r="C54" s="547"/>
      <c r="D54" s="184"/>
      <c r="E54" s="170"/>
      <c r="F54" s="82"/>
      <c r="G54" s="185"/>
      <c r="H54" s="82"/>
      <c r="I54" s="301"/>
      <c r="J54" s="82"/>
      <c r="K54" s="157"/>
    </row>
    <row r="55" spans="1:24" ht="15.75">
      <c r="B55" s="184"/>
      <c r="C55" s="184"/>
      <c r="D55" s="184"/>
      <c r="E55" s="170"/>
      <c r="F55" s="82"/>
      <c r="G55" s="185"/>
      <c r="H55" s="82"/>
      <c r="I55" s="301"/>
      <c r="J55" s="82"/>
      <c r="K55" s="157"/>
    </row>
    <row r="56" spans="1:24" ht="15.75">
      <c r="B56" s="184"/>
      <c r="C56" s="184"/>
      <c r="D56" s="184"/>
      <c r="E56" s="170"/>
      <c r="F56" s="82"/>
      <c r="G56" s="185"/>
      <c r="H56" s="82"/>
      <c r="I56" s="301"/>
      <c r="J56" s="82"/>
      <c r="K56" s="157"/>
    </row>
    <row r="57" spans="1:24" ht="15.75">
      <c r="B57" s="184"/>
      <c r="C57" s="184"/>
      <c r="D57" s="184"/>
      <c r="E57" s="170"/>
      <c r="F57" s="82"/>
      <c r="G57" s="185"/>
      <c r="H57" s="82"/>
      <c r="I57" s="301"/>
      <c r="J57" s="82"/>
      <c r="K57" s="157"/>
    </row>
    <row r="58" spans="1:24" ht="15.75">
      <c r="B58" s="184"/>
      <c r="C58" s="184"/>
      <c r="D58" s="184"/>
      <c r="E58" s="170"/>
      <c r="F58" s="82"/>
      <c r="G58" s="185"/>
      <c r="H58" s="82"/>
      <c r="I58" s="301"/>
      <c r="J58" s="82"/>
      <c r="K58" s="157"/>
    </row>
    <row r="59" spans="1:24" ht="15.75">
      <c r="B59" s="184"/>
      <c r="C59" s="184"/>
      <c r="D59" s="184"/>
      <c r="E59" s="170"/>
      <c r="F59" s="82"/>
      <c r="G59" s="185"/>
      <c r="H59" s="82"/>
      <c r="I59" s="301"/>
      <c r="J59" s="82"/>
      <c r="K59" s="157"/>
    </row>
    <row r="60" spans="1:24" ht="15.75">
      <c r="B60" s="184"/>
      <c r="C60" s="184"/>
      <c r="D60" s="184"/>
      <c r="E60" s="170"/>
      <c r="F60" s="82"/>
      <c r="G60" s="185"/>
      <c r="H60" s="82"/>
      <c r="I60" s="301"/>
      <c r="J60" s="82"/>
      <c r="K60" s="157"/>
    </row>
    <row r="61" spans="1:24" ht="15.75">
      <c r="B61" s="82"/>
      <c r="C61" s="82"/>
      <c r="D61" s="82"/>
      <c r="E61" s="186"/>
      <c r="F61" s="82"/>
      <c r="G61" s="185"/>
      <c r="H61" s="82"/>
      <c r="I61" s="301"/>
      <c r="J61" s="82"/>
      <c r="K61" s="157"/>
    </row>
    <row r="62" spans="1:24" ht="15.75">
      <c r="B62" s="187"/>
      <c r="C62" s="187"/>
      <c r="D62" s="184"/>
      <c r="E62" s="188"/>
      <c r="F62" s="82"/>
      <c r="G62" s="185"/>
      <c r="H62" s="82"/>
      <c r="I62" s="301"/>
      <c r="J62" s="82"/>
      <c r="K62" s="157"/>
    </row>
    <row r="63" spans="1:24" ht="15.75">
      <c r="B63" s="184"/>
      <c r="C63" s="184"/>
      <c r="D63" s="184"/>
      <c r="E63" s="186"/>
      <c r="F63" s="82"/>
      <c r="G63" s="185"/>
      <c r="H63" s="82"/>
      <c r="I63" s="301"/>
      <c r="J63" s="82"/>
      <c r="K63" s="157"/>
    </row>
    <row r="64" spans="1:24" ht="15.75">
      <c r="B64" s="184"/>
      <c r="C64" s="184"/>
      <c r="D64" s="184"/>
      <c r="E64" s="170"/>
      <c r="F64" s="82"/>
      <c r="G64" s="185"/>
      <c r="H64" s="82"/>
      <c r="I64" s="301"/>
      <c r="J64" s="82"/>
      <c r="K64" s="157"/>
    </row>
    <row r="65" spans="2:11" ht="17.25">
      <c r="B65" s="184"/>
      <c r="C65" s="184"/>
      <c r="D65" s="184"/>
      <c r="E65" s="172"/>
      <c r="F65" s="82"/>
      <c r="G65" s="185"/>
      <c r="H65" s="82"/>
      <c r="I65" s="301"/>
      <c r="J65" s="82"/>
      <c r="K65" s="157"/>
    </row>
    <row r="66" spans="2:11" ht="15.75">
      <c r="B66" s="184"/>
      <c r="C66" s="184"/>
      <c r="D66" s="184"/>
      <c r="E66" s="189"/>
      <c r="F66" s="82"/>
      <c r="G66" s="185"/>
      <c r="H66" s="82"/>
      <c r="I66" s="301"/>
      <c r="J66" s="82"/>
      <c r="K66" s="157"/>
    </row>
    <row r="67" spans="2:11" ht="15.75">
      <c r="B67" s="82"/>
      <c r="C67" s="82"/>
      <c r="D67" s="82"/>
      <c r="E67" s="189"/>
      <c r="F67" s="82"/>
      <c r="G67" s="185"/>
      <c r="H67" s="82"/>
      <c r="I67" s="301"/>
      <c r="J67" s="82"/>
      <c r="K67" s="157"/>
    </row>
    <row r="68" spans="2:11" ht="15.75">
      <c r="B68" s="82"/>
      <c r="C68" s="82"/>
      <c r="D68" s="82"/>
      <c r="E68" s="189"/>
      <c r="F68" s="82"/>
      <c r="G68" s="185"/>
      <c r="H68" s="82"/>
      <c r="I68" s="301"/>
      <c r="J68" s="82"/>
      <c r="K68" s="157"/>
    </row>
    <row r="69" spans="2:11" ht="15.75">
      <c r="B69" s="82"/>
      <c r="C69" s="82"/>
      <c r="D69" s="82"/>
      <c r="E69" s="189"/>
      <c r="F69" s="82"/>
      <c r="G69" s="185"/>
      <c r="H69" s="82"/>
      <c r="I69" s="301"/>
      <c r="J69" s="82"/>
      <c r="K69" s="157"/>
    </row>
    <row r="70" spans="2:11" ht="15.75">
      <c r="B70" s="184"/>
      <c r="C70" s="184"/>
      <c r="D70" s="184"/>
      <c r="E70" s="170"/>
      <c r="F70" s="82"/>
      <c r="G70" s="185"/>
      <c r="H70" s="82"/>
      <c r="I70" s="301"/>
      <c r="J70" s="82"/>
      <c r="K70" s="157"/>
    </row>
    <row r="71" spans="2:11" ht="15.75">
      <c r="B71" s="184"/>
      <c r="C71" s="184"/>
      <c r="D71" s="184"/>
      <c r="E71" s="170"/>
      <c r="F71" s="82"/>
      <c r="G71" s="185"/>
      <c r="H71" s="82"/>
      <c r="I71" s="301"/>
      <c r="J71" s="82"/>
      <c r="K71" s="157"/>
    </row>
    <row r="72" spans="2:11" ht="15.75">
      <c r="B72" s="184"/>
      <c r="C72" s="184"/>
      <c r="D72" s="184"/>
      <c r="E72" s="170"/>
      <c r="F72" s="82"/>
      <c r="G72" s="185"/>
      <c r="H72" s="82"/>
      <c r="I72" s="301"/>
      <c r="J72" s="82"/>
      <c r="K72" s="157"/>
    </row>
    <row r="73" spans="2:11" ht="15.75">
      <c r="B73" s="184"/>
      <c r="C73" s="184"/>
      <c r="D73" s="184"/>
      <c r="E73" s="170"/>
      <c r="F73" s="82"/>
      <c r="G73" s="185"/>
      <c r="H73" s="82"/>
      <c r="I73" s="301"/>
      <c r="J73" s="82"/>
      <c r="K73" s="157"/>
    </row>
    <row r="74" spans="2:11" ht="15.75">
      <c r="B74" s="184"/>
      <c r="C74" s="184"/>
      <c r="D74" s="184"/>
      <c r="E74" s="170"/>
      <c r="F74" s="82"/>
      <c r="G74" s="185"/>
      <c r="H74" s="82"/>
      <c r="I74" s="301"/>
      <c r="J74" s="82"/>
      <c r="K74" s="157"/>
    </row>
    <row r="75" spans="2:11" ht="15.75">
      <c r="B75" s="184"/>
      <c r="C75" s="184"/>
      <c r="D75" s="184"/>
      <c r="E75" s="170"/>
      <c r="F75" s="82"/>
      <c r="G75" s="185"/>
      <c r="H75" s="82"/>
      <c r="I75" s="301"/>
      <c r="J75" s="82"/>
      <c r="K75" s="157"/>
    </row>
    <row r="76" spans="2:11" ht="17.25">
      <c r="B76" s="184"/>
      <c r="C76" s="184"/>
      <c r="D76" s="184"/>
      <c r="E76" s="172"/>
      <c r="F76" s="82"/>
      <c r="G76" s="185"/>
      <c r="H76" s="82"/>
      <c r="I76" s="301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1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1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1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1"/>
      <c r="J80" s="82"/>
      <c r="K80" s="157"/>
    </row>
  </sheetData>
  <mergeCells count="3">
    <mergeCell ref="B6:F6"/>
    <mergeCell ref="B7:F7"/>
    <mergeCell ref="B52:E52"/>
  </mergeCells>
  <phoneticPr fontId="20" type="noConversion"/>
  <pageMargins left="1" right="1" top="1" bottom="1" header="0.5" footer="0.5"/>
  <pageSetup scale="6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5">
    <tabColor rgb="FF00B050"/>
    <pageSetUpPr fitToPage="1"/>
  </sheetPr>
  <dimension ref="A1:V48"/>
  <sheetViews>
    <sheetView zoomScale="70" zoomScaleNormal="70" workbookViewId="0">
      <selection activeCell="I28" sqref="I28"/>
    </sheetView>
  </sheetViews>
  <sheetFormatPr defaultRowHeight="14.25"/>
  <cols>
    <col min="1" max="1" width="7" style="89" customWidth="1"/>
    <col min="2" max="2" width="43.6640625" style="89" customWidth="1"/>
    <col min="3" max="3" width="17.33203125" style="89" bestFit="1" customWidth="1"/>
    <col min="4" max="4" width="8.33203125" style="90" customWidth="1"/>
    <col min="5" max="5" width="15" style="89" customWidth="1"/>
    <col min="6" max="6" width="13.5546875" style="89" customWidth="1"/>
    <col min="7" max="7" width="16.77734375" style="89" bestFit="1" customWidth="1"/>
    <col min="8" max="8" width="5.77734375" style="89" customWidth="1"/>
    <col min="9" max="9" width="11.77734375" style="89" customWidth="1"/>
    <col min="10" max="249" width="8.77734375" style="89"/>
    <col min="250" max="250" width="54.6640625" style="89" customWidth="1"/>
    <col min="251" max="251" width="13.77734375" style="89" customWidth="1"/>
    <col min="252" max="252" width="0" style="89" hidden="1" customWidth="1"/>
    <col min="253" max="253" width="6.6640625" style="89" customWidth="1"/>
    <col min="254" max="254" width="15" style="89" customWidth="1"/>
    <col min="255" max="255" width="3.6640625" style="89" bestFit="1" customWidth="1"/>
    <col min="256" max="256" width="15.44140625" style="89" bestFit="1" customWidth="1"/>
    <col min="257" max="257" width="3.77734375" style="89" customWidth="1"/>
    <col min="258" max="258" width="11.21875" style="89" bestFit="1" customWidth="1"/>
    <col min="259" max="259" width="3.6640625" style="89" customWidth="1"/>
    <col min="260" max="260" width="13.5546875" style="89" customWidth="1"/>
    <col min="261" max="261" width="1" style="89" customWidth="1"/>
    <col min="262" max="262" width="14.21875" style="89" bestFit="1" customWidth="1"/>
    <col min="263" max="263" width="3.33203125" style="89" customWidth="1"/>
    <col min="264" max="264" width="20.44140625" style="89" customWidth="1"/>
    <col min="265" max="505" width="8.77734375" style="89"/>
    <col min="506" max="506" width="54.6640625" style="89" customWidth="1"/>
    <col min="507" max="507" width="13.77734375" style="89" customWidth="1"/>
    <col min="508" max="508" width="0" style="89" hidden="1" customWidth="1"/>
    <col min="509" max="509" width="6.6640625" style="89" customWidth="1"/>
    <col min="510" max="510" width="15" style="89" customWidth="1"/>
    <col min="511" max="511" width="3.6640625" style="89" bestFit="1" customWidth="1"/>
    <col min="512" max="512" width="15.44140625" style="89" bestFit="1" customWidth="1"/>
    <col min="513" max="513" width="3.77734375" style="89" customWidth="1"/>
    <col min="514" max="514" width="11.21875" style="89" bestFit="1" customWidth="1"/>
    <col min="515" max="515" width="3.6640625" style="89" customWidth="1"/>
    <col min="516" max="516" width="13.5546875" style="89" customWidth="1"/>
    <col min="517" max="517" width="1" style="89" customWidth="1"/>
    <col min="518" max="518" width="14.21875" style="89" bestFit="1" customWidth="1"/>
    <col min="519" max="519" width="3.33203125" style="89" customWidth="1"/>
    <col min="520" max="520" width="20.44140625" style="89" customWidth="1"/>
    <col min="521" max="761" width="8.77734375" style="89"/>
    <col min="762" max="762" width="54.6640625" style="89" customWidth="1"/>
    <col min="763" max="763" width="13.77734375" style="89" customWidth="1"/>
    <col min="764" max="764" width="0" style="89" hidden="1" customWidth="1"/>
    <col min="765" max="765" width="6.6640625" style="89" customWidth="1"/>
    <col min="766" max="766" width="15" style="89" customWidth="1"/>
    <col min="767" max="767" width="3.6640625" style="89" bestFit="1" customWidth="1"/>
    <col min="768" max="768" width="15.44140625" style="89" bestFit="1" customWidth="1"/>
    <col min="769" max="769" width="3.77734375" style="89" customWidth="1"/>
    <col min="770" max="770" width="11.21875" style="89" bestFit="1" customWidth="1"/>
    <col min="771" max="771" width="3.6640625" style="89" customWidth="1"/>
    <col min="772" max="772" width="13.5546875" style="89" customWidth="1"/>
    <col min="773" max="773" width="1" style="89" customWidth="1"/>
    <col min="774" max="774" width="14.21875" style="89" bestFit="1" customWidth="1"/>
    <col min="775" max="775" width="3.33203125" style="89" customWidth="1"/>
    <col min="776" max="776" width="20.44140625" style="89" customWidth="1"/>
    <col min="777" max="1017" width="8.77734375" style="89"/>
    <col min="1018" max="1018" width="54.6640625" style="89" customWidth="1"/>
    <col min="1019" max="1019" width="13.77734375" style="89" customWidth="1"/>
    <col min="1020" max="1020" width="0" style="89" hidden="1" customWidth="1"/>
    <col min="1021" max="1021" width="6.6640625" style="89" customWidth="1"/>
    <col min="1022" max="1022" width="15" style="89" customWidth="1"/>
    <col min="1023" max="1023" width="3.6640625" style="89" bestFit="1" customWidth="1"/>
    <col min="1024" max="1024" width="15.44140625" style="89" bestFit="1" customWidth="1"/>
    <col min="1025" max="1025" width="3.77734375" style="89" customWidth="1"/>
    <col min="1026" max="1026" width="11.21875" style="89" bestFit="1" customWidth="1"/>
    <col min="1027" max="1027" width="3.6640625" style="89" customWidth="1"/>
    <col min="1028" max="1028" width="13.5546875" style="89" customWidth="1"/>
    <col min="1029" max="1029" width="1" style="89" customWidth="1"/>
    <col min="1030" max="1030" width="14.21875" style="89" bestFit="1" customWidth="1"/>
    <col min="1031" max="1031" width="3.33203125" style="89" customWidth="1"/>
    <col min="1032" max="1032" width="20.44140625" style="89" customWidth="1"/>
    <col min="1033" max="1273" width="8.77734375" style="89"/>
    <col min="1274" max="1274" width="54.6640625" style="89" customWidth="1"/>
    <col min="1275" max="1275" width="13.77734375" style="89" customWidth="1"/>
    <col min="1276" max="1276" width="0" style="89" hidden="1" customWidth="1"/>
    <col min="1277" max="1277" width="6.6640625" style="89" customWidth="1"/>
    <col min="1278" max="1278" width="15" style="89" customWidth="1"/>
    <col min="1279" max="1279" width="3.6640625" style="89" bestFit="1" customWidth="1"/>
    <col min="1280" max="1280" width="15.44140625" style="89" bestFit="1" customWidth="1"/>
    <col min="1281" max="1281" width="3.77734375" style="89" customWidth="1"/>
    <col min="1282" max="1282" width="11.21875" style="89" bestFit="1" customWidth="1"/>
    <col min="1283" max="1283" width="3.6640625" style="89" customWidth="1"/>
    <col min="1284" max="1284" width="13.5546875" style="89" customWidth="1"/>
    <col min="1285" max="1285" width="1" style="89" customWidth="1"/>
    <col min="1286" max="1286" width="14.21875" style="89" bestFit="1" customWidth="1"/>
    <col min="1287" max="1287" width="3.33203125" style="89" customWidth="1"/>
    <col min="1288" max="1288" width="20.44140625" style="89" customWidth="1"/>
    <col min="1289" max="1529" width="8.77734375" style="89"/>
    <col min="1530" max="1530" width="54.6640625" style="89" customWidth="1"/>
    <col min="1531" max="1531" width="13.77734375" style="89" customWidth="1"/>
    <col min="1532" max="1532" width="0" style="89" hidden="1" customWidth="1"/>
    <col min="1533" max="1533" width="6.6640625" style="89" customWidth="1"/>
    <col min="1534" max="1534" width="15" style="89" customWidth="1"/>
    <col min="1535" max="1535" width="3.6640625" style="89" bestFit="1" customWidth="1"/>
    <col min="1536" max="1536" width="15.44140625" style="89" bestFit="1" customWidth="1"/>
    <col min="1537" max="1537" width="3.77734375" style="89" customWidth="1"/>
    <col min="1538" max="1538" width="11.21875" style="89" bestFit="1" customWidth="1"/>
    <col min="1539" max="1539" width="3.6640625" style="89" customWidth="1"/>
    <col min="1540" max="1540" width="13.5546875" style="89" customWidth="1"/>
    <col min="1541" max="1541" width="1" style="89" customWidth="1"/>
    <col min="1542" max="1542" width="14.21875" style="89" bestFit="1" customWidth="1"/>
    <col min="1543" max="1543" width="3.33203125" style="89" customWidth="1"/>
    <col min="1544" max="1544" width="20.44140625" style="89" customWidth="1"/>
    <col min="1545" max="1785" width="8.77734375" style="89"/>
    <col min="1786" max="1786" width="54.6640625" style="89" customWidth="1"/>
    <col min="1787" max="1787" width="13.77734375" style="89" customWidth="1"/>
    <col min="1788" max="1788" width="0" style="89" hidden="1" customWidth="1"/>
    <col min="1789" max="1789" width="6.6640625" style="89" customWidth="1"/>
    <col min="1790" max="1790" width="15" style="89" customWidth="1"/>
    <col min="1791" max="1791" width="3.6640625" style="89" bestFit="1" customWidth="1"/>
    <col min="1792" max="1792" width="15.44140625" style="89" bestFit="1" customWidth="1"/>
    <col min="1793" max="1793" width="3.77734375" style="89" customWidth="1"/>
    <col min="1794" max="1794" width="11.21875" style="89" bestFit="1" customWidth="1"/>
    <col min="1795" max="1795" width="3.6640625" style="89" customWidth="1"/>
    <col min="1796" max="1796" width="13.5546875" style="89" customWidth="1"/>
    <col min="1797" max="1797" width="1" style="89" customWidth="1"/>
    <col min="1798" max="1798" width="14.21875" style="89" bestFit="1" customWidth="1"/>
    <col min="1799" max="1799" width="3.33203125" style="89" customWidth="1"/>
    <col min="1800" max="1800" width="20.44140625" style="89" customWidth="1"/>
    <col min="1801" max="2041" width="8.77734375" style="89"/>
    <col min="2042" max="2042" width="54.6640625" style="89" customWidth="1"/>
    <col min="2043" max="2043" width="13.77734375" style="89" customWidth="1"/>
    <col min="2044" max="2044" width="0" style="89" hidden="1" customWidth="1"/>
    <col min="2045" max="2045" width="6.6640625" style="89" customWidth="1"/>
    <col min="2046" max="2046" width="15" style="89" customWidth="1"/>
    <col min="2047" max="2047" width="3.6640625" style="89" bestFit="1" customWidth="1"/>
    <col min="2048" max="2048" width="15.44140625" style="89" bestFit="1" customWidth="1"/>
    <col min="2049" max="2049" width="3.77734375" style="89" customWidth="1"/>
    <col min="2050" max="2050" width="11.21875" style="89" bestFit="1" customWidth="1"/>
    <col min="2051" max="2051" width="3.6640625" style="89" customWidth="1"/>
    <col min="2052" max="2052" width="13.5546875" style="89" customWidth="1"/>
    <col min="2053" max="2053" width="1" style="89" customWidth="1"/>
    <col min="2054" max="2054" width="14.21875" style="89" bestFit="1" customWidth="1"/>
    <col min="2055" max="2055" width="3.33203125" style="89" customWidth="1"/>
    <col min="2056" max="2056" width="20.44140625" style="89" customWidth="1"/>
    <col min="2057" max="2297" width="8.77734375" style="89"/>
    <col min="2298" max="2298" width="54.6640625" style="89" customWidth="1"/>
    <col min="2299" max="2299" width="13.77734375" style="89" customWidth="1"/>
    <col min="2300" max="2300" width="0" style="89" hidden="1" customWidth="1"/>
    <col min="2301" max="2301" width="6.6640625" style="89" customWidth="1"/>
    <col min="2302" max="2302" width="15" style="89" customWidth="1"/>
    <col min="2303" max="2303" width="3.6640625" style="89" bestFit="1" customWidth="1"/>
    <col min="2304" max="2304" width="15.44140625" style="89" bestFit="1" customWidth="1"/>
    <col min="2305" max="2305" width="3.77734375" style="89" customWidth="1"/>
    <col min="2306" max="2306" width="11.21875" style="89" bestFit="1" customWidth="1"/>
    <col min="2307" max="2307" width="3.6640625" style="89" customWidth="1"/>
    <col min="2308" max="2308" width="13.5546875" style="89" customWidth="1"/>
    <col min="2309" max="2309" width="1" style="89" customWidth="1"/>
    <col min="2310" max="2310" width="14.21875" style="89" bestFit="1" customWidth="1"/>
    <col min="2311" max="2311" width="3.33203125" style="89" customWidth="1"/>
    <col min="2312" max="2312" width="20.44140625" style="89" customWidth="1"/>
    <col min="2313" max="2553" width="8.77734375" style="89"/>
    <col min="2554" max="2554" width="54.6640625" style="89" customWidth="1"/>
    <col min="2555" max="2555" width="13.77734375" style="89" customWidth="1"/>
    <col min="2556" max="2556" width="0" style="89" hidden="1" customWidth="1"/>
    <col min="2557" max="2557" width="6.6640625" style="89" customWidth="1"/>
    <col min="2558" max="2558" width="15" style="89" customWidth="1"/>
    <col min="2559" max="2559" width="3.6640625" style="89" bestFit="1" customWidth="1"/>
    <col min="2560" max="2560" width="15.44140625" style="89" bestFit="1" customWidth="1"/>
    <col min="2561" max="2561" width="3.77734375" style="89" customWidth="1"/>
    <col min="2562" max="2562" width="11.21875" style="89" bestFit="1" customWidth="1"/>
    <col min="2563" max="2563" width="3.6640625" style="89" customWidth="1"/>
    <col min="2564" max="2564" width="13.5546875" style="89" customWidth="1"/>
    <col min="2565" max="2565" width="1" style="89" customWidth="1"/>
    <col min="2566" max="2566" width="14.21875" style="89" bestFit="1" customWidth="1"/>
    <col min="2567" max="2567" width="3.33203125" style="89" customWidth="1"/>
    <col min="2568" max="2568" width="20.44140625" style="89" customWidth="1"/>
    <col min="2569" max="2809" width="8.77734375" style="89"/>
    <col min="2810" max="2810" width="54.6640625" style="89" customWidth="1"/>
    <col min="2811" max="2811" width="13.77734375" style="89" customWidth="1"/>
    <col min="2812" max="2812" width="0" style="89" hidden="1" customWidth="1"/>
    <col min="2813" max="2813" width="6.6640625" style="89" customWidth="1"/>
    <col min="2814" max="2814" width="15" style="89" customWidth="1"/>
    <col min="2815" max="2815" width="3.6640625" style="89" bestFit="1" customWidth="1"/>
    <col min="2816" max="2816" width="15.44140625" style="89" bestFit="1" customWidth="1"/>
    <col min="2817" max="2817" width="3.77734375" style="89" customWidth="1"/>
    <col min="2818" max="2818" width="11.21875" style="89" bestFit="1" customWidth="1"/>
    <col min="2819" max="2819" width="3.6640625" style="89" customWidth="1"/>
    <col min="2820" max="2820" width="13.5546875" style="89" customWidth="1"/>
    <col min="2821" max="2821" width="1" style="89" customWidth="1"/>
    <col min="2822" max="2822" width="14.21875" style="89" bestFit="1" customWidth="1"/>
    <col min="2823" max="2823" width="3.33203125" style="89" customWidth="1"/>
    <col min="2824" max="2824" width="20.44140625" style="89" customWidth="1"/>
    <col min="2825" max="3065" width="8.77734375" style="89"/>
    <col min="3066" max="3066" width="54.6640625" style="89" customWidth="1"/>
    <col min="3067" max="3067" width="13.77734375" style="89" customWidth="1"/>
    <col min="3068" max="3068" width="0" style="89" hidden="1" customWidth="1"/>
    <col min="3069" max="3069" width="6.6640625" style="89" customWidth="1"/>
    <col min="3070" max="3070" width="15" style="89" customWidth="1"/>
    <col min="3071" max="3071" width="3.6640625" style="89" bestFit="1" customWidth="1"/>
    <col min="3072" max="3072" width="15.44140625" style="89" bestFit="1" customWidth="1"/>
    <col min="3073" max="3073" width="3.77734375" style="89" customWidth="1"/>
    <col min="3074" max="3074" width="11.21875" style="89" bestFit="1" customWidth="1"/>
    <col min="3075" max="3075" width="3.6640625" style="89" customWidth="1"/>
    <col min="3076" max="3076" width="13.5546875" style="89" customWidth="1"/>
    <col min="3077" max="3077" width="1" style="89" customWidth="1"/>
    <col min="3078" max="3078" width="14.21875" style="89" bestFit="1" customWidth="1"/>
    <col min="3079" max="3079" width="3.33203125" style="89" customWidth="1"/>
    <col min="3080" max="3080" width="20.44140625" style="89" customWidth="1"/>
    <col min="3081" max="3321" width="8.77734375" style="89"/>
    <col min="3322" max="3322" width="54.6640625" style="89" customWidth="1"/>
    <col min="3323" max="3323" width="13.77734375" style="89" customWidth="1"/>
    <col min="3324" max="3324" width="0" style="89" hidden="1" customWidth="1"/>
    <col min="3325" max="3325" width="6.6640625" style="89" customWidth="1"/>
    <col min="3326" max="3326" width="15" style="89" customWidth="1"/>
    <col min="3327" max="3327" width="3.6640625" style="89" bestFit="1" customWidth="1"/>
    <col min="3328" max="3328" width="15.44140625" style="89" bestFit="1" customWidth="1"/>
    <col min="3329" max="3329" width="3.77734375" style="89" customWidth="1"/>
    <col min="3330" max="3330" width="11.21875" style="89" bestFit="1" customWidth="1"/>
    <col min="3331" max="3331" width="3.6640625" style="89" customWidth="1"/>
    <col min="3332" max="3332" width="13.5546875" style="89" customWidth="1"/>
    <col min="3333" max="3333" width="1" style="89" customWidth="1"/>
    <col min="3334" max="3334" width="14.21875" style="89" bestFit="1" customWidth="1"/>
    <col min="3335" max="3335" width="3.33203125" style="89" customWidth="1"/>
    <col min="3336" max="3336" width="20.44140625" style="89" customWidth="1"/>
    <col min="3337" max="3577" width="8.77734375" style="89"/>
    <col min="3578" max="3578" width="54.6640625" style="89" customWidth="1"/>
    <col min="3579" max="3579" width="13.77734375" style="89" customWidth="1"/>
    <col min="3580" max="3580" width="0" style="89" hidden="1" customWidth="1"/>
    <col min="3581" max="3581" width="6.6640625" style="89" customWidth="1"/>
    <col min="3582" max="3582" width="15" style="89" customWidth="1"/>
    <col min="3583" max="3583" width="3.6640625" style="89" bestFit="1" customWidth="1"/>
    <col min="3584" max="3584" width="15.44140625" style="89" bestFit="1" customWidth="1"/>
    <col min="3585" max="3585" width="3.77734375" style="89" customWidth="1"/>
    <col min="3586" max="3586" width="11.21875" style="89" bestFit="1" customWidth="1"/>
    <col min="3587" max="3587" width="3.6640625" style="89" customWidth="1"/>
    <col min="3588" max="3588" width="13.5546875" style="89" customWidth="1"/>
    <col min="3589" max="3589" width="1" style="89" customWidth="1"/>
    <col min="3590" max="3590" width="14.21875" style="89" bestFit="1" customWidth="1"/>
    <col min="3591" max="3591" width="3.33203125" style="89" customWidth="1"/>
    <col min="3592" max="3592" width="20.44140625" style="89" customWidth="1"/>
    <col min="3593" max="3833" width="8.77734375" style="89"/>
    <col min="3834" max="3834" width="54.6640625" style="89" customWidth="1"/>
    <col min="3835" max="3835" width="13.77734375" style="89" customWidth="1"/>
    <col min="3836" max="3836" width="0" style="89" hidden="1" customWidth="1"/>
    <col min="3837" max="3837" width="6.6640625" style="89" customWidth="1"/>
    <col min="3838" max="3838" width="15" style="89" customWidth="1"/>
    <col min="3839" max="3839" width="3.6640625" style="89" bestFit="1" customWidth="1"/>
    <col min="3840" max="3840" width="15.44140625" style="89" bestFit="1" customWidth="1"/>
    <col min="3841" max="3841" width="3.77734375" style="89" customWidth="1"/>
    <col min="3842" max="3842" width="11.21875" style="89" bestFit="1" customWidth="1"/>
    <col min="3843" max="3843" width="3.6640625" style="89" customWidth="1"/>
    <col min="3844" max="3844" width="13.5546875" style="89" customWidth="1"/>
    <col min="3845" max="3845" width="1" style="89" customWidth="1"/>
    <col min="3846" max="3846" width="14.21875" style="89" bestFit="1" customWidth="1"/>
    <col min="3847" max="3847" width="3.33203125" style="89" customWidth="1"/>
    <col min="3848" max="3848" width="20.44140625" style="89" customWidth="1"/>
    <col min="3849" max="4089" width="8.77734375" style="89"/>
    <col min="4090" max="4090" width="54.6640625" style="89" customWidth="1"/>
    <col min="4091" max="4091" width="13.77734375" style="89" customWidth="1"/>
    <col min="4092" max="4092" width="0" style="89" hidden="1" customWidth="1"/>
    <col min="4093" max="4093" width="6.6640625" style="89" customWidth="1"/>
    <col min="4094" max="4094" width="15" style="89" customWidth="1"/>
    <col min="4095" max="4095" width="3.6640625" style="89" bestFit="1" customWidth="1"/>
    <col min="4096" max="4096" width="15.44140625" style="89" bestFit="1" customWidth="1"/>
    <col min="4097" max="4097" width="3.77734375" style="89" customWidth="1"/>
    <col min="4098" max="4098" width="11.21875" style="89" bestFit="1" customWidth="1"/>
    <col min="4099" max="4099" width="3.6640625" style="89" customWidth="1"/>
    <col min="4100" max="4100" width="13.5546875" style="89" customWidth="1"/>
    <col min="4101" max="4101" width="1" style="89" customWidth="1"/>
    <col min="4102" max="4102" width="14.21875" style="89" bestFit="1" customWidth="1"/>
    <col min="4103" max="4103" width="3.33203125" style="89" customWidth="1"/>
    <col min="4104" max="4104" width="20.44140625" style="89" customWidth="1"/>
    <col min="4105" max="4345" width="8.77734375" style="89"/>
    <col min="4346" max="4346" width="54.6640625" style="89" customWidth="1"/>
    <col min="4347" max="4347" width="13.77734375" style="89" customWidth="1"/>
    <col min="4348" max="4348" width="0" style="89" hidden="1" customWidth="1"/>
    <col min="4349" max="4349" width="6.6640625" style="89" customWidth="1"/>
    <col min="4350" max="4350" width="15" style="89" customWidth="1"/>
    <col min="4351" max="4351" width="3.6640625" style="89" bestFit="1" customWidth="1"/>
    <col min="4352" max="4352" width="15.44140625" style="89" bestFit="1" customWidth="1"/>
    <col min="4353" max="4353" width="3.77734375" style="89" customWidth="1"/>
    <col min="4354" max="4354" width="11.21875" style="89" bestFit="1" customWidth="1"/>
    <col min="4355" max="4355" width="3.6640625" style="89" customWidth="1"/>
    <col min="4356" max="4356" width="13.5546875" style="89" customWidth="1"/>
    <col min="4357" max="4357" width="1" style="89" customWidth="1"/>
    <col min="4358" max="4358" width="14.21875" style="89" bestFit="1" customWidth="1"/>
    <col min="4359" max="4359" width="3.33203125" style="89" customWidth="1"/>
    <col min="4360" max="4360" width="20.44140625" style="89" customWidth="1"/>
    <col min="4361" max="4601" width="8.77734375" style="89"/>
    <col min="4602" max="4602" width="54.6640625" style="89" customWidth="1"/>
    <col min="4603" max="4603" width="13.77734375" style="89" customWidth="1"/>
    <col min="4604" max="4604" width="0" style="89" hidden="1" customWidth="1"/>
    <col min="4605" max="4605" width="6.6640625" style="89" customWidth="1"/>
    <col min="4606" max="4606" width="15" style="89" customWidth="1"/>
    <col min="4607" max="4607" width="3.6640625" style="89" bestFit="1" customWidth="1"/>
    <col min="4608" max="4608" width="15.44140625" style="89" bestFit="1" customWidth="1"/>
    <col min="4609" max="4609" width="3.77734375" style="89" customWidth="1"/>
    <col min="4610" max="4610" width="11.21875" style="89" bestFit="1" customWidth="1"/>
    <col min="4611" max="4611" width="3.6640625" style="89" customWidth="1"/>
    <col min="4612" max="4612" width="13.5546875" style="89" customWidth="1"/>
    <col min="4613" max="4613" width="1" style="89" customWidth="1"/>
    <col min="4614" max="4614" width="14.21875" style="89" bestFit="1" customWidth="1"/>
    <col min="4615" max="4615" width="3.33203125" style="89" customWidth="1"/>
    <col min="4616" max="4616" width="20.44140625" style="89" customWidth="1"/>
    <col min="4617" max="4857" width="8.77734375" style="89"/>
    <col min="4858" max="4858" width="54.6640625" style="89" customWidth="1"/>
    <col min="4859" max="4859" width="13.77734375" style="89" customWidth="1"/>
    <col min="4860" max="4860" width="0" style="89" hidden="1" customWidth="1"/>
    <col min="4861" max="4861" width="6.6640625" style="89" customWidth="1"/>
    <col min="4862" max="4862" width="15" style="89" customWidth="1"/>
    <col min="4863" max="4863" width="3.6640625" style="89" bestFit="1" customWidth="1"/>
    <col min="4864" max="4864" width="15.44140625" style="89" bestFit="1" customWidth="1"/>
    <col min="4865" max="4865" width="3.77734375" style="89" customWidth="1"/>
    <col min="4866" max="4866" width="11.21875" style="89" bestFit="1" customWidth="1"/>
    <col min="4867" max="4867" width="3.6640625" style="89" customWidth="1"/>
    <col min="4868" max="4868" width="13.5546875" style="89" customWidth="1"/>
    <col min="4869" max="4869" width="1" style="89" customWidth="1"/>
    <col min="4870" max="4870" width="14.21875" style="89" bestFit="1" customWidth="1"/>
    <col min="4871" max="4871" width="3.33203125" style="89" customWidth="1"/>
    <col min="4872" max="4872" width="20.44140625" style="89" customWidth="1"/>
    <col min="4873" max="5113" width="8.77734375" style="89"/>
    <col min="5114" max="5114" width="54.6640625" style="89" customWidth="1"/>
    <col min="5115" max="5115" width="13.77734375" style="89" customWidth="1"/>
    <col min="5116" max="5116" width="0" style="89" hidden="1" customWidth="1"/>
    <col min="5117" max="5117" width="6.6640625" style="89" customWidth="1"/>
    <col min="5118" max="5118" width="15" style="89" customWidth="1"/>
    <col min="5119" max="5119" width="3.6640625" style="89" bestFit="1" customWidth="1"/>
    <col min="5120" max="5120" width="15.44140625" style="89" bestFit="1" customWidth="1"/>
    <col min="5121" max="5121" width="3.77734375" style="89" customWidth="1"/>
    <col min="5122" max="5122" width="11.21875" style="89" bestFit="1" customWidth="1"/>
    <col min="5123" max="5123" width="3.6640625" style="89" customWidth="1"/>
    <col min="5124" max="5124" width="13.5546875" style="89" customWidth="1"/>
    <col min="5125" max="5125" width="1" style="89" customWidth="1"/>
    <col min="5126" max="5126" width="14.21875" style="89" bestFit="1" customWidth="1"/>
    <col min="5127" max="5127" width="3.33203125" style="89" customWidth="1"/>
    <col min="5128" max="5128" width="20.44140625" style="89" customWidth="1"/>
    <col min="5129" max="5369" width="8.77734375" style="89"/>
    <col min="5370" max="5370" width="54.6640625" style="89" customWidth="1"/>
    <col min="5371" max="5371" width="13.77734375" style="89" customWidth="1"/>
    <col min="5372" max="5372" width="0" style="89" hidden="1" customWidth="1"/>
    <col min="5373" max="5373" width="6.6640625" style="89" customWidth="1"/>
    <col min="5374" max="5374" width="15" style="89" customWidth="1"/>
    <col min="5375" max="5375" width="3.6640625" style="89" bestFit="1" customWidth="1"/>
    <col min="5376" max="5376" width="15.44140625" style="89" bestFit="1" customWidth="1"/>
    <col min="5377" max="5377" width="3.77734375" style="89" customWidth="1"/>
    <col min="5378" max="5378" width="11.21875" style="89" bestFit="1" customWidth="1"/>
    <col min="5379" max="5379" width="3.6640625" style="89" customWidth="1"/>
    <col min="5380" max="5380" width="13.5546875" style="89" customWidth="1"/>
    <col min="5381" max="5381" width="1" style="89" customWidth="1"/>
    <col min="5382" max="5382" width="14.21875" style="89" bestFit="1" customWidth="1"/>
    <col min="5383" max="5383" width="3.33203125" style="89" customWidth="1"/>
    <col min="5384" max="5384" width="20.44140625" style="89" customWidth="1"/>
    <col min="5385" max="5625" width="8.77734375" style="89"/>
    <col min="5626" max="5626" width="54.6640625" style="89" customWidth="1"/>
    <col min="5627" max="5627" width="13.77734375" style="89" customWidth="1"/>
    <col min="5628" max="5628" width="0" style="89" hidden="1" customWidth="1"/>
    <col min="5629" max="5629" width="6.6640625" style="89" customWidth="1"/>
    <col min="5630" max="5630" width="15" style="89" customWidth="1"/>
    <col min="5631" max="5631" width="3.6640625" style="89" bestFit="1" customWidth="1"/>
    <col min="5632" max="5632" width="15.44140625" style="89" bestFit="1" customWidth="1"/>
    <col min="5633" max="5633" width="3.77734375" style="89" customWidth="1"/>
    <col min="5634" max="5634" width="11.21875" style="89" bestFit="1" customWidth="1"/>
    <col min="5635" max="5635" width="3.6640625" style="89" customWidth="1"/>
    <col min="5636" max="5636" width="13.5546875" style="89" customWidth="1"/>
    <col min="5637" max="5637" width="1" style="89" customWidth="1"/>
    <col min="5638" max="5638" width="14.21875" style="89" bestFit="1" customWidth="1"/>
    <col min="5639" max="5639" width="3.33203125" style="89" customWidth="1"/>
    <col min="5640" max="5640" width="20.44140625" style="89" customWidth="1"/>
    <col min="5641" max="5881" width="8.77734375" style="89"/>
    <col min="5882" max="5882" width="54.6640625" style="89" customWidth="1"/>
    <col min="5883" max="5883" width="13.77734375" style="89" customWidth="1"/>
    <col min="5884" max="5884" width="0" style="89" hidden="1" customWidth="1"/>
    <col min="5885" max="5885" width="6.6640625" style="89" customWidth="1"/>
    <col min="5886" max="5886" width="15" style="89" customWidth="1"/>
    <col min="5887" max="5887" width="3.6640625" style="89" bestFit="1" customWidth="1"/>
    <col min="5888" max="5888" width="15.44140625" style="89" bestFit="1" customWidth="1"/>
    <col min="5889" max="5889" width="3.77734375" style="89" customWidth="1"/>
    <col min="5890" max="5890" width="11.21875" style="89" bestFit="1" customWidth="1"/>
    <col min="5891" max="5891" width="3.6640625" style="89" customWidth="1"/>
    <col min="5892" max="5892" width="13.5546875" style="89" customWidth="1"/>
    <col min="5893" max="5893" width="1" style="89" customWidth="1"/>
    <col min="5894" max="5894" width="14.21875" style="89" bestFit="1" customWidth="1"/>
    <col min="5895" max="5895" width="3.33203125" style="89" customWidth="1"/>
    <col min="5896" max="5896" width="20.44140625" style="89" customWidth="1"/>
    <col min="5897" max="6137" width="8.77734375" style="89"/>
    <col min="6138" max="6138" width="54.6640625" style="89" customWidth="1"/>
    <col min="6139" max="6139" width="13.77734375" style="89" customWidth="1"/>
    <col min="6140" max="6140" width="0" style="89" hidden="1" customWidth="1"/>
    <col min="6141" max="6141" width="6.6640625" style="89" customWidth="1"/>
    <col min="6142" max="6142" width="15" style="89" customWidth="1"/>
    <col min="6143" max="6143" width="3.6640625" style="89" bestFit="1" customWidth="1"/>
    <col min="6144" max="6144" width="15.44140625" style="89" bestFit="1" customWidth="1"/>
    <col min="6145" max="6145" width="3.77734375" style="89" customWidth="1"/>
    <col min="6146" max="6146" width="11.21875" style="89" bestFit="1" customWidth="1"/>
    <col min="6147" max="6147" width="3.6640625" style="89" customWidth="1"/>
    <col min="6148" max="6148" width="13.5546875" style="89" customWidth="1"/>
    <col min="6149" max="6149" width="1" style="89" customWidth="1"/>
    <col min="6150" max="6150" width="14.21875" style="89" bestFit="1" customWidth="1"/>
    <col min="6151" max="6151" width="3.33203125" style="89" customWidth="1"/>
    <col min="6152" max="6152" width="20.44140625" style="89" customWidth="1"/>
    <col min="6153" max="6393" width="8.77734375" style="89"/>
    <col min="6394" max="6394" width="54.6640625" style="89" customWidth="1"/>
    <col min="6395" max="6395" width="13.77734375" style="89" customWidth="1"/>
    <col min="6396" max="6396" width="0" style="89" hidden="1" customWidth="1"/>
    <col min="6397" max="6397" width="6.6640625" style="89" customWidth="1"/>
    <col min="6398" max="6398" width="15" style="89" customWidth="1"/>
    <col min="6399" max="6399" width="3.6640625" style="89" bestFit="1" customWidth="1"/>
    <col min="6400" max="6400" width="15.44140625" style="89" bestFit="1" customWidth="1"/>
    <col min="6401" max="6401" width="3.77734375" style="89" customWidth="1"/>
    <col min="6402" max="6402" width="11.21875" style="89" bestFit="1" customWidth="1"/>
    <col min="6403" max="6403" width="3.6640625" style="89" customWidth="1"/>
    <col min="6404" max="6404" width="13.5546875" style="89" customWidth="1"/>
    <col min="6405" max="6405" width="1" style="89" customWidth="1"/>
    <col min="6406" max="6406" width="14.21875" style="89" bestFit="1" customWidth="1"/>
    <col min="6407" max="6407" width="3.33203125" style="89" customWidth="1"/>
    <col min="6408" max="6408" width="20.44140625" style="89" customWidth="1"/>
    <col min="6409" max="6649" width="8.77734375" style="89"/>
    <col min="6650" max="6650" width="54.6640625" style="89" customWidth="1"/>
    <col min="6651" max="6651" width="13.77734375" style="89" customWidth="1"/>
    <col min="6652" max="6652" width="0" style="89" hidden="1" customWidth="1"/>
    <col min="6653" max="6653" width="6.6640625" style="89" customWidth="1"/>
    <col min="6654" max="6654" width="15" style="89" customWidth="1"/>
    <col min="6655" max="6655" width="3.6640625" style="89" bestFit="1" customWidth="1"/>
    <col min="6656" max="6656" width="15.44140625" style="89" bestFit="1" customWidth="1"/>
    <col min="6657" max="6657" width="3.77734375" style="89" customWidth="1"/>
    <col min="6658" max="6658" width="11.21875" style="89" bestFit="1" customWidth="1"/>
    <col min="6659" max="6659" width="3.6640625" style="89" customWidth="1"/>
    <col min="6660" max="6660" width="13.5546875" style="89" customWidth="1"/>
    <col min="6661" max="6661" width="1" style="89" customWidth="1"/>
    <col min="6662" max="6662" width="14.21875" style="89" bestFit="1" customWidth="1"/>
    <col min="6663" max="6663" width="3.33203125" style="89" customWidth="1"/>
    <col min="6664" max="6664" width="20.44140625" style="89" customWidth="1"/>
    <col min="6665" max="6905" width="8.77734375" style="89"/>
    <col min="6906" max="6906" width="54.6640625" style="89" customWidth="1"/>
    <col min="6907" max="6907" width="13.77734375" style="89" customWidth="1"/>
    <col min="6908" max="6908" width="0" style="89" hidden="1" customWidth="1"/>
    <col min="6909" max="6909" width="6.6640625" style="89" customWidth="1"/>
    <col min="6910" max="6910" width="15" style="89" customWidth="1"/>
    <col min="6911" max="6911" width="3.6640625" style="89" bestFit="1" customWidth="1"/>
    <col min="6912" max="6912" width="15.44140625" style="89" bestFit="1" customWidth="1"/>
    <col min="6913" max="6913" width="3.77734375" style="89" customWidth="1"/>
    <col min="6914" max="6914" width="11.21875" style="89" bestFit="1" customWidth="1"/>
    <col min="6915" max="6915" width="3.6640625" style="89" customWidth="1"/>
    <col min="6916" max="6916" width="13.5546875" style="89" customWidth="1"/>
    <col min="6917" max="6917" width="1" style="89" customWidth="1"/>
    <col min="6918" max="6918" width="14.21875" style="89" bestFit="1" customWidth="1"/>
    <col min="6919" max="6919" width="3.33203125" style="89" customWidth="1"/>
    <col min="6920" max="6920" width="20.44140625" style="89" customWidth="1"/>
    <col min="6921" max="7161" width="8.77734375" style="89"/>
    <col min="7162" max="7162" width="54.6640625" style="89" customWidth="1"/>
    <col min="7163" max="7163" width="13.77734375" style="89" customWidth="1"/>
    <col min="7164" max="7164" width="0" style="89" hidden="1" customWidth="1"/>
    <col min="7165" max="7165" width="6.6640625" style="89" customWidth="1"/>
    <col min="7166" max="7166" width="15" style="89" customWidth="1"/>
    <col min="7167" max="7167" width="3.6640625" style="89" bestFit="1" customWidth="1"/>
    <col min="7168" max="7168" width="15.44140625" style="89" bestFit="1" customWidth="1"/>
    <col min="7169" max="7169" width="3.77734375" style="89" customWidth="1"/>
    <col min="7170" max="7170" width="11.21875" style="89" bestFit="1" customWidth="1"/>
    <col min="7171" max="7171" width="3.6640625" style="89" customWidth="1"/>
    <col min="7172" max="7172" width="13.5546875" style="89" customWidth="1"/>
    <col min="7173" max="7173" width="1" style="89" customWidth="1"/>
    <col min="7174" max="7174" width="14.21875" style="89" bestFit="1" customWidth="1"/>
    <col min="7175" max="7175" width="3.33203125" style="89" customWidth="1"/>
    <col min="7176" max="7176" width="20.44140625" style="89" customWidth="1"/>
    <col min="7177" max="7417" width="8.77734375" style="89"/>
    <col min="7418" max="7418" width="54.6640625" style="89" customWidth="1"/>
    <col min="7419" max="7419" width="13.77734375" style="89" customWidth="1"/>
    <col min="7420" max="7420" width="0" style="89" hidden="1" customWidth="1"/>
    <col min="7421" max="7421" width="6.6640625" style="89" customWidth="1"/>
    <col min="7422" max="7422" width="15" style="89" customWidth="1"/>
    <col min="7423" max="7423" width="3.6640625" style="89" bestFit="1" customWidth="1"/>
    <col min="7424" max="7424" width="15.44140625" style="89" bestFit="1" customWidth="1"/>
    <col min="7425" max="7425" width="3.77734375" style="89" customWidth="1"/>
    <col min="7426" max="7426" width="11.21875" style="89" bestFit="1" customWidth="1"/>
    <col min="7427" max="7427" width="3.6640625" style="89" customWidth="1"/>
    <col min="7428" max="7428" width="13.5546875" style="89" customWidth="1"/>
    <col min="7429" max="7429" width="1" style="89" customWidth="1"/>
    <col min="7430" max="7430" width="14.21875" style="89" bestFit="1" customWidth="1"/>
    <col min="7431" max="7431" width="3.33203125" style="89" customWidth="1"/>
    <col min="7432" max="7432" width="20.44140625" style="89" customWidth="1"/>
    <col min="7433" max="7673" width="8.77734375" style="89"/>
    <col min="7674" max="7674" width="54.6640625" style="89" customWidth="1"/>
    <col min="7675" max="7675" width="13.77734375" style="89" customWidth="1"/>
    <col min="7676" max="7676" width="0" style="89" hidden="1" customWidth="1"/>
    <col min="7677" max="7677" width="6.6640625" style="89" customWidth="1"/>
    <col min="7678" max="7678" width="15" style="89" customWidth="1"/>
    <col min="7679" max="7679" width="3.6640625" style="89" bestFit="1" customWidth="1"/>
    <col min="7680" max="7680" width="15.44140625" style="89" bestFit="1" customWidth="1"/>
    <col min="7681" max="7681" width="3.77734375" style="89" customWidth="1"/>
    <col min="7682" max="7682" width="11.21875" style="89" bestFit="1" customWidth="1"/>
    <col min="7683" max="7683" width="3.6640625" style="89" customWidth="1"/>
    <col min="7684" max="7684" width="13.5546875" style="89" customWidth="1"/>
    <col min="7685" max="7685" width="1" style="89" customWidth="1"/>
    <col min="7686" max="7686" width="14.21875" style="89" bestFit="1" customWidth="1"/>
    <col min="7687" max="7687" width="3.33203125" style="89" customWidth="1"/>
    <col min="7688" max="7688" width="20.44140625" style="89" customWidth="1"/>
    <col min="7689" max="7929" width="8.77734375" style="89"/>
    <col min="7930" max="7930" width="54.6640625" style="89" customWidth="1"/>
    <col min="7931" max="7931" width="13.77734375" style="89" customWidth="1"/>
    <col min="7932" max="7932" width="0" style="89" hidden="1" customWidth="1"/>
    <col min="7933" max="7933" width="6.6640625" style="89" customWidth="1"/>
    <col min="7934" max="7934" width="15" style="89" customWidth="1"/>
    <col min="7935" max="7935" width="3.6640625" style="89" bestFit="1" customWidth="1"/>
    <col min="7936" max="7936" width="15.44140625" style="89" bestFit="1" customWidth="1"/>
    <col min="7937" max="7937" width="3.77734375" style="89" customWidth="1"/>
    <col min="7938" max="7938" width="11.21875" style="89" bestFit="1" customWidth="1"/>
    <col min="7939" max="7939" width="3.6640625" style="89" customWidth="1"/>
    <col min="7940" max="7940" width="13.5546875" style="89" customWidth="1"/>
    <col min="7941" max="7941" width="1" style="89" customWidth="1"/>
    <col min="7942" max="7942" width="14.21875" style="89" bestFit="1" customWidth="1"/>
    <col min="7943" max="7943" width="3.33203125" style="89" customWidth="1"/>
    <col min="7944" max="7944" width="20.44140625" style="89" customWidth="1"/>
    <col min="7945" max="8185" width="8.77734375" style="89"/>
    <col min="8186" max="8186" width="54.6640625" style="89" customWidth="1"/>
    <col min="8187" max="8187" width="13.77734375" style="89" customWidth="1"/>
    <col min="8188" max="8188" width="0" style="89" hidden="1" customWidth="1"/>
    <col min="8189" max="8189" width="6.6640625" style="89" customWidth="1"/>
    <col min="8190" max="8190" width="15" style="89" customWidth="1"/>
    <col min="8191" max="8191" width="3.6640625" style="89" bestFit="1" customWidth="1"/>
    <col min="8192" max="8192" width="15.44140625" style="89" bestFit="1" customWidth="1"/>
    <col min="8193" max="8193" width="3.77734375" style="89" customWidth="1"/>
    <col min="8194" max="8194" width="11.21875" style="89" bestFit="1" customWidth="1"/>
    <col min="8195" max="8195" width="3.6640625" style="89" customWidth="1"/>
    <col min="8196" max="8196" width="13.5546875" style="89" customWidth="1"/>
    <col min="8197" max="8197" width="1" style="89" customWidth="1"/>
    <col min="8198" max="8198" width="14.21875" style="89" bestFit="1" customWidth="1"/>
    <col min="8199" max="8199" width="3.33203125" style="89" customWidth="1"/>
    <col min="8200" max="8200" width="20.44140625" style="89" customWidth="1"/>
    <col min="8201" max="8441" width="8.77734375" style="89"/>
    <col min="8442" max="8442" width="54.6640625" style="89" customWidth="1"/>
    <col min="8443" max="8443" width="13.77734375" style="89" customWidth="1"/>
    <col min="8444" max="8444" width="0" style="89" hidden="1" customWidth="1"/>
    <col min="8445" max="8445" width="6.6640625" style="89" customWidth="1"/>
    <col min="8446" max="8446" width="15" style="89" customWidth="1"/>
    <col min="8447" max="8447" width="3.6640625" style="89" bestFit="1" customWidth="1"/>
    <col min="8448" max="8448" width="15.44140625" style="89" bestFit="1" customWidth="1"/>
    <col min="8449" max="8449" width="3.77734375" style="89" customWidth="1"/>
    <col min="8450" max="8450" width="11.21875" style="89" bestFit="1" customWidth="1"/>
    <col min="8451" max="8451" width="3.6640625" style="89" customWidth="1"/>
    <col min="8452" max="8452" width="13.5546875" style="89" customWidth="1"/>
    <col min="8453" max="8453" width="1" style="89" customWidth="1"/>
    <col min="8454" max="8454" width="14.21875" style="89" bestFit="1" customWidth="1"/>
    <col min="8455" max="8455" width="3.33203125" style="89" customWidth="1"/>
    <col min="8456" max="8456" width="20.44140625" style="89" customWidth="1"/>
    <col min="8457" max="8697" width="8.77734375" style="89"/>
    <col min="8698" max="8698" width="54.6640625" style="89" customWidth="1"/>
    <col min="8699" max="8699" width="13.77734375" style="89" customWidth="1"/>
    <col min="8700" max="8700" width="0" style="89" hidden="1" customWidth="1"/>
    <col min="8701" max="8701" width="6.6640625" style="89" customWidth="1"/>
    <col min="8702" max="8702" width="15" style="89" customWidth="1"/>
    <col min="8703" max="8703" width="3.6640625" style="89" bestFit="1" customWidth="1"/>
    <col min="8704" max="8704" width="15.44140625" style="89" bestFit="1" customWidth="1"/>
    <col min="8705" max="8705" width="3.77734375" style="89" customWidth="1"/>
    <col min="8706" max="8706" width="11.21875" style="89" bestFit="1" customWidth="1"/>
    <col min="8707" max="8707" width="3.6640625" style="89" customWidth="1"/>
    <col min="8708" max="8708" width="13.5546875" style="89" customWidth="1"/>
    <col min="8709" max="8709" width="1" style="89" customWidth="1"/>
    <col min="8710" max="8710" width="14.21875" style="89" bestFit="1" customWidth="1"/>
    <col min="8711" max="8711" width="3.33203125" style="89" customWidth="1"/>
    <col min="8712" max="8712" width="20.44140625" style="89" customWidth="1"/>
    <col min="8713" max="8953" width="8.77734375" style="89"/>
    <col min="8954" max="8954" width="54.6640625" style="89" customWidth="1"/>
    <col min="8955" max="8955" width="13.77734375" style="89" customWidth="1"/>
    <col min="8956" max="8956" width="0" style="89" hidden="1" customWidth="1"/>
    <col min="8957" max="8957" width="6.6640625" style="89" customWidth="1"/>
    <col min="8958" max="8958" width="15" style="89" customWidth="1"/>
    <col min="8959" max="8959" width="3.6640625" style="89" bestFit="1" customWidth="1"/>
    <col min="8960" max="8960" width="15.44140625" style="89" bestFit="1" customWidth="1"/>
    <col min="8961" max="8961" width="3.77734375" style="89" customWidth="1"/>
    <col min="8962" max="8962" width="11.21875" style="89" bestFit="1" customWidth="1"/>
    <col min="8963" max="8963" width="3.6640625" style="89" customWidth="1"/>
    <col min="8964" max="8964" width="13.5546875" style="89" customWidth="1"/>
    <col min="8965" max="8965" width="1" style="89" customWidth="1"/>
    <col min="8966" max="8966" width="14.21875" style="89" bestFit="1" customWidth="1"/>
    <col min="8967" max="8967" width="3.33203125" style="89" customWidth="1"/>
    <col min="8968" max="8968" width="20.44140625" style="89" customWidth="1"/>
    <col min="8969" max="9209" width="8.77734375" style="89"/>
    <col min="9210" max="9210" width="54.6640625" style="89" customWidth="1"/>
    <col min="9211" max="9211" width="13.77734375" style="89" customWidth="1"/>
    <col min="9212" max="9212" width="0" style="89" hidden="1" customWidth="1"/>
    <col min="9213" max="9213" width="6.6640625" style="89" customWidth="1"/>
    <col min="9214" max="9214" width="15" style="89" customWidth="1"/>
    <col min="9215" max="9215" width="3.6640625" style="89" bestFit="1" customWidth="1"/>
    <col min="9216" max="9216" width="15.44140625" style="89" bestFit="1" customWidth="1"/>
    <col min="9217" max="9217" width="3.77734375" style="89" customWidth="1"/>
    <col min="9218" max="9218" width="11.21875" style="89" bestFit="1" customWidth="1"/>
    <col min="9219" max="9219" width="3.6640625" style="89" customWidth="1"/>
    <col min="9220" max="9220" width="13.5546875" style="89" customWidth="1"/>
    <col min="9221" max="9221" width="1" style="89" customWidth="1"/>
    <col min="9222" max="9222" width="14.21875" style="89" bestFit="1" customWidth="1"/>
    <col min="9223" max="9223" width="3.33203125" style="89" customWidth="1"/>
    <col min="9224" max="9224" width="20.44140625" style="89" customWidth="1"/>
    <col min="9225" max="9465" width="8.77734375" style="89"/>
    <col min="9466" max="9466" width="54.6640625" style="89" customWidth="1"/>
    <col min="9467" max="9467" width="13.77734375" style="89" customWidth="1"/>
    <col min="9468" max="9468" width="0" style="89" hidden="1" customWidth="1"/>
    <col min="9469" max="9469" width="6.6640625" style="89" customWidth="1"/>
    <col min="9470" max="9470" width="15" style="89" customWidth="1"/>
    <col min="9471" max="9471" width="3.6640625" style="89" bestFit="1" customWidth="1"/>
    <col min="9472" max="9472" width="15.44140625" style="89" bestFit="1" customWidth="1"/>
    <col min="9473" max="9473" width="3.77734375" style="89" customWidth="1"/>
    <col min="9474" max="9474" width="11.21875" style="89" bestFit="1" customWidth="1"/>
    <col min="9475" max="9475" width="3.6640625" style="89" customWidth="1"/>
    <col min="9476" max="9476" width="13.5546875" style="89" customWidth="1"/>
    <col min="9477" max="9477" width="1" style="89" customWidth="1"/>
    <col min="9478" max="9478" width="14.21875" style="89" bestFit="1" customWidth="1"/>
    <col min="9479" max="9479" width="3.33203125" style="89" customWidth="1"/>
    <col min="9480" max="9480" width="20.44140625" style="89" customWidth="1"/>
    <col min="9481" max="9721" width="8.77734375" style="89"/>
    <col min="9722" max="9722" width="54.6640625" style="89" customWidth="1"/>
    <col min="9723" max="9723" width="13.77734375" style="89" customWidth="1"/>
    <col min="9724" max="9724" width="0" style="89" hidden="1" customWidth="1"/>
    <col min="9725" max="9725" width="6.6640625" style="89" customWidth="1"/>
    <col min="9726" max="9726" width="15" style="89" customWidth="1"/>
    <col min="9727" max="9727" width="3.6640625" style="89" bestFit="1" customWidth="1"/>
    <col min="9728" max="9728" width="15.44140625" style="89" bestFit="1" customWidth="1"/>
    <col min="9729" max="9729" width="3.77734375" style="89" customWidth="1"/>
    <col min="9730" max="9730" width="11.21875" style="89" bestFit="1" customWidth="1"/>
    <col min="9731" max="9731" width="3.6640625" style="89" customWidth="1"/>
    <col min="9732" max="9732" width="13.5546875" style="89" customWidth="1"/>
    <col min="9733" max="9733" width="1" style="89" customWidth="1"/>
    <col min="9734" max="9734" width="14.21875" style="89" bestFit="1" customWidth="1"/>
    <col min="9735" max="9735" width="3.33203125" style="89" customWidth="1"/>
    <col min="9736" max="9736" width="20.44140625" style="89" customWidth="1"/>
    <col min="9737" max="9977" width="8.77734375" style="89"/>
    <col min="9978" max="9978" width="54.6640625" style="89" customWidth="1"/>
    <col min="9979" max="9979" width="13.77734375" style="89" customWidth="1"/>
    <col min="9980" max="9980" width="0" style="89" hidden="1" customWidth="1"/>
    <col min="9981" max="9981" width="6.6640625" style="89" customWidth="1"/>
    <col min="9982" max="9982" width="15" style="89" customWidth="1"/>
    <col min="9983" max="9983" width="3.6640625" style="89" bestFit="1" customWidth="1"/>
    <col min="9984" max="9984" width="15.44140625" style="89" bestFit="1" customWidth="1"/>
    <col min="9985" max="9985" width="3.77734375" style="89" customWidth="1"/>
    <col min="9986" max="9986" width="11.21875" style="89" bestFit="1" customWidth="1"/>
    <col min="9987" max="9987" width="3.6640625" style="89" customWidth="1"/>
    <col min="9988" max="9988" width="13.5546875" style="89" customWidth="1"/>
    <col min="9989" max="9989" width="1" style="89" customWidth="1"/>
    <col min="9990" max="9990" width="14.21875" style="89" bestFit="1" customWidth="1"/>
    <col min="9991" max="9991" width="3.33203125" style="89" customWidth="1"/>
    <col min="9992" max="9992" width="20.44140625" style="89" customWidth="1"/>
    <col min="9993" max="10233" width="8.77734375" style="89"/>
    <col min="10234" max="10234" width="54.6640625" style="89" customWidth="1"/>
    <col min="10235" max="10235" width="13.77734375" style="89" customWidth="1"/>
    <col min="10236" max="10236" width="0" style="89" hidden="1" customWidth="1"/>
    <col min="10237" max="10237" width="6.6640625" style="89" customWidth="1"/>
    <col min="10238" max="10238" width="15" style="89" customWidth="1"/>
    <col min="10239" max="10239" width="3.6640625" style="89" bestFit="1" customWidth="1"/>
    <col min="10240" max="10240" width="15.44140625" style="89" bestFit="1" customWidth="1"/>
    <col min="10241" max="10241" width="3.77734375" style="89" customWidth="1"/>
    <col min="10242" max="10242" width="11.21875" style="89" bestFit="1" customWidth="1"/>
    <col min="10243" max="10243" width="3.6640625" style="89" customWidth="1"/>
    <col min="10244" max="10244" width="13.5546875" style="89" customWidth="1"/>
    <col min="10245" max="10245" width="1" style="89" customWidth="1"/>
    <col min="10246" max="10246" width="14.21875" style="89" bestFit="1" customWidth="1"/>
    <col min="10247" max="10247" width="3.33203125" style="89" customWidth="1"/>
    <col min="10248" max="10248" width="20.44140625" style="89" customWidth="1"/>
    <col min="10249" max="10489" width="8.77734375" style="89"/>
    <col min="10490" max="10490" width="54.6640625" style="89" customWidth="1"/>
    <col min="10491" max="10491" width="13.77734375" style="89" customWidth="1"/>
    <col min="10492" max="10492" width="0" style="89" hidden="1" customWidth="1"/>
    <col min="10493" max="10493" width="6.6640625" style="89" customWidth="1"/>
    <col min="10494" max="10494" width="15" style="89" customWidth="1"/>
    <col min="10495" max="10495" width="3.6640625" style="89" bestFit="1" customWidth="1"/>
    <col min="10496" max="10496" width="15.44140625" style="89" bestFit="1" customWidth="1"/>
    <col min="10497" max="10497" width="3.77734375" style="89" customWidth="1"/>
    <col min="10498" max="10498" width="11.21875" style="89" bestFit="1" customWidth="1"/>
    <col min="10499" max="10499" width="3.6640625" style="89" customWidth="1"/>
    <col min="10500" max="10500" width="13.5546875" style="89" customWidth="1"/>
    <col min="10501" max="10501" width="1" style="89" customWidth="1"/>
    <col min="10502" max="10502" width="14.21875" style="89" bestFit="1" customWidth="1"/>
    <col min="10503" max="10503" width="3.33203125" style="89" customWidth="1"/>
    <col min="10504" max="10504" width="20.44140625" style="89" customWidth="1"/>
    <col min="10505" max="10745" width="8.77734375" style="89"/>
    <col min="10746" max="10746" width="54.6640625" style="89" customWidth="1"/>
    <col min="10747" max="10747" width="13.77734375" style="89" customWidth="1"/>
    <col min="10748" max="10748" width="0" style="89" hidden="1" customWidth="1"/>
    <col min="10749" max="10749" width="6.6640625" style="89" customWidth="1"/>
    <col min="10750" max="10750" width="15" style="89" customWidth="1"/>
    <col min="10751" max="10751" width="3.6640625" style="89" bestFit="1" customWidth="1"/>
    <col min="10752" max="10752" width="15.44140625" style="89" bestFit="1" customWidth="1"/>
    <col min="10753" max="10753" width="3.77734375" style="89" customWidth="1"/>
    <col min="10754" max="10754" width="11.21875" style="89" bestFit="1" customWidth="1"/>
    <col min="10755" max="10755" width="3.6640625" style="89" customWidth="1"/>
    <col min="10756" max="10756" width="13.5546875" style="89" customWidth="1"/>
    <col min="10757" max="10757" width="1" style="89" customWidth="1"/>
    <col min="10758" max="10758" width="14.21875" style="89" bestFit="1" customWidth="1"/>
    <col min="10759" max="10759" width="3.33203125" style="89" customWidth="1"/>
    <col min="10760" max="10760" width="20.44140625" style="89" customWidth="1"/>
    <col min="10761" max="11001" width="8.77734375" style="89"/>
    <col min="11002" max="11002" width="54.6640625" style="89" customWidth="1"/>
    <col min="11003" max="11003" width="13.77734375" style="89" customWidth="1"/>
    <col min="11004" max="11004" width="0" style="89" hidden="1" customWidth="1"/>
    <col min="11005" max="11005" width="6.6640625" style="89" customWidth="1"/>
    <col min="11006" max="11006" width="15" style="89" customWidth="1"/>
    <col min="11007" max="11007" width="3.6640625" style="89" bestFit="1" customWidth="1"/>
    <col min="11008" max="11008" width="15.44140625" style="89" bestFit="1" customWidth="1"/>
    <col min="11009" max="11009" width="3.77734375" style="89" customWidth="1"/>
    <col min="11010" max="11010" width="11.21875" style="89" bestFit="1" customWidth="1"/>
    <col min="11011" max="11011" width="3.6640625" style="89" customWidth="1"/>
    <col min="11012" max="11012" width="13.5546875" style="89" customWidth="1"/>
    <col min="11013" max="11013" width="1" style="89" customWidth="1"/>
    <col min="11014" max="11014" width="14.21875" style="89" bestFit="1" customWidth="1"/>
    <col min="11015" max="11015" width="3.33203125" style="89" customWidth="1"/>
    <col min="11016" max="11016" width="20.44140625" style="89" customWidth="1"/>
    <col min="11017" max="11257" width="8.77734375" style="89"/>
    <col min="11258" max="11258" width="54.6640625" style="89" customWidth="1"/>
    <col min="11259" max="11259" width="13.77734375" style="89" customWidth="1"/>
    <col min="11260" max="11260" width="0" style="89" hidden="1" customWidth="1"/>
    <col min="11261" max="11261" width="6.6640625" style="89" customWidth="1"/>
    <col min="11262" max="11262" width="15" style="89" customWidth="1"/>
    <col min="11263" max="11263" width="3.6640625" style="89" bestFit="1" customWidth="1"/>
    <col min="11264" max="11264" width="15.44140625" style="89" bestFit="1" customWidth="1"/>
    <col min="11265" max="11265" width="3.77734375" style="89" customWidth="1"/>
    <col min="11266" max="11266" width="11.21875" style="89" bestFit="1" customWidth="1"/>
    <col min="11267" max="11267" width="3.6640625" style="89" customWidth="1"/>
    <col min="11268" max="11268" width="13.5546875" style="89" customWidth="1"/>
    <col min="11269" max="11269" width="1" style="89" customWidth="1"/>
    <col min="11270" max="11270" width="14.21875" style="89" bestFit="1" customWidth="1"/>
    <col min="11271" max="11271" width="3.33203125" style="89" customWidth="1"/>
    <col min="11272" max="11272" width="20.44140625" style="89" customWidth="1"/>
    <col min="11273" max="11513" width="8.77734375" style="89"/>
    <col min="11514" max="11514" width="54.6640625" style="89" customWidth="1"/>
    <col min="11515" max="11515" width="13.77734375" style="89" customWidth="1"/>
    <col min="11516" max="11516" width="0" style="89" hidden="1" customWidth="1"/>
    <col min="11517" max="11517" width="6.6640625" style="89" customWidth="1"/>
    <col min="11518" max="11518" width="15" style="89" customWidth="1"/>
    <col min="11519" max="11519" width="3.6640625" style="89" bestFit="1" customWidth="1"/>
    <col min="11520" max="11520" width="15.44140625" style="89" bestFit="1" customWidth="1"/>
    <col min="11521" max="11521" width="3.77734375" style="89" customWidth="1"/>
    <col min="11522" max="11522" width="11.21875" style="89" bestFit="1" customWidth="1"/>
    <col min="11523" max="11523" width="3.6640625" style="89" customWidth="1"/>
    <col min="11524" max="11524" width="13.5546875" style="89" customWidth="1"/>
    <col min="11525" max="11525" width="1" style="89" customWidth="1"/>
    <col min="11526" max="11526" width="14.21875" style="89" bestFit="1" customWidth="1"/>
    <col min="11527" max="11527" width="3.33203125" style="89" customWidth="1"/>
    <col min="11528" max="11528" width="20.44140625" style="89" customWidth="1"/>
    <col min="11529" max="11769" width="8.77734375" style="89"/>
    <col min="11770" max="11770" width="54.6640625" style="89" customWidth="1"/>
    <col min="11771" max="11771" width="13.77734375" style="89" customWidth="1"/>
    <col min="11772" max="11772" width="0" style="89" hidden="1" customWidth="1"/>
    <col min="11773" max="11773" width="6.6640625" style="89" customWidth="1"/>
    <col min="11774" max="11774" width="15" style="89" customWidth="1"/>
    <col min="11775" max="11775" width="3.6640625" style="89" bestFit="1" customWidth="1"/>
    <col min="11776" max="11776" width="15.44140625" style="89" bestFit="1" customWidth="1"/>
    <col min="11777" max="11777" width="3.77734375" style="89" customWidth="1"/>
    <col min="11778" max="11778" width="11.21875" style="89" bestFit="1" customWidth="1"/>
    <col min="11779" max="11779" width="3.6640625" style="89" customWidth="1"/>
    <col min="11780" max="11780" width="13.5546875" style="89" customWidth="1"/>
    <col min="11781" max="11781" width="1" style="89" customWidth="1"/>
    <col min="11782" max="11782" width="14.21875" style="89" bestFit="1" customWidth="1"/>
    <col min="11783" max="11783" width="3.33203125" style="89" customWidth="1"/>
    <col min="11784" max="11784" width="20.44140625" style="89" customWidth="1"/>
    <col min="11785" max="12025" width="8.77734375" style="89"/>
    <col min="12026" max="12026" width="54.6640625" style="89" customWidth="1"/>
    <col min="12027" max="12027" width="13.77734375" style="89" customWidth="1"/>
    <col min="12028" max="12028" width="0" style="89" hidden="1" customWidth="1"/>
    <col min="12029" max="12029" width="6.6640625" style="89" customWidth="1"/>
    <col min="12030" max="12030" width="15" style="89" customWidth="1"/>
    <col min="12031" max="12031" width="3.6640625" style="89" bestFit="1" customWidth="1"/>
    <col min="12032" max="12032" width="15.44140625" style="89" bestFit="1" customWidth="1"/>
    <col min="12033" max="12033" width="3.77734375" style="89" customWidth="1"/>
    <col min="12034" max="12034" width="11.21875" style="89" bestFit="1" customWidth="1"/>
    <col min="12035" max="12035" width="3.6640625" style="89" customWidth="1"/>
    <col min="12036" max="12036" width="13.5546875" style="89" customWidth="1"/>
    <col min="12037" max="12037" width="1" style="89" customWidth="1"/>
    <col min="12038" max="12038" width="14.21875" style="89" bestFit="1" customWidth="1"/>
    <col min="12039" max="12039" width="3.33203125" style="89" customWidth="1"/>
    <col min="12040" max="12040" width="20.44140625" style="89" customWidth="1"/>
    <col min="12041" max="12281" width="8.77734375" style="89"/>
    <col min="12282" max="12282" width="54.6640625" style="89" customWidth="1"/>
    <col min="12283" max="12283" width="13.77734375" style="89" customWidth="1"/>
    <col min="12284" max="12284" width="0" style="89" hidden="1" customWidth="1"/>
    <col min="12285" max="12285" width="6.6640625" style="89" customWidth="1"/>
    <col min="12286" max="12286" width="15" style="89" customWidth="1"/>
    <col min="12287" max="12287" width="3.6640625" style="89" bestFit="1" customWidth="1"/>
    <col min="12288" max="12288" width="15.44140625" style="89" bestFit="1" customWidth="1"/>
    <col min="12289" max="12289" width="3.77734375" style="89" customWidth="1"/>
    <col min="12290" max="12290" width="11.21875" style="89" bestFit="1" customWidth="1"/>
    <col min="12291" max="12291" width="3.6640625" style="89" customWidth="1"/>
    <col min="12292" max="12292" width="13.5546875" style="89" customWidth="1"/>
    <col min="12293" max="12293" width="1" style="89" customWidth="1"/>
    <col min="12294" max="12294" width="14.21875" style="89" bestFit="1" customWidth="1"/>
    <col min="12295" max="12295" width="3.33203125" style="89" customWidth="1"/>
    <col min="12296" max="12296" width="20.44140625" style="89" customWidth="1"/>
    <col min="12297" max="12537" width="8.77734375" style="89"/>
    <col min="12538" max="12538" width="54.6640625" style="89" customWidth="1"/>
    <col min="12539" max="12539" width="13.77734375" style="89" customWidth="1"/>
    <col min="12540" max="12540" width="0" style="89" hidden="1" customWidth="1"/>
    <col min="12541" max="12541" width="6.6640625" style="89" customWidth="1"/>
    <col min="12542" max="12542" width="15" style="89" customWidth="1"/>
    <col min="12543" max="12543" width="3.6640625" style="89" bestFit="1" customWidth="1"/>
    <col min="12544" max="12544" width="15.44140625" style="89" bestFit="1" customWidth="1"/>
    <col min="12545" max="12545" width="3.77734375" style="89" customWidth="1"/>
    <col min="12546" max="12546" width="11.21875" style="89" bestFit="1" customWidth="1"/>
    <col min="12547" max="12547" width="3.6640625" style="89" customWidth="1"/>
    <col min="12548" max="12548" width="13.5546875" style="89" customWidth="1"/>
    <col min="12549" max="12549" width="1" style="89" customWidth="1"/>
    <col min="12550" max="12550" width="14.21875" style="89" bestFit="1" customWidth="1"/>
    <col min="12551" max="12551" width="3.33203125" style="89" customWidth="1"/>
    <col min="12552" max="12552" width="20.44140625" style="89" customWidth="1"/>
    <col min="12553" max="12793" width="8.77734375" style="89"/>
    <col min="12794" max="12794" width="54.6640625" style="89" customWidth="1"/>
    <col min="12795" max="12795" width="13.77734375" style="89" customWidth="1"/>
    <col min="12796" max="12796" width="0" style="89" hidden="1" customWidth="1"/>
    <col min="12797" max="12797" width="6.6640625" style="89" customWidth="1"/>
    <col min="12798" max="12798" width="15" style="89" customWidth="1"/>
    <col min="12799" max="12799" width="3.6640625" style="89" bestFit="1" customWidth="1"/>
    <col min="12800" max="12800" width="15.44140625" style="89" bestFit="1" customWidth="1"/>
    <col min="12801" max="12801" width="3.77734375" style="89" customWidth="1"/>
    <col min="12802" max="12802" width="11.21875" style="89" bestFit="1" customWidth="1"/>
    <col min="12803" max="12803" width="3.6640625" style="89" customWidth="1"/>
    <col min="12804" max="12804" width="13.5546875" style="89" customWidth="1"/>
    <col min="12805" max="12805" width="1" style="89" customWidth="1"/>
    <col min="12806" max="12806" width="14.21875" style="89" bestFit="1" customWidth="1"/>
    <col min="12807" max="12807" width="3.33203125" style="89" customWidth="1"/>
    <col min="12808" max="12808" width="20.44140625" style="89" customWidth="1"/>
    <col min="12809" max="13049" width="8.77734375" style="89"/>
    <col min="13050" max="13050" width="54.6640625" style="89" customWidth="1"/>
    <col min="13051" max="13051" width="13.77734375" style="89" customWidth="1"/>
    <col min="13052" max="13052" width="0" style="89" hidden="1" customWidth="1"/>
    <col min="13053" max="13053" width="6.6640625" style="89" customWidth="1"/>
    <col min="13054" max="13054" width="15" style="89" customWidth="1"/>
    <col min="13055" max="13055" width="3.6640625" style="89" bestFit="1" customWidth="1"/>
    <col min="13056" max="13056" width="15.44140625" style="89" bestFit="1" customWidth="1"/>
    <col min="13057" max="13057" width="3.77734375" style="89" customWidth="1"/>
    <col min="13058" max="13058" width="11.21875" style="89" bestFit="1" customWidth="1"/>
    <col min="13059" max="13059" width="3.6640625" style="89" customWidth="1"/>
    <col min="13060" max="13060" width="13.5546875" style="89" customWidth="1"/>
    <col min="13061" max="13061" width="1" style="89" customWidth="1"/>
    <col min="13062" max="13062" width="14.21875" style="89" bestFit="1" customWidth="1"/>
    <col min="13063" max="13063" width="3.33203125" style="89" customWidth="1"/>
    <col min="13064" max="13064" width="20.44140625" style="89" customWidth="1"/>
    <col min="13065" max="13305" width="8.77734375" style="89"/>
    <col min="13306" max="13306" width="54.6640625" style="89" customWidth="1"/>
    <col min="13307" max="13307" width="13.77734375" style="89" customWidth="1"/>
    <col min="13308" max="13308" width="0" style="89" hidden="1" customWidth="1"/>
    <col min="13309" max="13309" width="6.6640625" style="89" customWidth="1"/>
    <col min="13310" max="13310" width="15" style="89" customWidth="1"/>
    <col min="13311" max="13311" width="3.6640625" style="89" bestFit="1" customWidth="1"/>
    <col min="13312" max="13312" width="15.44140625" style="89" bestFit="1" customWidth="1"/>
    <col min="13313" max="13313" width="3.77734375" style="89" customWidth="1"/>
    <col min="13314" max="13314" width="11.21875" style="89" bestFit="1" customWidth="1"/>
    <col min="13315" max="13315" width="3.6640625" style="89" customWidth="1"/>
    <col min="13316" max="13316" width="13.5546875" style="89" customWidth="1"/>
    <col min="13317" max="13317" width="1" style="89" customWidth="1"/>
    <col min="13318" max="13318" width="14.21875" style="89" bestFit="1" customWidth="1"/>
    <col min="13319" max="13319" width="3.33203125" style="89" customWidth="1"/>
    <col min="13320" max="13320" width="20.44140625" style="89" customWidth="1"/>
    <col min="13321" max="13561" width="8.77734375" style="89"/>
    <col min="13562" max="13562" width="54.6640625" style="89" customWidth="1"/>
    <col min="13563" max="13563" width="13.77734375" style="89" customWidth="1"/>
    <col min="13564" max="13564" width="0" style="89" hidden="1" customWidth="1"/>
    <col min="13565" max="13565" width="6.6640625" style="89" customWidth="1"/>
    <col min="13566" max="13566" width="15" style="89" customWidth="1"/>
    <col min="13567" max="13567" width="3.6640625" style="89" bestFit="1" customWidth="1"/>
    <col min="13568" max="13568" width="15.44140625" style="89" bestFit="1" customWidth="1"/>
    <col min="13569" max="13569" width="3.77734375" style="89" customWidth="1"/>
    <col min="13570" max="13570" width="11.21875" style="89" bestFit="1" customWidth="1"/>
    <col min="13571" max="13571" width="3.6640625" style="89" customWidth="1"/>
    <col min="13572" max="13572" width="13.5546875" style="89" customWidth="1"/>
    <col min="13573" max="13573" width="1" style="89" customWidth="1"/>
    <col min="13574" max="13574" width="14.21875" style="89" bestFit="1" customWidth="1"/>
    <col min="13575" max="13575" width="3.33203125" style="89" customWidth="1"/>
    <col min="13576" max="13576" width="20.44140625" style="89" customWidth="1"/>
    <col min="13577" max="13817" width="8.77734375" style="89"/>
    <col min="13818" max="13818" width="54.6640625" style="89" customWidth="1"/>
    <col min="13819" max="13819" width="13.77734375" style="89" customWidth="1"/>
    <col min="13820" max="13820" width="0" style="89" hidden="1" customWidth="1"/>
    <col min="13821" max="13821" width="6.6640625" style="89" customWidth="1"/>
    <col min="13822" max="13822" width="15" style="89" customWidth="1"/>
    <col min="13823" max="13823" width="3.6640625" style="89" bestFit="1" customWidth="1"/>
    <col min="13824" max="13824" width="15.44140625" style="89" bestFit="1" customWidth="1"/>
    <col min="13825" max="13825" width="3.77734375" style="89" customWidth="1"/>
    <col min="13826" max="13826" width="11.21875" style="89" bestFit="1" customWidth="1"/>
    <col min="13827" max="13827" width="3.6640625" style="89" customWidth="1"/>
    <col min="13828" max="13828" width="13.5546875" style="89" customWidth="1"/>
    <col min="13829" max="13829" width="1" style="89" customWidth="1"/>
    <col min="13830" max="13830" width="14.21875" style="89" bestFit="1" customWidth="1"/>
    <col min="13831" max="13831" width="3.33203125" style="89" customWidth="1"/>
    <col min="13832" max="13832" width="20.44140625" style="89" customWidth="1"/>
    <col min="13833" max="14073" width="8.77734375" style="89"/>
    <col min="14074" max="14074" width="54.6640625" style="89" customWidth="1"/>
    <col min="14075" max="14075" width="13.77734375" style="89" customWidth="1"/>
    <col min="14076" max="14076" width="0" style="89" hidden="1" customWidth="1"/>
    <col min="14077" max="14077" width="6.6640625" style="89" customWidth="1"/>
    <col min="14078" max="14078" width="15" style="89" customWidth="1"/>
    <col min="14079" max="14079" width="3.6640625" style="89" bestFit="1" customWidth="1"/>
    <col min="14080" max="14080" width="15.44140625" style="89" bestFit="1" customWidth="1"/>
    <col min="14081" max="14081" width="3.77734375" style="89" customWidth="1"/>
    <col min="14082" max="14082" width="11.21875" style="89" bestFit="1" customWidth="1"/>
    <col min="14083" max="14083" width="3.6640625" style="89" customWidth="1"/>
    <col min="14084" max="14084" width="13.5546875" style="89" customWidth="1"/>
    <col min="14085" max="14085" width="1" style="89" customWidth="1"/>
    <col min="14086" max="14086" width="14.21875" style="89" bestFit="1" customWidth="1"/>
    <col min="14087" max="14087" width="3.33203125" style="89" customWidth="1"/>
    <col min="14088" max="14088" width="20.44140625" style="89" customWidth="1"/>
    <col min="14089" max="14329" width="8.77734375" style="89"/>
    <col min="14330" max="14330" width="54.6640625" style="89" customWidth="1"/>
    <col min="14331" max="14331" width="13.77734375" style="89" customWidth="1"/>
    <col min="14332" max="14332" width="0" style="89" hidden="1" customWidth="1"/>
    <col min="14333" max="14333" width="6.6640625" style="89" customWidth="1"/>
    <col min="14334" max="14334" width="15" style="89" customWidth="1"/>
    <col min="14335" max="14335" width="3.6640625" style="89" bestFit="1" customWidth="1"/>
    <col min="14336" max="14336" width="15.44140625" style="89" bestFit="1" customWidth="1"/>
    <col min="14337" max="14337" width="3.77734375" style="89" customWidth="1"/>
    <col min="14338" max="14338" width="11.21875" style="89" bestFit="1" customWidth="1"/>
    <col min="14339" max="14339" width="3.6640625" style="89" customWidth="1"/>
    <col min="14340" max="14340" width="13.5546875" style="89" customWidth="1"/>
    <col min="14341" max="14341" width="1" style="89" customWidth="1"/>
    <col min="14342" max="14342" width="14.21875" style="89" bestFit="1" customWidth="1"/>
    <col min="14343" max="14343" width="3.33203125" style="89" customWidth="1"/>
    <col min="14344" max="14344" width="20.44140625" style="89" customWidth="1"/>
    <col min="14345" max="14585" width="8.77734375" style="89"/>
    <col min="14586" max="14586" width="54.6640625" style="89" customWidth="1"/>
    <col min="14587" max="14587" width="13.77734375" style="89" customWidth="1"/>
    <col min="14588" max="14588" width="0" style="89" hidden="1" customWidth="1"/>
    <col min="14589" max="14589" width="6.6640625" style="89" customWidth="1"/>
    <col min="14590" max="14590" width="15" style="89" customWidth="1"/>
    <col min="14591" max="14591" width="3.6640625" style="89" bestFit="1" customWidth="1"/>
    <col min="14592" max="14592" width="15.44140625" style="89" bestFit="1" customWidth="1"/>
    <col min="14593" max="14593" width="3.77734375" style="89" customWidth="1"/>
    <col min="14594" max="14594" width="11.21875" style="89" bestFit="1" customWidth="1"/>
    <col min="14595" max="14595" width="3.6640625" style="89" customWidth="1"/>
    <col min="14596" max="14596" width="13.5546875" style="89" customWidth="1"/>
    <col min="14597" max="14597" width="1" style="89" customWidth="1"/>
    <col min="14598" max="14598" width="14.21875" style="89" bestFit="1" customWidth="1"/>
    <col min="14599" max="14599" width="3.33203125" style="89" customWidth="1"/>
    <col min="14600" max="14600" width="20.44140625" style="89" customWidth="1"/>
    <col min="14601" max="14841" width="8.77734375" style="89"/>
    <col min="14842" max="14842" width="54.6640625" style="89" customWidth="1"/>
    <col min="14843" max="14843" width="13.77734375" style="89" customWidth="1"/>
    <col min="14844" max="14844" width="0" style="89" hidden="1" customWidth="1"/>
    <col min="14845" max="14845" width="6.6640625" style="89" customWidth="1"/>
    <col min="14846" max="14846" width="15" style="89" customWidth="1"/>
    <col min="14847" max="14847" width="3.6640625" style="89" bestFit="1" customWidth="1"/>
    <col min="14848" max="14848" width="15.44140625" style="89" bestFit="1" customWidth="1"/>
    <col min="14849" max="14849" width="3.77734375" style="89" customWidth="1"/>
    <col min="14850" max="14850" width="11.21875" style="89" bestFit="1" customWidth="1"/>
    <col min="14851" max="14851" width="3.6640625" style="89" customWidth="1"/>
    <col min="14852" max="14852" width="13.5546875" style="89" customWidth="1"/>
    <col min="14853" max="14853" width="1" style="89" customWidth="1"/>
    <col min="14854" max="14854" width="14.21875" style="89" bestFit="1" customWidth="1"/>
    <col min="14855" max="14855" width="3.33203125" style="89" customWidth="1"/>
    <col min="14856" max="14856" width="20.44140625" style="89" customWidth="1"/>
    <col min="14857" max="15097" width="8.77734375" style="89"/>
    <col min="15098" max="15098" width="54.6640625" style="89" customWidth="1"/>
    <col min="15099" max="15099" width="13.77734375" style="89" customWidth="1"/>
    <col min="15100" max="15100" width="0" style="89" hidden="1" customWidth="1"/>
    <col min="15101" max="15101" width="6.6640625" style="89" customWidth="1"/>
    <col min="15102" max="15102" width="15" style="89" customWidth="1"/>
    <col min="15103" max="15103" width="3.6640625" style="89" bestFit="1" customWidth="1"/>
    <col min="15104" max="15104" width="15.44140625" style="89" bestFit="1" customWidth="1"/>
    <col min="15105" max="15105" width="3.77734375" style="89" customWidth="1"/>
    <col min="15106" max="15106" width="11.21875" style="89" bestFit="1" customWidth="1"/>
    <col min="15107" max="15107" width="3.6640625" style="89" customWidth="1"/>
    <col min="15108" max="15108" width="13.5546875" style="89" customWidth="1"/>
    <col min="15109" max="15109" width="1" style="89" customWidth="1"/>
    <col min="15110" max="15110" width="14.21875" style="89" bestFit="1" customWidth="1"/>
    <col min="15111" max="15111" width="3.33203125" style="89" customWidth="1"/>
    <col min="15112" max="15112" width="20.44140625" style="89" customWidth="1"/>
    <col min="15113" max="15353" width="8.77734375" style="89"/>
    <col min="15354" max="15354" width="54.6640625" style="89" customWidth="1"/>
    <col min="15355" max="15355" width="13.77734375" style="89" customWidth="1"/>
    <col min="15356" max="15356" width="0" style="89" hidden="1" customWidth="1"/>
    <col min="15357" max="15357" width="6.6640625" style="89" customWidth="1"/>
    <col min="15358" max="15358" width="15" style="89" customWidth="1"/>
    <col min="15359" max="15359" width="3.6640625" style="89" bestFit="1" customWidth="1"/>
    <col min="15360" max="15360" width="15.44140625" style="89" bestFit="1" customWidth="1"/>
    <col min="15361" max="15361" width="3.77734375" style="89" customWidth="1"/>
    <col min="15362" max="15362" width="11.21875" style="89" bestFit="1" customWidth="1"/>
    <col min="15363" max="15363" width="3.6640625" style="89" customWidth="1"/>
    <col min="15364" max="15364" width="13.5546875" style="89" customWidth="1"/>
    <col min="15365" max="15365" width="1" style="89" customWidth="1"/>
    <col min="15366" max="15366" width="14.21875" style="89" bestFit="1" customWidth="1"/>
    <col min="15367" max="15367" width="3.33203125" style="89" customWidth="1"/>
    <col min="15368" max="15368" width="20.44140625" style="89" customWidth="1"/>
    <col min="15369" max="15609" width="8.77734375" style="89"/>
    <col min="15610" max="15610" width="54.6640625" style="89" customWidth="1"/>
    <col min="15611" max="15611" width="13.77734375" style="89" customWidth="1"/>
    <col min="15612" max="15612" width="0" style="89" hidden="1" customWidth="1"/>
    <col min="15613" max="15613" width="6.6640625" style="89" customWidth="1"/>
    <col min="15614" max="15614" width="15" style="89" customWidth="1"/>
    <col min="15615" max="15615" width="3.6640625" style="89" bestFit="1" customWidth="1"/>
    <col min="15616" max="15616" width="15.44140625" style="89" bestFit="1" customWidth="1"/>
    <col min="15617" max="15617" width="3.77734375" style="89" customWidth="1"/>
    <col min="15618" max="15618" width="11.21875" style="89" bestFit="1" customWidth="1"/>
    <col min="15619" max="15619" width="3.6640625" style="89" customWidth="1"/>
    <col min="15620" max="15620" width="13.5546875" style="89" customWidth="1"/>
    <col min="15621" max="15621" width="1" style="89" customWidth="1"/>
    <col min="15622" max="15622" width="14.21875" style="89" bestFit="1" customWidth="1"/>
    <col min="15623" max="15623" width="3.33203125" style="89" customWidth="1"/>
    <col min="15624" max="15624" width="20.44140625" style="89" customWidth="1"/>
    <col min="15625" max="15865" width="8.77734375" style="89"/>
    <col min="15866" max="15866" width="54.6640625" style="89" customWidth="1"/>
    <col min="15867" max="15867" width="13.77734375" style="89" customWidth="1"/>
    <col min="15868" max="15868" width="0" style="89" hidden="1" customWidth="1"/>
    <col min="15869" max="15869" width="6.6640625" style="89" customWidth="1"/>
    <col min="15870" max="15870" width="15" style="89" customWidth="1"/>
    <col min="15871" max="15871" width="3.6640625" style="89" bestFit="1" customWidth="1"/>
    <col min="15872" max="15872" width="15.44140625" style="89" bestFit="1" customWidth="1"/>
    <col min="15873" max="15873" width="3.77734375" style="89" customWidth="1"/>
    <col min="15874" max="15874" width="11.21875" style="89" bestFit="1" customWidth="1"/>
    <col min="15875" max="15875" width="3.6640625" style="89" customWidth="1"/>
    <col min="15876" max="15876" width="13.5546875" style="89" customWidth="1"/>
    <col min="15877" max="15877" width="1" style="89" customWidth="1"/>
    <col min="15878" max="15878" width="14.21875" style="89" bestFit="1" customWidth="1"/>
    <col min="15879" max="15879" width="3.33203125" style="89" customWidth="1"/>
    <col min="15880" max="15880" width="20.44140625" style="89" customWidth="1"/>
    <col min="15881" max="16121" width="8.77734375" style="89"/>
    <col min="16122" max="16122" width="54.6640625" style="89" customWidth="1"/>
    <col min="16123" max="16123" width="13.77734375" style="89" customWidth="1"/>
    <col min="16124" max="16124" width="0" style="89" hidden="1" customWidth="1"/>
    <col min="16125" max="16125" width="6.6640625" style="89" customWidth="1"/>
    <col min="16126" max="16126" width="15" style="89" customWidth="1"/>
    <col min="16127" max="16127" width="3.6640625" style="89" bestFit="1" customWidth="1"/>
    <col min="16128" max="16128" width="15.44140625" style="89" bestFit="1" customWidth="1"/>
    <col min="16129" max="16129" width="3.77734375" style="89" customWidth="1"/>
    <col min="16130" max="16130" width="11.21875" style="89" bestFit="1" customWidth="1"/>
    <col min="16131" max="16131" width="3.6640625" style="89" customWidth="1"/>
    <col min="16132" max="16132" width="13.5546875" style="89" customWidth="1"/>
    <col min="16133" max="16133" width="1" style="89" customWidth="1"/>
    <col min="16134" max="16134" width="14.21875" style="89" bestFit="1" customWidth="1"/>
    <col min="16135" max="16135" width="3.33203125" style="89" customWidth="1"/>
    <col min="16136" max="16136" width="20.44140625" style="89" customWidth="1"/>
    <col min="16137" max="16376" width="8.77734375" style="89"/>
    <col min="16377" max="16384" width="8.77734375" style="89" customWidth="1"/>
  </cols>
  <sheetData>
    <row r="1" spans="1:19" s="177" customFormat="1" ht="15" customHeight="1">
      <c r="A1" s="434"/>
      <c r="B1" s="1"/>
      <c r="C1" s="1"/>
      <c r="D1" s="1"/>
      <c r="E1" s="1"/>
      <c r="F1" s="689"/>
      <c r="G1" s="337" t="str">
        <f>EKPC!J1</f>
        <v>Attachment H-24A</v>
      </c>
      <c r="H1" s="332"/>
      <c r="K1"/>
      <c r="L1"/>
      <c r="M1"/>
      <c r="N1"/>
      <c r="O1"/>
      <c r="P1"/>
      <c r="Q1"/>
      <c r="R1"/>
      <c r="S1"/>
    </row>
    <row r="2" spans="1:19" s="177" customFormat="1" ht="15" customHeight="1">
      <c r="A2" s="434"/>
      <c r="B2" s="1"/>
      <c r="C2" s="1"/>
      <c r="D2" s="1"/>
      <c r="E2" s="1"/>
      <c r="F2" s="689"/>
      <c r="G2" s="168" t="s">
        <v>546</v>
      </c>
      <c r="H2" s="325"/>
      <c r="K2"/>
      <c r="L2"/>
      <c r="M2"/>
      <c r="N2"/>
      <c r="O2"/>
      <c r="P2"/>
      <c r="Q2"/>
      <c r="R2"/>
      <c r="S2"/>
    </row>
    <row r="3" spans="1:19" s="177" customFormat="1" ht="15.75">
      <c r="A3" s="434"/>
      <c r="B3" s="566"/>
      <c r="C3" s="566"/>
      <c r="D3" s="17"/>
      <c r="E3" s="17"/>
      <c r="F3" s="689"/>
      <c r="G3" s="505" t="s">
        <v>374</v>
      </c>
      <c r="H3" s="325"/>
      <c r="K3"/>
      <c r="L3"/>
      <c r="M3"/>
      <c r="N3"/>
      <c r="O3"/>
      <c r="P3"/>
      <c r="Q3"/>
      <c r="R3"/>
      <c r="S3"/>
    </row>
    <row r="4" spans="1:19" s="177" customFormat="1" ht="15.75">
      <c r="A4" s="434"/>
      <c r="B4" s="16"/>
      <c r="C4" s="16"/>
      <c r="D4" s="17"/>
      <c r="E4" s="17"/>
      <c r="F4" s="689"/>
      <c r="G4" s="168" t="str">
        <f>EKPC!$J$124</f>
        <v>For the 12 months ended 12/31/2013</v>
      </c>
      <c r="H4" s="325"/>
      <c r="K4"/>
      <c r="L4"/>
      <c r="M4"/>
      <c r="N4"/>
      <c r="O4"/>
      <c r="P4"/>
      <c r="Q4"/>
      <c r="R4"/>
      <c r="S4"/>
    </row>
    <row r="5" spans="1:19" ht="15.75">
      <c r="A5" s="434"/>
      <c r="B5" s="16"/>
      <c r="C5" s="16"/>
      <c r="D5" s="17"/>
      <c r="E5" s="17"/>
      <c r="F5" s="168"/>
      <c r="G5" s="690"/>
      <c r="K5"/>
      <c r="L5"/>
      <c r="M5"/>
      <c r="N5"/>
      <c r="O5"/>
      <c r="P5"/>
      <c r="Q5"/>
      <c r="R5"/>
      <c r="S5"/>
    </row>
    <row r="6" spans="1:19" ht="15">
      <c r="A6" s="434"/>
      <c r="B6" s="833" t="str">
        <f>EKPC!A11</f>
        <v>East Kentucky Power Cooperative, Inc.</v>
      </c>
      <c r="C6" s="833"/>
      <c r="D6" s="833"/>
      <c r="E6" s="833"/>
      <c r="F6" s="833"/>
      <c r="G6" s="505"/>
      <c r="K6"/>
      <c r="L6"/>
      <c r="M6"/>
      <c r="N6"/>
      <c r="O6"/>
      <c r="P6"/>
      <c r="Q6"/>
      <c r="R6"/>
      <c r="S6"/>
    </row>
    <row r="7" spans="1:19" ht="15">
      <c r="A7" s="434"/>
      <c r="B7" s="833" t="str">
        <f>EKPC!A9</f>
        <v>Utilizing EKPC 2013 Form FF1 Data</v>
      </c>
      <c r="C7" s="833"/>
      <c r="D7" s="833"/>
      <c r="E7" s="833"/>
      <c r="F7" s="833"/>
      <c r="G7" s="505"/>
      <c r="K7"/>
      <c r="L7"/>
      <c r="M7"/>
      <c r="N7"/>
      <c r="O7"/>
      <c r="P7"/>
      <c r="Q7"/>
      <c r="R7"/>
      <c r="S7"/>
    </row>
    <row r="8" spans="1:19" ht="15">
      <c r="A8" s="690"/>
      <c r="B8" s="690"/>
      <c r="C8" s="690"/>
      <c r="D8" s="691"/>
      <c r="E8" s="690"/>
      <c r="F8" s="690"/>
      <c r="G8" s="505"/>
      <c r="K8"/>
      <c r="L8"/>
      <c r="M8"/>
      <c r="N8"/>
      <c r="O8"/>
      <c r="P8"/>
      <c r="Q8"/>
      <c r="R8"/>
      <c r="S8"/>
    </row>
    <row r="9" spans="1:19" ht="15">
      <c r="A9" s="844" t="s">
        <v>3</v>
      </c>
      <c r="B9" s="844"/>
      <c r="C9" s="844"/>
      <c r="D9" s="844"/>
      <c r="E9" s="844"/>
      <c r="F9" s="844"/>
      <c r="G9" s="599"/>
      <c r="H9" s="333"/>
      <c r="K9"/>
      <c r="L9"/>
      <c r="M9"/>
      <c r="N9"/>
      <c r="O9"/>
      <c r="P9"/>
      <c r="Q9"/>
      <c r="R9"/>
      <c r="S9"/>
    </row>
    <row r="10" spans="1:19" ht="15">
      <c r="A10" s="832" t="str">
        <f>CONCATENATE("As of December 31, ",TEXT(RIGHT(EKPC!J7,10),"YYYY"))</f>
        <v>As of December 31, 2013</v>
      </c>
      <c r="B10" s="832"/>
      <c r="C10" s="832"/>
      <c r="D10" s="832"/>
      <c r="E10" s="832"/>
      <c r="F10" s="832"/>
      <c r="G10" s="600"/>
      <c r="H10" s="334"/>
      <c r="K10"/>
      <c r="L10"/>
      <c r="M10"/>
      <c r="N10"/>
      <c r="O10"/>
      <c r="P10"/>
      <c r="Q10"/>
      <c r="R10"/>
      <c r="S10"/>
    </row>
    <row r="11" spans="1:19" ht="15">
      <c r="A11" s="845" t="s">
        <v>214</v>
      </c>
      <c r="B11" s="845"/>
      <c r="C11" s="845"/>
      <c r="D11" s="845"/>
      <c r="E11" s="845"/>
      <c r="F11" s="845"/>
      <c r="G11" s="692"/>
      <c r="H11" s="479"/>
      <c r="K11"/>
      <c r="L11"/>
      <c r="M11"/>
      <c r="N11"/>
      <c r="O11"/>
      <c r="P11"/>
      <c r="Q11"/>
      <c r="R11"/>
      <c r="S11"/>
    </row>
    <row r="12" spans="1:19" ht="15">
      <c r="A12" s="692"/>
      <c r="B12" s="692"/>
      <c r="C12" s="692"/>
      <c r="D12" s="692"/>
      <c r="E12" s="692"/>
      <c r="F12" s="692"/>
      <c r="G12" s="1"/>
      <c r="H12" s="480"/>
      <c r="I12" s="480"/>
      <c r="K12"/>
      <c r="L12"/>
      <c r="M12"/>
      <c r="N12"/>
      <c r="O12"/>
      <c r="P12"/>
      <c r="Q12"/>
      <c r="R12"/>
      <c r="S12"/>
    </row>
    <row r="13" spans="1:19" ht="15">
      <c r="A13" s="690"/>
      <c r="B13" s="690"/>
      <c r="C13" s="690"/>
      <c r="D13" s="691"/>
      <c r="E13" s="690"/>
      <c r="F13" s="690"/>
      <c r="G13" s="1"/>
      <c r="H13" s="480"/>
      <c r="I13" s="480"/>
      <c r="K13"/>
      <c r="L13"/>
      <c r="M13"/>
      <c r="N13"/>
      <c r="O13"/>
      <c r="P13"/>
      <c r="Q13"/>
      <c r="R13"/>
      <c r="S13"/>
    </row>
    <row r="14" spans="1:19" ht="15">
      <c r="A14" s="311" t="s">
        <v>6</v>
      </c>
      <c r="B14" s="312"/>
      <c r="C14" s="312"/>
      <c r="D14" s="312"/>
      <c r="E14" s="312"/>
      <c r="F14" s="312"/>
      <c r="G14" s="1"/>
      <c r="H14" s="480"/>
      <c r="I14" s="480"/>
      <c r="K14"/>
      <c r="L14"/>
      <c r="M14"/>
      <c r="N14"/>
      <c r="O14"/>
      <c r="P14"/>
      <c r="Q14"/>
      <c r="R14"/>
      <c r="S14"/>
    </row>
    <row r="15" spans="1:19" ht="15">
      <c r="A15" s="313" t="s">
        <v>8</v>
      </c>
      <c r="B15" s="314" t="s">
        <v>306</v>
      </c>
      <c r="C15" s="312"/>
      <c r="D15" s="315"/>
      <c r="E15" s="167"/>
      <c r="F15" s="312"/>
      <c r="G15" s="1"/>
      <c r="H15" s="480"/>
      <c r="I15" s="480"/>
      <c r="K15"/>
      <c r="L15"/>
      <c r="M15"/>
      <c r="N15"/>
      <c r="O15"/>
      <c r="P15"/>
      <c r="Q15"/>
      <c r="R15"/>
      <c r="S15"/>
    </row>
    <row r="16" spans="1:19" ht="15">
      <c r="A16" s="311"/>
      <c r="B16" s="312"/>
      <c r="C16" s="315"/>
      <c r="D16" s="315"/>
      <c r="E16" s="316"/>
      <c r="F16" s="312"/>
      <c r="G16" s="1"/>
      <c r="H16" s="480"/>
      <c r="I16" s="480"/>
      <c r="K16"/>
      <c r="L16"/>
      <c r="M16"/>
      <c r="N16"/>
      <c r="O16"/>
      <c r="P16"/>
      <c r="Q16"/>
      <c r="R16"/>
      <c r="S16"/>
    </row>
    <row r="17" spans="1:22" ht="15.75">
      <c r="A17" s="311"/>
      <c r="B17" s="843" t="s">
        <v>343</v>
      </c>
      <c r="C17" s="843"/>
      <c r="D17" s="315"/>
      <c r="E17" s="316"/>
      <c r="F17" s="312"/>
      <c r="G17" s="1"/>
      <c r="H17" s="480"/>
      <c r="I17" s="480"/>
    </row>
    <row r="18" spans="1:22" ht="15">
      <c r="A18" s="311">
        <v>1</v>
      </c>
      <c r="B18" s="569" t="s">
        <v>415</v>
      </c>
      <c r="C18" s="757">
        <v>112306172</v>
      </c>
      <c r="D18" s="316"/>
      <c r="E18" s="316"/>
      <c r="F18" s="312"/>
      <c r="G18" s="1"/>
      <c r="H18" s="480"/>
      <c r="I18" s="480"/>
    </row>
    <row r="19" spans="1:22" ht="15">
      <c r="A19" s="311">
        <f>A18+1</f>
        <v>2</v>
      </c>
      <c r="B19" s="569" t="s">
        <v>416</v>
      </c>
      <c r="C19" s="757">
        <v>2715367418</v>
      </c>
      <c r="D19" s="316"/>
      <c r="E19" s="316"/>
      <c r="F19" s="312"/>
      <c r="G19" s="1"/>
      <c r="H19" s="480"/>
      <c r="I19" s="480"/>
    </row>
    <row r="20" spans="1:22" ht="15.75">
      <c r="A20" s="311">
        <f>A19+1</f>
        <v>3</v>
      </c>
      <c r="B20" s="502" t="s">
        <v>344</v>
      </c>
      <c r="C20" s="687">
        <f>C18/C19</f>
        <v>4.1359475426982532E-2</v>
      </c>
      <c r="D20" s="316"/>
      <c r="E20" s="316"/>
      <c r="F20" s="312"/>
      <c r="G20" s="1"/>
      <c r="H20" s="480"/>
      <c r="I20" s="480"/>
    </row>
    <row r="21" spans="1:22" ht="15">
      <c r="A21" s="311"/>
      <c r="B21" s="569"/>
      <c r="C21" s="167"/>
      <c r="D21" s="316"/>
      <c r="E21" s="316"/>
      <c r="F21" s="312"/>
      <c r="G21" s="1"/>
      <c r="H21" s="480"/>
      <c r="I21" s="480"/>
    </row>
    <row r="22" spans="1:22" ht="15.75">
      <c r="A22" s="311"/>
      <c r="B22" s="841" t="s">
        <v>383</v>
      </c>
      <c r="C22" s="841"/>
      <c r="D22" s="312"/>
      <c r="E22" s="312"/>
      <c r="F22" s="312"/>
      <c r="G22" s="1"/>
      <c r="H22" s="480"/>
      <c r="I22" s="480"/>
    </row>
    <row r="23" spans="1:22" s="91" customFormat="1" ht="15.75">
      <c r="A23" s="693"/>
      <c r="B23" s="693"/>
      <c r="C23" s="39" t="s">
        <v>345</v>
      </c>
      <c r="D23" s="317" t="s">
        <v>346</v>
      </c>
      <c r="E23" s="317" t="s">
        <v>417</v>
      </c>
      <c r="F23" s="317" t="s">
        <v>347</v>
      </c>
      <c r="G23" s="1"/>
      <c r="H23" s="480"/>
      <c r="I23" s="480"/>
    </row>
    <row r="24" spans="1:22" ht="15">
      <c r="A24" s="311">
        <f>A20+1</f>
        <v>4</v>
      </c>
      <c r="B24" s="569" t="s">
        <v>348</v>
      </c>
      <c r="C24" s="726">
        <f>C19</f>
        <v>2715367418</v>
      </c>
      <c r="D24" s="356">
        <f>C24/C26</f>
        <v>0.86363648474307553</v>
      </c>
      <c r="E24" s="318">
        <f>C20</f>
        <v>4.1359475426982532E-2</v>
      </c>
      <c r="F24" s="357">
        <f>D24*E24</f>
        <v>3.5719551968576804E-2</v>
      </c>
      <c r="G24" s="1"/>
      <c r="H24" s="480"/>
      <c r="I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</row>
    <row r="25" spans="1:22" ht="15.75" thickBot="1">
      <c r="A25" s="311">
        <f t="shared" ref="A25:A26" si="0">A24+1</f>
        <v>5</v>
      </c>
      <c r="B25" s="587" t="s">
        <v>412</v>
      </c>
      <c r="C25" s="758">
        <v>428741783</v>
      </c>
      <c r="D25" s="356">
        <f>C25/C26</f>
        <v>0.13636351525692444</v>
      </c>
      <c r="E25" s="481">
        <f>((C20*J28)-F24)/D25</f>
        <v>0.19301102001006459</v>
      </c>
      <c r="F25" s="358">
        <f>D25*E25</f>
        <v>2.6319661171896991E-2</v>
      </c>
      <c r="G25" s="566"/>
      <c r="H25" s="480"/>
      <c r="I25" s="480"/>
      <c r="J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</row>
    <row r="26" spans="1:22" s="91" customFormat="1" ht="21" customHeight="1" thickTop="1">
      <c r="A26" s="311">
        <f t="shared" si="0"/>
        <v>6</v>
      </c>
      <c r="B26" s="587" t="s">
        <v>384</v>
      </c>
      <c r="C26" s="688">
        <f>C24+C25</f>
        <v>3144109201</v>
      </c>
      <c r="D26" s="694"/>
      <c r="E26" s="694"/>
      <c r="F26" s="394">
        <f>SUM(F24:F25)</f>
        <v>6.2039213140473795E-2</v>
      </c>
      <c r="G26" s="617"/>
      <c r="H26" s="393"/>
      <c r="I26" s="392"/>
      <c r="J26" s="392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</row>
    <row r="27" spans="1:22" ht="15.75">
      <c r="A27" s="690"/>
      <c r="B27" s="359"/>
      <c r="C27" s="361"/>
      <c r="D27" s="617"/>
      <c r="E27" s="617"/>
      <c r="F27" s="617"/>
      <c r="G27" s="617"/>
      <c r="H27" s="392"/>
      <c r="I27" s="706"/>
      <c r="J27" s="706"/>
      <c r="L27" s="707"/>
      <c r="M27" s="707"/>
      <c r="N27" s="707"/>
      <c r="O27" s="480"/>
      <c r="P27" s="480"/>
      <c r="Q27" s="480"/>
      <c r="R27" s="480"/>
      <c r="S27" s="480"/>
      <c r="T27" s="480"/>
      <c r="U27" s="480"/>
      <c r="V27" s="480"/>
    </row>
    <row r="28" spans="1:22" ht="15.75">
      <c r="A28" s="311">
        <f>A26+1</f>
        <v>7</v>
      </c>
      <c r="B28" s="598" t="s">
        <v>414</v>
      </c>
      <c r="C28" s="360"/>
      <c r="D28" s="617"/>
      <c r="E28" s="317" t="s">
        <v>386</v>
      </c>
      <c r="F28" s="395">
        <f>F26/E24</f>
        <v>1.5</v>
      </c>
      <c r="G28" s="617"/>
      <c r="H28" s="392"/>
      <c r="I28" s="569" t="s">
        <v>413</v>
      </c>
      <c r="J28" s="391">
        <v>1.5</v>
      </c>
      <c r="L28" s="707"/>
      <c r="M28" s="707"/>
      <c r="N28" s="707"/>
      <c r="O28" s="480"/>
      <c r="P28" s="480"/>
      <c r="Q28" s="480"/>
      <c r="R28" s="480"/>
      <c r="S28" s="480"/>
      <c r="T28" s="480"/>
      <c r="U28" s="480"/>
      <c r="V28" s="480"/>
    </row>
    <row r="29" spans="1:22" ht="15">
      <c r="A29" s="311"/>
      <c r="B29" s="691"/>
      <c r="C29" s="691"/>
      <c r="D29" s="315"/>
      <c r="E29" s="312"/>
      <c r="F29" s="312"/>
      <c r="G29" s="1"/>
      <c r="H29" s="480"/>
      <c r="I29" s="707"/>
      <c r="L29" s="707"/>
      <c r="M29" s="707"/>
      <c r="N29" s="707"/>
      <c r="O29" s="480"/>
      <c r="P29" s="480"/>
      <c r="Q29" s="480"/>
      <c r="R29" s="480"/>
      <c r="S29" s="480"/>
      <c r="T29" s="480"/>
      <c r="U29" s="480"/>
      <c r="V29" s="480"/>
    </row>
    <row r="30" spans="1:22" ht="15.75">
      <c r="A30" s="691"/>
      <c r="B30" s="842"/>
      <c r="C30" s="842"/>
      <c r="D30" s="691"/>
      <c r="E30" s="691"/>
      <c r="F30" s="690"/>
      <c r="G30" s="1"/>
      <c r="H30" s="480"/>
      <c r="I30" s="707" t="s">
        <v>519</v>
      </c>
      <c r="L30" s="707"/>
      <c r="M30" s="707"/>
      <c r="N30" s="707"/>
      <c r="O30" s="480"/>
      <c r="P30" s="480"/>
      <c r="Q30" s="480"/>
      <c r="R30" s="480"/>
      <c r="S30" s="480"/>
      <c r="T30" s="480"/>
      <c r="U30" s="480"/>
      <c r="V30" s="480"/>
    </row>
    <row r="31" spans="1:22" ht="15.75">
      <c r="A31" s="315"/>
      <c r="B31" s="613" t="s">
        <v>144</v>
      </c>
      <c r="C31" s="614"/>
      <c r="D31" s="614"/>
      <c r="E31" s="614"/>
      <c r="F31" s="617"/>
      <c r="G31" s="617"/>
      <c r="H31" s="392"/>
      <c r="I31" s="727" t="s">
        <v>608</v>
      </c>
      <c r="J31" s="728"/>
      <c r="K31" s="728"/>
      <c r="L31" s="729"/>
      <c r="M31" s="729"/>
      <c r="N31" s="707"/>
      <c r="O31" s="480"/>
      <c r="P31" s="480"/>
      <c r="Q31" s="480"/>
      <c r="R31" s="480"/>
      <c r="S31" s="480"/>
      <c r="T31" s="480"/>
      <c r="U31" s="480"/>
      <c r="V31" s="480"/>
    </row>
    <row r="32" spans="1:22" ht="15.75">
      <c r="A32" s="615" t="s">
        <v>418</v>
      </c>
      <c r="B32" s="616" t="s">
        <v>456</v>
      </c>
      <c r="C32" s="617"/>
      <c r="D32" s="617"/>
      <c r="E32" s="617"/>
      <c r="F32" s="617"/>
      <c r="G32" s="617"/>
      <c r="H32" s="392"/>
      <c r="I32" s="707"/>
      <c r="L32" s="707"/>
      <c r="M32" s="707"/>
      <c r="N32" s="707"/>
      <c r="O32" s="480"/>
      <c r="P32" s="480"/>
      <c r="Q32" s="480"/>
      <c r="R32" s="480"/>
      <c r="S32" s="480"/>
      <c r="T32" s="480"/>
      <c r="U32" s="480"/>
      <c r="V32" s="480"/>
    </row>
    <row r="33" spans="1:22" ht="15.75">
      <c r="A33" s="615" t="s">
        <v>419</v>
      </c>
      <c r="B33" s="618" t="s">
        <v>630</v>
      </c>
      <c r="C33" s="617"/>
      <c r="D33" s="617"/>
      <c r="E33" s="617"/>
      <c r="F33" s="617"/>
      <c r="G33" s="617"/>
      <c r="H33" s="392"/>
      <c r="I33" s="707"/>
      <c r="L33" s="707"/>
      <c r="M33" s="707"/>
      <c r="N33" s="707"/>
      <c r="O33" s="480"/>
      <c r="P33" s="480"/>
      <c r="Q33" s="480"/>
      <c r="R33" s="480"/>
      <c r="S33" s="480"/>
      <c r="T33" s="480"/>
      <c r="U33" s="480"/>
      <c r="V33" s="480"/>
    </row>
    <row r="34" spans="1:22" ht="15.75">
      <c r="A34" s="615" t="s">
        <v>420</v>
      </c>
      <c r="B34" s="618" t="s">
        <v>631</v>
      </c>
      <c r="C34" s="617"/>
      <c r="D34" s="617"/>
      <c r="E34" s="617"/>
      <c r="F34" s="617"/>
      <c r="G34" s="617"/>
      <c r="H34" s="392"/>
      <c r="I34" s="707"/>
      <c r="L34" s="707"/>
      <c r="M34" s="707"/>
      <c r="N34" s="707"/>
      <c r="O34" s="480"/>
      <c r="P34" s="480"/>
      <c r="Q34" s="480"/>
      <c r="R34" s="480"/>
      <c r="S34" s="480"/>
      <c r="T34" s="480"/>
      <c r="U34" s="480"/>
      <c r="V34" s="480"/>
    </row>
    <row r="35" spans="1:22" ht="15">
      <c r="A35" s="615" t="s">
        <v>421</v>
      </c>
      <c r="B35" s="618" t="str">
        <f>CONCATENATE(I30, TEXT(J28,"#.00"),". ",I31)</f>
        <v>Proprietary Capital Cost calculated to achieve TIER of 1.50.  TIER value approved by KPSC in Case No. 2010-000167</v>
      </c>
      <c r="C35" s="312"/>
      <c r="D35" s="312"/>
      <c r="E35" s="312"/>
      <c r="F35" s="695"/>
      <c r="G35" s="1"/>
      <c r="H35" s="480"/>
      <c r="I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</row>
    <row r="36" spans="1:22" ht="15">
      <c r="A36" s="315"/>
      <c r="B36" s="315"/>
      <c r="C36" s="315"/>
      <c r="D36" s="315"/>
      <c r="E36" s="312"/>
      <c r="F36" s="312"/>
      <c r="G36" s="1"/>
      <c r="H36" s="480"/>
      <c r="I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</row>
    <row r="37" spans="1:22" ht="15">
      <c r="A37" s="90"/>
      <c r="B37" s="90"/>
      <c r="C37" s="90"/>
      <c r="D37" s="315"/>
      <c r="E37" s="312"/>
      <c r="F37" s="312"/>
      <c r="G37" s="1"/>
      <c r="H37" s="480"/>
      <c r="I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</row>
    <row r="38" spans="1:22" ht="15">
      <c r="D38" s="312"/>
      <c r="E38" s="312"/>
      <c r="F38" s="312"/>
      <c r="G38" s="1"/>
      <c r="H38" s="480"/>
      <c r="I38" s="480"/>
    </row>
    <row r="39" spans="1:22" ht="15">
      <c r="D39" s="312"/>
      <c r="E39" s="312"/>
      <c r="F39" s="312"/>
      <c r="G39" s="1"/>
      <c r="H39" s="480"/>
      <c r="I39" s="480"/>
    </row>
    <row r="40" spans="1:22" ht="15">
      <c r="E40" s="93"/>
      <c r="F40" s="93"/>
      <c r="G40" s="480"/>
      <c r="H40" s="480"/>
      <c r="I40" s="480"/>
    </row>
    <row r="41" spans="1:22" ht="15">
      <c r="G41" s="480"/>
      <c r="H41" s="480"/>
      <c r="I41" s="480"/>
    </row>
    <row r="42" spans="1:22" ht="15">
      <c r="A42" s="92"/>
      <c r="G42" s="480"/>
      <c r="H42" s="480"/>
      <c r="I42" s="480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0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3">
    <tabColor rgb="FF00B050"/>
    <pageSetUpPr fitToPage="1"/>
  </sheetPr>
  <dimension ref="A1:S50"/>
  <sheetViews>
    <sheetView zoomScale="70" zoomScaleNormal="70" workbookViewId="0"/>
  </sheetViews>
  <sheetFormatPr defaultColWidth="9.21875" defaultRowHeight="15"/>
  <cols>
    <col min="1" max="1" width="6.44140625" style="566" customWidth="1"/>
    <col min="2" max="2" width="41.6640625" style="566" customWidth="1"/>
    <col min="3" max="14" width="14.5546875" style="566" bestFit="1" customWidth="1"/>
    <col min="15" max="15" width="12.44140625" style="566" bestFit="1" customWidth="1"/>
    <col min="16" max="16" width="13.33203125" style="566" customWidth="1"/>
    <col min="17" max="17" width="10.88671875" style="566" bestFit="1" customWidth="1"/>
    <col min="18" max="16384" width="9.21875" style="566"/>
  </cols>
  <sheetData>
    <row r="1" spans="1:19"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37" t="str">
        <f>EKPC!J1</f>
        <v>Attachment H-24A</v>
      </c>
    </row>
    <row r="2" spans="1:19" ht="20.25">
      <c r="B2" s="331" t="str">
        <f>EKPC!A11</f>
        <v>East Kentucky Power Cooperative, Inc.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168" t="s">
        <v>546</v>
      </c>
    </row>
    <row r="3" spans="1:19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375</v>
      </c>
    </row>
    <row r="4" spans="1:19">
      <c r="A4" s="567"/>
      <c r="B4" s="589" t="s">
        <v>587</v>
      </c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05" t="s">
        <v>628</v>
      </c>
    </row>
    <row r="5" spans="1:19">
      <c r="B5" s="4"/>
      <c r="C5" s="4"/>
      <c r="D5" s="4"/>
      <c r="E5" s="4"/>
      <c r="F5" s="593"/>
      <c r="G5" s="4"/>
      <c r="H5" s="4"/>
      <c r="I5" s="4"/>
      <c r="J5" s="4"/>
      <c r="K5" s="4"/>
      <c r="L5" s="4"/>
      <c r="M5" s="4"/>
      <c r="N5" s="593"/>
      <c r="O5" s="97"/>
    </row>
    <row r="8" spans="1:19" ht="17.25">
      <c r="A8" s="328" t="s">
        <v>188</v>
      </c>
      <c r="B8" s="97"/>
      <c r="C8" s="5" t="s">
        <v>136</v>
      </c>
      <c r="D8" s="5" t="s">
        <v>137</v>
      </c>
      <c r="E8" s="5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7.25">
      <c r="A9" s="328"/>
      <c r="B9" s="9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9">
        <v>1</v>
      </c>
      <c r="B10" s="590" t="s">
        <v>573</v>
      </c>
      <c r="C10" s="774">
        <v>0</v>
      </c>
      <c r="D10" s="774">
        <v>0</v>
      </c>
      <c r="E10" s="774">
        <v>0</v>
      </c>
      <c r="F10" s="774">
        <v>0</v>
      </c>
      <c r="G10" s="774">
        <v>0</v>
      </c>
      <c r="H10" s="774">
        <v>0</v>
      </c>
      <c r="I10" s="774">
        <v>0</v>
      </c>
      <c r="J10" s="774">
        <v>0</v>
      </c>
      <c r="K10" s="774">
        <v>0</v>
      </c>
      <c r="L10" s="774">
        <v>0</v>
      </c>
      <c r="M10" s="774">
        <v>0</v>
      </c>
      <c r="N10" s="774">
        <v>0</v>
      </c>
      <c r="O10" s="348">
        <f>SUM(C10:N10)</f>
        <v>0</v>
      </c>
      <c r="P10" s="349">
        <f>ROUND(O10/12,0)</f>
        <v>0</v>
      </c>
      <c r="Q10"/>
      <c r="R10" s="466"/>
      <c r="S10"/>
    </row>
    <row r="11" spans="1:19">
      <c r="B11" s="591"/>
      <c r="C11" s="585"/>
      <c r="D11" s="585"/>
      <c r="E11" s="585"/>
      <c r="F11" s="585"/>
      <c r="G11" s="585"/>
      <c r="H11" s="585"/>
      <c r="I11" s="585"/>
      <c r="J11" s="585"/>
      <c r="K11" s="585"/>
      <c r="L11" s="585"/>
      <c r="M11" s="585"/>
      <c r="N11" s="585"/>
      <c r="O11" s="567"/>
      <c r="P11" s="567"/>
      <c r="Q11"/>
    </row>
    <row r="12" spans="1:19">
      <c r="B12" s="591"/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/>
    </row>
    <row r="13" spans="1:19" ht="17.25">
      <c r="A13" s="330">
        <f>A10+1</f>
        <v>2</v>
      </c>
      <c r="B13" s="590" t="s">
        <v>354</v>
      </c>
      <c r="C13" s="352" t="s">
        <v>136</v>
      </c>
      <c r="D13" s="352" t="s">
        <v>137</v>
      </c>
      <c r="E13" s="352" t="s">
        <v>138</v>
      </c>
      <c r="F13" s="352" t="s">
        <v>139</v>
      </c>
      <c r="G13" s="352" t="s">
        <v>222</v>
      </c>
      <c r="H13" s="352" t="s">
        <v>140</v>
      </c>
      <c r="I13" s="352" t="s">
        <v>223</v>
      </c>
      <c r="J13" s="352" t="s">
        <v>141</v>
      </c>
      <c r="K13" s="352" t="s">
        <v>224</v>
      </c>
      <c r="L13" s="352" t="s">
        <v>225</v>
      </c>
      <c r="M13" s="352" t="s">
        <v>226</v>
      </c>
      <c r="N13" s="352" t="s">
        <v>142</v>
      </c>
      <c r="O13" s="352" t="s">
        <v>10</v>
      </c>
      <c r="P13" s="352" t="s">
        <v>143</v>
      </c>
      <c r="Q13"/>
    </row>
    <row r="14" spans="1:19">
      <c r="A14" s="419">
        <f t="shared" ref="A14:A31" si="0">A13+1</f>
        <v>3</v>
      </c>
      <c r="B14" s="592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348"/>
      <c r="P14" s="349"/>
      <c r="Q14"/>
    </row>
    <row r="15" spans="1:19">
      <c r="A15" s="329">
        <f t="shared" si="0"/>
        <v>4</v>
      </c>
      <c r="B15" s="590" t="s">
        <v>626</v>
      </c>
      <c r="C15" s="730">
        <v>0</v>
      </c>
      <c r="D15" s="730">
        <v>0</v>
      </c>
      <c r="E15" s="730">
        <v>0</v>
      </c>
      <c r="F15" s="730">
        <v>0</v>
      </c>
      <c r="G15" s="730">
        <v>0</v>
      </c>
      <c r="H15" s="730">
        <v>0</v>
      </c>
      <c r="I15" s="730">
        <v>0</v>
      </c>
      <c r="J15" s="730">
        <v>0</v>
      </c>
      <c r="K15" s="730">
        <v>0</v>
      </c>
      <c r="L15" s="730">
        <v>0</v>
      </c>
      <c r="M15" s="730">
        <v>0</v>
      </c>
      <c r="N15" s="730">
        <v>0</v>
      </c>
      <c r="O15" s="348">
        <f t="shared" ref="O15" si="1">SUM(C15:N15)</f>
        <v>0</v>
      </c>
      <c r="P15" s="349">
        <f t="shared" ref="P15" si="2">ROUND(O15/12,0)</f>
        <v>0</v>
      </c>
      <c r="Q15"/>
    </row>
    <row r="16" spans="1:19">
      <c r="A16" s="329">
        <f t="shared" si="0"/>
        <v>5</v>
      </c>
      <c r="B16" s="590" t="s">
        <v>627</v>
      </c>
      <c r="C16" s="567"/>
      <c r="D16" s="567"/>
      <c r="E16" s="567"/>
      <c r="F16" s="567"/>
      <c r="G16" s="567"/>
      <c r="H16" s="567"/>
      <c r="I16" s="567"/>
      <c r="J16" s="567"/>
      <c r="K16" s="567"/>
      <c r="L16" s="567"/>
      <c r="M16" s="567"/>
      <c r="N16" s="567"/>
      <c r="O16" s="567"/>
      <c r="P16" s="567"/>
      <c r="Q16"/>
    </row>
    <row r="17" spans="1:17">
      <c r="A17" s="329">
        <f t="shared" si="0"/>
        <v>6</v>
      </c>
      <c r="B17" s="590" t="s">
        <v>357</v>
      </c>
      <c r="C17" s="730">
        <v>0</v>
      </c>
      <c r="D17" s="730">
        <v>0</v>
      </c>
      <c r="E17" s="730">
        <v>0</v>
      </c>
      <c r="F17" s="730">
        <v>0</v>
      </c>
      <c r="G17" s="730">
        <v>0</v>
      </c>
      <c r="H17" s="730">
        <v>0</v>
      </c>
      <c r="I17" s="730">
        <v>0</v>
      </c>
      <c r="J17" s="730">
        <v>0</v>
      </c>
      <c r="K17" s="730">
        <v>0</v>
      </c>
      <c r="L17" s="730">
        <v>0</v>
      </c>
      <c r="M17" s="730">
        <v>0</v>
      </c>
      <c r="N17" s="730">
        <v>0</v>
      </c>
      <c r="O17" s="348">
        <f t="shared" ref="O17:O30" si="3">SUM(C17:N17)</f>
        <v>0</v>
      </c>
      <c r="P17" s="349">
        <f t="shared" ref="P17:P31" si="4">ROUND(O17/12,0)</f>
        <v>0</v>
      </c>
      <c r="Q17"/>
    </row>
    <row r="18" spans="1:17">
      <c r="A18" s="329">
        <f t="shared" si="0"/>
        <v>7</v>
      </c>
      <c r="B18" s="590" t="s">
        <v>358</v>
      </c>
      <c r="C18" s="730">
        <v>0</v>
      </c>
      <c r="D18" s="730">
        <v>0</v>
      </c>
      <c r="E18" s="730">
        <v>0</v>
      </c>
      <c r="F18" s="730">
        <v>0</v>
      </c>
      <c r="G18" s="730">
        <v>0</v>
      </c>
      <c r="H18" s="730">
        <v>0</v>
      </c>
      <c r="I18" s="730">
        <v>0</v>
      </c>
      <c r="J18" s="730">
        <v>0</v>
      </c>
      <c r="K18" s="730">
        <v>0</v>
      </c>
      <c r="L18" s="730">
        <v>0</v>
      </c>
      <c r="M18" s="730">
        <v>0</v>
      </c>
      <c r="N18" s="730">
        <v>0</v>
      </c>
      <c r="O18" s="348">
        <f t="shared" si="3"/>
        <v>0</v>
      </c>
      <c r="P18" s="349">
        <f t="shared" si="4"/>
        <v>0</v>
      </c>
      <c r="Q18"/>
    </row>
    <row r="19" spans="1:17">
      <c r="A19" s="329">
        <f t="shared" si="0"/>
        <v>8</v>
      </c>
      <c r="B19" s="590" t="s">
        <v>359</v>
      </c>
      <c r="C19" s="730">
        <v>0</v>
      </c>
      <c r="D19" s="730">
        <v>0</v>
      </c>
      <c r="E19" s="730">
        <v>0</v>
      </c>
      <c r="F19" s="730">
        <v>0</v>
      </c>
      <c r="G19" s="730">
        <v>0</v>
      </c>
      <c r="H19" s="730">
        <v>0</v>
      </c>
      <c r="I19" s="730">
        <v>0</v>
      </c>
      <c r="J19" s="730">
        <v>0</v>
      </c>
      <c r="K19" s="730">
        <v>0</v>
      </c>
      <c r="L19" s="730">
        <v>0</v>
      </c>
      <c r="M19" s="730">
        <v>0</v>
      </c>
      <c r="N19" s="730">
        <v>0</v>
      </c>
      <c r="O19" s="348">
        <f t="shared" si="3"/>
        <v>0</v>
      </c>
      <c r="P19" s="349">
        <f t="shared" si="4"/>
        <v>0</v>
      </c>
      <c r="Q19"/>
    </row>
    <row r="20" spans="1:17">
      <c r="A20" s="329">
        <f t="shared" si="0"/>
        <v>9</v>
      </c>
      <c r="B20" s="590" t="s">
        <v>360</v>
      </c>
      <c r="C20" s="730">
        <v>0</v>
      </c>
      <c r="D20" s="730">
        <v>0</v>
      </c>
      <c r="E20" s="730">
        <v>0</v>
      </c>
      <c r="F20" s="730">
        <v>0</v>
      </c>
      <c r="G20" s="730">
        <v>0</v>
      </c>
      <c r="H20" s="730">
        <v>0</v>
      </c>
      <c r="I20" s="730">
        <v>0</v>
      </c>
      <c r="J20" s="730">
        <v>0</v>
      </c>
      <c r="K20" s="730">
        <v>0</v>
      </c>
      <c r="L20" s="730">
        <v>0</v>
      </c>
      <c r="M20" s="730">
        <v>0</v>
      </c>
      <c r="N20" s="730">
        <v>0</v>
      </c>
      <c r="O20" s="348">
        <f t="shared" si="3"/>
        <v>0</v>
      </c>
      <c r="P20" s="349">
        <f t="shared" si="4"/>
        <v>0</v>
      </c>
      <c r="Q20"/>
    </row>
    <row r="21" spans="1:17">
      <c r="A21" s="329">
        <f t="shared" si="0"/>
        <v>10</v>
      </c>
      <c r="B21" s="590" t="s">
        <v>361</v>
      </c>
      <c r="C21" s="730">
        <v>0</v>
      </c>
      <c r="D21" s="730">
        <v>0</v>
      </c>
      <c r="E21" s="730">
        <v>0</v>
      </c>
      <c r="F21" s="730">
        <v>0</v>
      </c>
      <c r="G21" s="730">
        <v>0</v>
      </c>
      <c r="H21" s="730">
        <v>0</v>
      </c>
      <c r="I21" s="730">
        <v>0</v>
      </c>
      <c r="J21" s="730">
        <v>0</v>
      </c>
      <c r="K21" s="730">
        <v>0</v>
      </c>
      <c r="L21" s="730">
        <v>0</v>
      </c>
      <c r="M21" s="730">
        <v>0</v>
      </c>
      <c r="N21" s="730">
        <v>0</v>
      </c>
      <c r="O21" s="348">
        <f t="shared" si="3"/>
        <v>0</v>
      </c>
      <c r="P21" s="349">
        <f t="shared" si="4"/>
        <v>0</v>
      </c>
      <c r="Q21"/>
    </row>
    <row r="22" spans="1:17">
      <c r="A22" s="329">
        <f t="shared" si="0"/>
        <v>11</v>
      </c>
      <c r="B22" s="590" t="s">
        <v>362</v>
      </c>
      <c r="C22" s="730">
        <v>0</v>
      </c>
      <c r="D22" s="730">
        <v>0</v>
      </c>
      <c r="E22" s="730">
        <v>0</v>
      </c>
      <c r="F22" s="730">
        <v>0</v>
      </c>
      <c r="G22" s="730">
        <v>0</v>
      </c>
      <c r="H22" s="730">
        <v>0</v>
      </c>
      <c r="I22" s="730">
        <v>0</v>
      </c>
      <c r="J22" s="730">
        <v>0</v>
      </c>
      <c r="K22" s="730">
        <v>0</v>
      </c>
      <c r="L22" s="730">
        <v>0</v>
      </c>
      <c r="M22" s="730">
        <v>0</v>
      </c>
      <c r="N22" s="730">
        <v>0</v>
      </c>
      <c r="O22" s="348">
        <f t="shared" si="3"/>
        <v>0</v>
      </c>
      <c r="P22" s="349">
        <f t="shared" si="4"/>
        <v>0</v>
      </c>
      <c r="Q22"/>
    </row>
    <row r="23" spans="1:17">
      <c r="A23" s="329">
        <f t="shared" si="0"/>
        <v>12</v>
      </c>
      <c r="B23" s="590" t="s">
        <v>363</v>
      </c>
      <c r="C23" s="730">
        <v>0</v>
      </c>
      <c r="D23" s="730">
        <v>0</v>
      </c>
      <c r="E23" s="730">
        <v>0</v>
      </c>
      <c r="F23" s="730">
        <v>0</v>
      </c>
      <c r="G23" s="730">
        <v>0</v>
      </c>
      <c r="H23" s="730">
        <v>0</v>
      </c>
      <c r="I23" s="730">
        <v>0</v>
      </c>
      <c r="J23" s="730">
        <v>0</v>
      </c>
      <c r="K23" s="730">
        <v>0</v>
      </c>
      <c r="L23" s="730">
        <v>0</v>
      </c>
      <c r="M23" s="730">
        <v>0</v>
      </c>
      <c r="N23" s="730">
        <v>0</v>
      </c>
      <c r="O23" s="348">
        <f t="shared" si="3"/>
        <v>0</v>
      </c>
      <c r="P23" s="349">
        <f t="shared" si="4"/>
        <v>0</v>
      </c>
      <c r="Q23"/>
    </row>
    <row r="24" spans="1:17">
      <c r="A24" s="329">
        <f t="shared" si="0"/>
        <v>13</v>
      </c>
      <c r="B24" s="590" t="s">
        <v>364</v>
      </c>
      <c r="C24" s="730">
        <v>0</v>
      </c>
      <c r="D24" s="730">
        <v>0</v>
      </c>
      <c r="E24" s="730">
        <v>0</v>
      </c>
      <c r="F24" s="730">
        <v>0</v>
      </c>
      <c r="G24" s="730">
        <v>0</v>
      </c>
      <c r="H24" s="730">
        <v>0</v>
      </c>
      <c r="I24" s="730">
        <v>0</v>
      </c>
      <c r="J24" s="730">
        <v>0</v>
      </c>
      <c r="K24" s="730">
        <v>0</v>
      </c>
      <c r="L24" s="730">
        <v>0</v>
      </c>
      <c r="M24" s="730">
        <v>0</v>
      </c>
      <c r="N24" s="730">
        <v>0</v>
      </c>
      <c r="O24" s="348">
        <f t="shared" si="3"/>
        <v>0</v>
      </c>
      <c r="P24" s="349">
        <f t="shared" si="4"/>
        <v>0</v>
      </c>
      <c r="Q24"/>
    </row>
    <row r="25" spans="1:17">
      <c r="A25" s="329">
        <f t="shared" si="0"/>
        <v>14</v>
      </c>
      <c r="B25" s="590" t="s">
        <v>365</v>
      </c>
      <c r="C25" s="730">
        <v>0</v>
      </c>
      <c r="D25" s="730">
        <v>0</v>
      </c>
      <c r="E25" s="730">
        <v>0</v>
      </c>
      <c r="F25" s="730">
        <v>0</v>
      </c>
      <c r="G25" s="730">
        <v>0</v>
      </c>
      <c r="H25" s="730">
        <v>0</v>
      </c>
      <c r="I25" s="730">
        <v>0</v>
      </c>
      <c r="J25" s="730">
        <v>0</v>
      </c>
      <c r="K25" s="730">
        <v>0</v>
      </c>
      <c r="L25" s="730">
        <v>0</v>
      </c>
      <c r="M25" s="730">
        <v>0</v>
      </c>
      <c r="N25" s="730">
        <v>0</v>
      </c>
      <c r="O25" s="348">
        <f t="shared" si="3"/>
        <v>0</v>
      </c>
      <c r="P25" s="349">
        <f t="shared" si="4"/>
        <v>0</v>
      </c>
      <c r="Q25"/>
    </row>
    <row r="26" spans="1:17">
      <c r="A26" s="329">
        <f t="shared" si="0"/>
        <v>15</v>
      </c>
      <c r="B26" s="590" t="s">
        <v>366</v>
      </c>
      <c r="C26" s="730">
        <v>0</v>
      </c>
      <c r="D26" s="730">
        <v>0</v>
      </c>
      <c r="E26" s="730">
        <v>0</v>
      </c>
      <c r="F26" s="730">
        <v>0</v>
      </c>
      <c r="G26" s="730">
        <v>0</v>
      </c>
      <c r="H26" s="730">
        <v>0</v>
      </c>
      <c r="I26" s="730">
        <v>0</v>
      </c>
      <c r="J26" s="730">
        <v>0</v>
      </c>
      <c r="K26" s="730">
        <v>0</v>
      </c>
      <c r="L26" s="730">
        <v>0</v>
      </c>
      <c r="M26" s="730">
        <v>0</v>
      </c>
      <c r="N26" s="730">
        <v>0</v>
      </c>
      <c r="O26" s="348">
        <f t="shared" si="3"/>
        <v>0</v>
      </c>
      <c r="P26" s="349">
        <f t="shared" si="4"/>
        <v>0</v>
      </c>
      <c r="Q26"/>
    </row>
    <row r="27" spans="1:17">
      <c r="A27" s="329">
        <f t="shared" si="0"/>
        <v>16</v>
      </c>
      <c r="B27" s="590" t="s">
        <v>367</v>
      </c>
      <c r="C27" s="730">
        <v>0</v>
      </c>
      <c r="D27" s="730">
        <v>0</v>
      </c>
      <c r="E27" s="730">
        <v>0</v>
      </c>
      <c r="F27" s="730">
        <v>0</v>
      </c>
      <c r="G27" s="730">
        <v>0</v>
      </c>
      <c r="H27" s="730">
        <v>0</v>
      </c>
      <c r="I27" s="730">
        <v>0</v>
      </c>
      <c r="J27" s="730">
        <v>0</v>
      </c>
      <c r="K27" s="730">
        <v>0</v>
      </c>
      <c r="L27" s="730">
        <v>0</v>
      </c>
      <c r="M27" s="730">
        <v>0</v>
      </c>
      <c r="N27" s="730">
        <v>0</v>
      </c>
      <c r="O27" s="348">
        <f t="shared" si="3"/>
        <v>0</v>
      </c>
      <c r="P27" s="349">
        <f t="shared" si="4"/>
        <v>0</v>
      </c>
      <c r="Q27"/>
    </row>
    <row r="28" spans="1:17">
      <c r="A28" s="329">
        <f t="shared" si="0"/>
        <v>17</v>
      </c>
      <c r="B28" s="590" t="s">
        <v>368</v>
      </c>
      <c r="C28" s="730">
        <v>0</v>
      </c>
      <c r="D28" s="730">
        <v>0</v>
      </c>
      <c r="E28" s="730">
        <v>0</v>
      </c>
      <c r="F28" s="730">
        <v>0</v>
      </c>
      <c r="G28" s="730">
        <v>0</v>
      </c>
      <c r="H28" s="730">
        <v>0</v>
      </c>
      <c r="I28" s="730">
        <v>0</v>
      </c>
      <c r="J28" s="730">
        <v>0</v>
      </c>
      <c r="K28" s="730">
        <v>0</v>
      </c>
      <c r="L28" s="730">
        <v>0</v>
      </c>
      <c r="M28" s="730">
        <v>0</v>
      </c>
      <c r="N28" s="730">
        <v>0</v>
      </c>
      <c r="O28" s="348">
        <f t="shared" si="3"/>
        <v>0</v>
      </c>
      <c r="P28" s="349">
        <f t="shared" si="4"/>
        <v>0</v>
      </c>
      <c r="Q28"/>
    </row>
    <row r="29" spans="1:17">
      <c r="A29" s="329">
        <f t="shared" si="0"/>
        <v>18</v>
      </c>
      <c r="B29" s="590" t="s">
        <v>369</v>
      </c>
      <c r="C29" s="730">
        <v>0</v>
      </c>
      <c r="D29" s="730">
        <v>0</v>
      </c>
      <c r="E29" s="730">
        <v>0</v>
      </c>
      <c r="F29" s="730">
        <v>0</v>
      </c>
      <c r="G29" s="730">
        <v>0</v>
      </c>
      <c r="H29" s="730">
        <v>0</v>
      </c>
      <c r="I29" s="730">
        <v>0</v>
      </c>
      <c r="J29" s="730">
        <v>0</v>
      </c>
      <c r="K29" s="730">
        <v>0</v>
      </c>
      <c r="L29" s="730">
        <v>0</v>
      </c>
      <c r="M29" s="730">
        <v>0</v>
      </c>
      <c r="N29" s="730">
        <v>0</v>
      </c>
      <c r="O29" s="348">
        <f t="shared" si="3"/>
        <v>0</v>
      </c>
      <c r="P29" s="349">
        <f t="shared" si="4"/>
        <v>0</v>
      </c>
      <c r="Q29"/>
    </row>
    <row r="30" spans="1:17">
      <c r="A30" s="329">
        <f t="shared" si="0"/>
        <v>19</v>
      </c>
      <c r="B30" s="590" t="s">
        <v>370</v>
      </c>
      <c r="C30" s="731">
        <v>0</v>
      </c>
      <c r="D30" s="731">
        <v>0</v>
      </c>
      <c r="E30" s="731">
        <v>0</v>
      </c>
      <c r="F30" s="731">
        <v>0</v>
      </c>
      <c r="G30" s="731">
        <v>0</v>
      </c>
      <c r="H30" s="731">
        <v>0</v>
      </c>
      <c r="I30" s="731">
        <v>0</v>
      </c>
      <c r="J30" s="731">
        <v>0</v>
      </c>
      <c r="K30" s="731">
        <v>0</v>
      </c>
      <c r="L30" s="731">
        <v>0</v>
      </c>
      <c r="M30" s="731">
        <v>0</v>
      </c>
      <c r="N30" s="731">
        <v>0</v>
      </c>
      <c r="O30" s="351">
        <f t="shared" si="3"/>
        <v>0</v>
      </c>
      <c r="P30" s="353">
        <f t="shared" si="4"/>
        <v>0</v>
      </c>
      <c r="Q30"/>
    </row>
    <row r="31" spans="1:17">
      <c r="A31" s="329">
        <f t="shared" si="0"/>
        <v>20</v>
      </c>
      <c r="B31" s="590" t="s">
        <v>521</v>
      </c>
      <c r="C31" s="347">
        <f>SUM(C17:C30)</f>
        <v>0</v>
      </c>
      <c r="D31" s="347">
        <f t="shared" ref="D31:O31" si="5">SUM(D17:D30)</f>
        <v>0</v>
      </c>
      <c r="E31" s="347">
        <f t="shared" si="5"/>
        <v>0</v>
      </c>
      <c r="F31" s="347">
        <f t="shared" si="5"/>
        <v>0</v>
      </c>
      <c r="G31" s="347">
        <f t="shared" si="5"/>
        <v>0</v>
      </c>
      <c r="H31" s="347">
        <f t="shared" si="5"/>
        <v>0</v>
      </c>
      <c r="I31" s="347">
        <f t="shared" si="5"/>
        <v>0</v>
      </c>
      <c r="J31" s="347">
        <f t="shared" si="5"/>
        <v>0</v>
      </c>
      <c r="K31" s="347">
        <f t="shared" si="5"/>
        <v>0</v>
      </c>
      <c r="L31" s="347">
        <f t="shared" si="5"/>
        <v>0</v>
      </c>
      <c r="M31" s="347">
        <f t="shared" si="5"/>
        <v>0</v>
      </c>
      <c r="N31" s="347">
        <f t="shared" si="5"/>
        <v>0</v>
      </c>
      <c r="O31" s="347">
        <f t="shared" si="5"/>
        <v>0</v>
      </c>
      <c r="P31" s="349">
        <f t="shared" si="4"/>
        <v>0</v>
      </c>
      <c r="Q31" s="349"/>
    </row>
    <row r="32" spans="1:17">
      <c r="B32" s="590"/>
      <c r="C32" s="567"/>
      <c r="D32" s="567"/>
      <c r="E32" s="567"/>
      <c r="F32" s="567"/>
      <c r="G32" s="567"/>
      <c r="H32" s="567"/>
      <c r="I32" s="567"/>
      <c r="J32" s="567"/>
      <c r="K32" s="567"/>
      <c r="L32" s="567"/>
      <c r="M32" s="567"/>
      <c r="N32" s="567"/>
      <c r="O32" s="467"/>
      <c r="P32" s="467"/>
    </row>
    <row r="33" spans="1:18">
      <c r="A33" s="329">
        <f>A31+1</f>
        <v>21</v>
      </c>
      <c r="B33" s="590" t="s">
        <v>355</v>
      </c>
      <c r="C33" s="354">
        <f>C15+C31</f>
        <v>0</v>
      </c>
      <c r="D33" s="354">
        <f t="shared" ref="D33:P33" si="6">D15+D31</f>
        <v>0</v>
      </c>
      <c r="E33" s="354">
        <f t="shared" si="6"/>
        <v>0</v>
      </c>
      <c r="F33" s="354">
        <f t="shared" si="6"/>
        <v>0</v>
      </c>
      <c r="G33" s="354">
        <f t="shared" si="6"/>
        <v>0</v>
      </c>
      <c r="H33" s="354">
        <f t="shared" si="6"/>
        <v>0</v>
      </c>
      <c r="I33" s="354">
        <f t="shared" si="6"/>
        <v>0</v>
      </c>
      <c r="J33" s="354">
        <f t="shared" si="6"/>
        <v>0</v>
      </c>
      <c r="K33" s="354">
        <f t="shared" si="6"/>
        <v>0</v>
      </c>
      <c r="L33" s="354">
        <f t="shared" si="6"/>
        <v>0</v>
      </c>
      <c r="M33" s="354">
        <f t="shared" si="6"/>
        <v>0</v>
      </c>
      <c r="N33" s="354">
        <f t="shared" si="6"/>
        <v>0</v>
      </c>
      <c r="O33" s="354">
        <f t="shared" si="6"/>
        <v>0</v>
      </c>
      <c r="P33" s="354">
        <f t="shared" si="6"/>
        <v>0</v>
      </c>
    </row>
    <row r="34" spans="1:18">
      <c r="B34" s="590"/>
      <c r="C34" s="567"/>
      <c r="D34" s="567"/>
      <c r="E34" s="567"/>
      <c r="F34" s="567"/>
      <c r="G34" s="567"/>
      <c r="H34" s="567"/>
      <c r="I34" s="567"/>
      <c r="J34" s="567"/>
      <c r="K34" s="567"/>
      <c r="L34" s="567"/>
      <c r="M34" s="567"/>
      <c r="N34" s="567"/>
      <c r="O34" s="567"/>
      <c r="P34" s="567"/>
    </row>
    <row r="35" spans="1:18" ht="15.75" thickBot="1">
      <c r="A35" s="329">
        <f>A33+1</f>
        <v>22</v>
      </c>
      <c r="B35" s="590" t="s">
        <v>356</v>
      </c>
      <c r="C35" s="798">
        <f>C49</f>
        <v>2754679</v>
      </c>
      <c r="D35" s="798">
        <f t="shared" ref="D35:N35" si="7">D49</f>
        <v>2669482</v>
      </c>
      <c r="E35" s="798">
        <f t="shared" si="7"/>
        <v>2215691</v>
      </c>
      <c r="F35" s="798">
        <f t="shared" si="7"/>
        <v>1796674</v>
      </c>
      <c r="G35" s="798">
        <f t="shared" si="7"/>
        <v>1838361</v>
      </c>
      <c r="H35" s="798">
        <f t="shared" si="7"/>
        <v>2174161</v>
      </c>
      <c r="I35" s="798">
        <f t="shared" si="7"/>
        <v>2304959</v>
      </c>
      <c r="J35" s="798">
        <f t="shared" si="7"/>
        <v>2263442</v>
      </c>
      <c r="K35" s="798">
        <f t="shared" si="7"/>
        <v>2167131</v>
      </c>
      <c r="L35" s="798">
        <f t="shared" si="7"/>
        <v>1894103</v>
      </c>
      <c r="M35" s="798">
        <f t="shared" si="7"/>
        <v>2209636</v>
      </c>
      <c r="N35" s="798">
        <f t="shared" si="7"/>
        <v>2569668</v>
      </c>
      <c r="O35" s="355">
        <f t="shared" ref="O35" si="8">SUM(C35:N35)</f>
        <v>26857987</v>
      </c>
      <c r="P35" s="355">
        <f>ROUND(O35/12,0)</f>
        <v>2238166</v>
      </c>
    </row>
    <row r="36" spans="1:18" ht="15.75" thickTop="1"/>
    <row r="37" spans="1:18" ht="15.75">
      <c r="C37" s="789"/>
      <c r="D37" s="789"/>
      <c r="E37" s="789"/>
      <c r="F37" s="789"/>
      <c r="G37" s="789"/>
      <c r="H37" s="789"/>
      <c r="I37" s="789"/>
      <c r="J37" s="789"/>
      <c r="K37" s="562"/>
      <c r="L37" s="562"/>
      <c r="M37" s="562"/>
      <c r="N37" s="790"/>
      <c r="O37" s="791"/>
      <c r="P37" s="562"/>
      <c r="Q37" s="567"/>
      <c r="R37" s="567"/>
    </row>
    <row r="38" spans="1:18">
      <c r="B38" s="511" t="s">
        <v>144</v>
      </c>
      <c r="C38" s="512"/>
      <c r="D38" s="512"/>
      <c r="E38" s="512"/>
      <c r="F38" s="512"/>
      <c r="G38" s="512"/>
      <c r="H38" s="512"/>
      <c r="I38" s="512"/>
      <c r="J38" s="512"/>
      <c r="K38" s="467"/>
      <c r="L38" s="467"/>
      <c r="M38" s="467"/>
      <c r="N38" s="567"/>
      <c r="O38" s="567"/>
      <c r="P38" s="567"/>
      <c r="Q38" s="567"/>
      <c r="R38" s="567"/>
    </row>
    <row r="39" spans="1:18">
      <c r="A39" s="567"/>
      <c r="B39" s="575" t="s">
        <v>629</v>
      </c>
      <c r="C39" s="567"/>
      <c r="D39" s="567"/>
      <c r="E39" s="567"/>
      <c r="F39" s="567"/>
      <c r="G39" s="468"/>
      <c r="H39" s="468"/>
      <c r="I39" s="468"/>
      <c r="J39" s="468"/>
      <c r="K39" s="563"/>
      <c r="L39" s="567"/>
      <c r="M39" s="567"/>
      <c r="N39" s="594"/>
      <c r="O39" s="562"/>
      <c r="P39" s="567"/>
      <c r="Q39" s="567"/>
      <c r="R39" s="567"/>
    </row>
    <row r="40" spans="1:18" ht="15" customHeight="1">
      <c r="B40" s="575"/>
      <c r="K40" s="567"/>
      <c r="L40" s="567"/>
      <c r="M40" s="567"/>
      <c r="N40" s="594"/>
      <c r="O40" s="562"/>
      <c r="P40" s="567"/>
      <c r="Q40" s="567"/>
      <c r="R40" s="567"/>
    </row>
    <row r="41" spans="1:18">
      <c r="K41" s="567"/>
      <c r="L41" s="567"/>
      <c r="M41" s="567"/>
      <c r="N41" s="594"/>
      <c r="O41" s="562"/>
      <c r="P41" s="567"/>
      <c r="Q41" s="567"/>
      <c r="R41" s="567"/>
    </row>
    <row r="42" spans="1:18">
      <c r="K42" s="567"/>
      <c r="L42" s="567"/>
      <c r="M42" s="567"/>
      <c r="N42" s="594"/>
      <c r="O42" s="562"/>
      <c r="P42" s="567"/>
      <c r="Q42" s="567"/>
      <c r="R42" s="567"/>
    </row>
    <row r="43" spans="1:18">
      <c r="B43" s="566" t="s">
        <v>635</v>
      </c>
      <c r="C43" s="795">
        <v>2314000</v>
      </c>
      <c r="D43" s="795">
        <v>2200000</v>
      </c>
      <c r="E43" s="795">
        <v>1805000</v>
      </c>
      <c r="F43" s="795">
        <v>1534000</v>
      </c>
      <c r="G43" s="795">
        <v>1480000</v>
      </c>
      <c r="H43" s="795">
        <v>1786000</v>
      </c>
      <c r="I43" s="795">
        <v>1899000</v>
      </c>
      <c r="J43" s="795">
        <v>1872000</v>
      </c>
      <c r="K43" s="795">
        <v>1754000</v>
      </c>
      <c r="L43" s="795">
        <v>1539000</v>
      </c>
      <c r="M43" s="795">
        <v>1771000</v>
      </c>
      <c r="N43" s="796">
        <v>2141000</v>
      </c>
      <c r="O43" s="562">
        <f t="shared" ref="O43" si="9">SUM(C43:N43)</f>
        <v>22095000</v>
      </c>
      <c r="P43" s="562">
        <f>ROUND(O43/12,0)</f>
        <v>1841250</v>
      </c>
      <c r="Q43" s="567"/>
      <c r="R43" s="567"/>
    </row>
    <row r="44" spans="1:18">
      <c r="B44" s="794" t="s">
        <v>632</v>
      </c>
      <c r="K44" s="567"/>
      <c r="L44" s="567"/>
      <c r="M44" s="567"/>
      <c r="N44" s="594"/>
      <c r="O44" s="562"/>
      <c r="P44" s="567"/>
      <c r="Q44" s="567"/>
      <c r="R44" s="567"/>
    </row>
    <row r="45" spans="1:18">
      <c r="B45" s="794"/>
      <c r="K45" s="567"/>
      <c r="L45" s="567"/>
      <c r="M45" s="567"/>
      <c r="N45" s="594"/>
      <c r="O45" s="562"/>
      <c r="P45" s="567"/>
      <c r="Q45" s="567"/>
      <c r="R45" s="567"/>
    </row>
    <row r="46" spans="1:18">
      <c r="A46" s="566" t="s">
        <v>633</v>
      </c>
      <c r="B46" s="566" t="s">
        <v>636</v>
      </c>
      <c r="O46" s="562"/>
      <c r="P46" s="567"/>
      <c r="Q46" s="567"/>
      <c r="R46" s="567"/>
    </row>
    <row r="47" spans="1:18">
      <c r="B47" s="797" t="s">
        <v>637</v>
      </c>
      <c r="C47" s="795">
        <v>440679</v>
      </c>
      <c r="D47" s="795">
        <v>469482</v>
      </c>
      <c r="E47" s="795">
        <v>410691</v>
      </c>
      <c r="F47" s="795">
        <v>262674</v>
      </c>
      <c r="G47" s="795">
        <v>358361</v>
      </c>
      <c r="H47" s="795">
        <v>388161</v>
      </c>
      <c r="I47" s="795">
        <v>405959</v>
      </c>
      <c r="J47" s="795">
        <v>391442</v>
      </c>
      <c r="K47" s="795">
        <v>413131</v>
      </c>
      <c r="L47" s="795">
        <v>355103</v>
      </c>
      <c r="M47" s="795">
        <v>438636</v>
      </c>
      <c r="N47" s="796">
        <v>428668</v>
      </c>
      <c r="O47" s="562">
        <f t="shared" ref="O47" si="10">SUM(C47:N47)</f>
        <v>4762987</v>
      </c>
      <c r="P47" s="562">
        <f t="shared" ref="P47:P49" si="11">ROUND(O47/12,0)</f>
        <v>396916</v>
      </c>
      <c r="Q47" s="567"/>
      <c r="R47" s="567"/>
    </row>
    <row r="48" spans="1:18">
      <c r="K48" s="567"/>
      <c r="L48" s="567"/>
      <c r="M48" s="567"/>
      <c r="N48" s="594"/>
      <c r="O48" s="567"/>
      <c r="P48" s="567"/>
      <c r="Q48" s="567"/>
      <c r="R48" s="567"/>
    </row>
    <row r="49" spans="2:18">
      <c r="B49" s="566" t="s">
        <v>634</v>
      </c>
      <c r="C49" s="789">
        <f>C43+C47</f>
        <v>2754679</v>
      </c>
      <c r="D49" s="789">
        <f t="shared" ref="D49:N49" si="12">D43+D47</f>
        <v>2669482</v>
      </c>
      <c r="E49" s="789">
        <f t="shared" si="12"/>
        <v>2215691</v>
      </c>
      <c r="F49" s="789">
        <f t="shared" si="12"/>
        <v>1796674</v>
      </c>
      <c r="G49" s="789">
        <f t="shared" si="12"/>
        <v>1838361</v>
      </c>
      <c r="H49" s="789">
        <f t="shared" si="12"/>
        <v>2174161</v>
      </c>
      <c r="I49" s="789">
        <f t="shared" si="12"/>
        <v>2304959</v>
      </c>
      <c r="J49" s="789">
        <f t="shared" si="12"/>
        <v>2263442</v>
      </c>
      <c r="K49" s="789">
        <f t="shared" si="12"/>
        <v>2167131</v>
      </c>
      <c r="L49" s="789">
        <f t="shared" si="12"/>
        <v>1894103</v>
      </c>
      <c r="M49" s="789">
        <f t="shared" si="12"/>
        <v>2209636</v>
      </c>
      <c r="N49" s="789">
        <f t="shared" si="12"/>
        <v>2569668</v>
      </c>
      <c r="O49" s="562">
        <f t="shared" ref="O49" si="13">SUM(C49:N49)</f>
        <v>26857987</v>
      </c>
      <c r="P49" s="562">
        <f t="shared" si="11"/>
        <v>2238166</v>
      </c>
      <c r="Q49" s="567"/>
      <c r="R49" s="567"/>
    </row>
    <row r="50" spans="2:18">
      <c r="N50" s="595"/>
    </row>
  </sheetData>
  <pageMargins left="0.22" right="0.16" top="1.1000000000000001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49"/>
  <sheetViews>
    <sheetView topLeftCell="A5" zoomScale="80" zoomScaleNormal="80" workbookViewId="0">
      <selection activeCell="A29" sqref="A29"/>
    </sheetView>
  </sheetViews>
  <sheetFormatPr defaultRowHeight="15"/>
  <cols>
    <col min="1" max="1" width="4" customWidth="1"/>
    <col min="2" max="2" width="4.77734375" bestFit="1" customWidth="1"/>
    <col min="3" max="3" width="1.6640625" customWidth="1"/>
    <col min="4" max="4" width="64.109375" customWidth="1"/>
    <col min="5" max="5" width="28.5546875" customWidth="1"/>
    <col min="6" max="6" width="2.109375" customWidth="1"/>
    <col min="7" max="7" width="16" bestFit="1" customWidth="1"/>
    <col min="8" max="8" width="10.44140625" customWidth="1"/>
  </cols>
  <sheetData>
    <row r="1" spans="1:7">
      <c r="A1" s="99"/>
      <c r="B1" s="100"/>
      <c r="C1" s="99"/>
      <c r="D1" s="99"/>
      <c r="E1" s="99"/>
      <c r="F1" s="99"/>
      <c r="G1" s="99"/>
    </row>
    <row r="2" spans="1:7">
      <c r="A2" s="99"/>
      <c r="B2" s="100"/>
      <c r="C2" s="99"/>
      <c r="D2" s="99"/>
      <c r="E2" s="99"/>
      <c r="F2" s="99"/>
      <c r="G2" s="99"/>
    </row>
    <row r="3" spans="1:7">
      <c r="A3" s="732"/>
      <c r="B3" s="732"/>
      <c r="C3" s="732"/>
      <c r="D3" s="732"/>
      <c r="E3" s="732"/>
      <c r="F3" s="732"/>
      <c r="G3" s="99"/>
    </row>
    <row r="4" spans="1:7">
      <c r="A4" s="732"/>
      <c r="B4" s="732"/>
      <c r="C4" s="732"/>
      <c r="D4" s="732"/>
      <c r="E4" s="732"/>
      <c r="F4" s="732"/>
      <c r="G4" s="99"/>
    </row>
    <row r="5" spans="1:7">
      <c r="A5" s="732"/>
      <c r="B5" s="732"/>
      <c r="C5" s="732"/>
      <c r="D5" s="732"/>
      <c r="E5" s="732"/>
      <c r="F5" s="732"/>
      <c r="G5" s="137" t="s">
        <v>619</v>
      </c>
    </row>
    <row r="6" spans="1:7">
      <c r="A6" s="733" t="str">
        <f>[1]EKPC!A11</f>
        <v>East Kentucky Power Cooperative, Inc.</v>
      </c>
      <c r="B6" s="734"/>
      <c r="C6" s="734"/>
      <c r="D6" s="734"/>
      <c r="E6" s="734"/>
      <c r="F6" s="734"/>
      <c r="G6" s="734"/>
    </row>
    <row r="7" spans="1:7">
      <c r="A7" s="734" t="s">
        <v>240</v>
      </c>
      <c r="B7" s="734"/>
      <c r="C7" s="734"/>
      <c r="D7" s="734"/>
      <c r="E7" s="734"/>
      <c r="F7" s="734"/>
      <c r="G7" s="734"/>
    </row>
    <row r="8" spans="1:7">
      <c r="A8" s="735" t="s">
        <v>620</v>
      </c>
      <c r="B8" s="735"/>
      <c r="C8" s="735"/>
      <c r="D8" s="735"/>
      <c r="E8" s="735"/>
      <c r="F8" s="735"/>
      <c r="G8" s="735"/>
    </row>
    <row r="9" spans="1:7">
      <c r="A9" s="734" t="s">
        <v>621</v>
      </c>
      <c r="B9" s="734"/>
      <c r="C9" s="734"/>
      <c r="D9" s="734"/>
      <c r="E9" s="734"/>
      <c r="F9" s="734"/>
      <c r="G9" s="736"/>
    </row>
    <row r="10" spans="1:7">
      <c r="A10" s="99"/>
      <c r="B10" s="119"/>
      <c r="C10" s="118"/>
      <c r="D10" s="115"/>
      <c r="E10" s="99"/>
      <c r="F10" s="99"/>
      <c r="G10" s="99"/>
    </row>
    <row r="11" spans="1:7" ht="15.75">
      <c r="A11" s="550" t="s">
        <v>609</v>
      </c>
      <c r="B11" s="550"/>
      <c r="C11" s="550"/>
      <c r="D11" s="550"/>
      <c r="E11" s="550"/>
      <c r="F11" s="550"/>
      <c r="G11" s="550"/>
    </row>
    <row r="12" spans="1:7" ht="15.75">
      <c r="A12" s="130"/>
      <c r="B12" s="119"/>
      <c r="C12" s="118"/>
      <c r="D12" s="115"/>
      <c r="E12" s="99"/>
      <c r="F12" s="99"/>
      <c r="G12" s="99"/>
    </row>
    <row r="13" spans="1:7" ht="15.75">
      <c r="A13" s="99"/>
      <c r="B13" s="119"/>
      <c r="C13" s="118"/>
      <c r="D13" s="115"/>
      <c r="E13" s="115"/>
      <c r="F13" s="129"/>
      <c r="G13" s="121"/>
    </row>
    <row r="14" spans="1:7">
      <c r="A14" s="99"/>
      <c r="B14" s="119" t="s">
        <v>6</v>
      </c>
      <c r="C14" s="118"/>
      <c r="D14" s="115"/>
      <c r="E14" s="115"/>
      <c r="F14" s="115"/>
      <c r="G14" s="138" t="s">
        <v>239</v>
      </c>
    </row>
    <row r="15" spans="1:7">
      <c r="A15" s="99"/>
      <c r="B15" s="161" t="s">
        <v>8</v>
      </c>
      <c r="C15" s="120"/>
      <c r="D15" s="115"/>
      <c r="E15" s="161" t="s">
        <v>244</v>
      </c>
      <c r="F15" s="115"/>
      <c r="G15" s="161" t="s">
        <v>238</v>
      </c>
    </row>
    <row r="16" spans="1:7">
      <c r="A16" s="99"/>
      <c r="B16" s="127"/>
      <c r="C16" s="120"/>
      <c r="D16" s="737"/>
      <c r="E16" s="120"/>
      <c r="F16" s="115"/>
      <c r="G16" s="99"/>
    </row>
    <row r="17" spans="1:9">
      <c r="A17" s="138" t="s">
        <v>237</v>
      </c>
      <c r="B17" s="160" t="s">
        <v>241</v>
      </c>
      <c r="C17" s="120"/>
      <c r="D17" s="115"/>
      <c r="E17" s="120"/>
      <c r="F17" s="115"/>
      <c r="G17" s="99"/>
    </row>
    <row r="18" spans="1:9">
      <c r="A18" s="99"/>
      <c r="B18" s="119">
        <v>1</v>
      </c>
      <c r="C18" s="118"/>
      <c r="D18" s="737" t="s">
        <v>236</v>
      </c>
      <c r="E18" s="117" t="s">
        <v>468</v>
      </c>
      <c r="F18" s="117"/>
      <c r="G18" s="501">
        <f>'Appx A - Sch 1A'!G18</f>
        <v>2811255.5300000003</v>
      </c>
    </row>
    <row r="19" spans="1:9">
      <c r="A19" s="99"/>
      <c r="B19" s="119"/>
      <c r="C19" s="118"/>
      <c r="D19" s="737" t="s">
        <v>585</v>
      </c>
      <c r="E19" s="483"/>
      <c r="F19" s="484"/>
      <c r="G19" s="500">
        <f>G34/G33*G18</f>
        <v>54778.062755392762</v>
      </c>
    </row>
    <row r="20" spans="1:9">
      <c r="A20" s="99"/>
      <c r="B20" s="119"/>
      <c r="C20" s="118"/>
      <c r="D20" s="737" t="s">
        <v>520</v>
      </c>
      <c r="E20" s="465"/>
      <c r="F20" s="117"/>
      <c r="G20" s="500">
        <f>G18-G19</f>
        <v>2756477.4672446074</v>
      </c>
    </row>
    <row r="21" spans="1:9">
      <c r="A21" s="99"/>
      <c r="B21" s="119"/>
      <c r="C21" s="118"/>
      <c r="D21" s="737"/>
      <c r="E21" s="465"/>
      <c r="F21" s="117"/>
      <c r="G21" s="397"/>
    </row>
    <row r="22" spans="1:9">
      <c r="A22" s="99"/>
      <c r="B22" s="119"/>
      <c r="C22" s="118"/>
      <c r="D22" s="737"/>
      <c r="E22" s="118"/>
      <c r="F22" s="117"/>
      <c r="G22" s="397"/>
    </row>
    <row r="23" spans="1:9">
      <c r="A23" s="99"/>
      <c r="B23" s="119">
        <v>2</v>
      </c>
      <c r="C23" s="118"/>
      <c r="D23" s="737" t="s">
        <v>469</v>
      </c>
      <c r="E23" s="118" t="s">
        <v>467</v>
      </c>
      <c r="F23" s="108"/>
      <c r="G23" s="500">
        <f>'Appx A - Sch 1A'!G23</f>
        <v>364142.4</v>
      </c>
    </row>
    <row r="24" spans="1:9">
      <c r="A24" s="99"/>
      <c r="B24" s="119"/>
      <c r="C24" s="118"/>
      <c r="D24" s="737"/>
      <c r="E24" s="115"/>
      <c r="F24" s="117"/>
      <c r="G24" s="398"/>
    </row>
    <row r="25" spans="1:9">
      <c r="A25" s="99"/>
      <c r="B25" s="119">
        <v>3</v>
      </c>
      <c r="C25" s="118"/>
      <c r="D25" s="738" t="s">
        <v>235</v>
      </c>
      <c r="E25" s="415"/>
      <c r="F25" s="416"/>
      <c r="G25" s="500">
        <f>G20-G23</f>
        <v>2392335.0672446075</v>
      </c>
    </row>
    <row r="26" spans="1:9">
      <c r="A26" s="99"/>
      <c r="B26" s="119"/>
      <c r="C26" s="118"/>
      <c r="D26" s="737"/>
      <c r="E26" s="115"/>
      <c r="F26" s="117"/>
      <c r="G26" s="397"/>
    </row>
    <row r="27" spans="1:9">
      <c r="A27" s="99"/>
      <c r="B27" s="119">
        <v>4</v>
      </c>
      <c r="C27" s="118"/>
      <c r="D27" s="737" t="str">
        <f>CONCATENATE("Less: True Up Under/(Over) Recovery for 12 months ended  ",'[1]Appx C - True Up'!I11)</f>
        <v>Less: True Up Under/(Over) Recovery for 12 months ended  12/31/2012</v>
      </c>
      <c r="E27" s="118" t="s">
        <v>470</v>
      </c>
      <c r="F27" s="117"/>
      <c r="G27" s="397">
        <f>'Appx A - Sch 1A'!G27</f>
        <v>-6514.6116048611002</v>
      </c>
    </row>
    <row r="28" spans="1:9">
      <c r="A28" s="99"/>
      <c r="B28" s="119"/>
      <c r="C28" s="118"/>
      <c r="D28" s="737"/>
      <c r="E28" s="115"/>
      <c r="F28" s="117"/>
      <c r="G28" s="397"/>
    </row>
    <row r="29" spans="1:9">
      <c r="A29" s="99"/>
      <c r="B29" s="119">
        <v>5</v>
      </c>
      <c r="C29" s="118"/>
      <c r="D29" s="737" t="str">
        <f>CONCATENATE("Schedule 1A Recovery Amount  ",[1]EKPC!J7)</f>
        <v>Schedule 1A Recovery Amount  For the 12 months ended 12/31/2012</v>
      </c>
      <c r="E29" s="115"/>
      <c r="F29" s="117"/>
      <c r="G29" s="499">
        <f>G25+G27</f>
        <v>2385820.4556397465</v>
      </c>
    </row>
    <row r="30" spans="1:9">
      <c r="A30" s="99"/>
      <c r="B30" s="119"/>
      <c r="C30" s="118"/>
      <c r="D30" s="737"/>
      <c r="E30" s="115"/>
      <c r="F30" s="117"/>
      <c r="G30" s="122"/>
    </row>
    <row r="31" spans="1:9">
      <c r="A31" s="99"/>
      <c r="B31" s="111">
        <v>6</v>
      </c>
      <c r="C31" s="118"/>
      <c r="D31" s="739" t="s">
        <v>623</v>
      </c>
      <c r="E31" s="138" t="s">
        <v>484</v>
      </c>
      <c r="F31" s="117"/>
      <c r="G31" s="768">
        <v>12648483</v>
      </c>
      <c r="H31" s="106" t="s">
        <v>232</v>
      </c>
      <c r="I31" s="99"/>
    </row>
    <row r="32" spans="1:9">
      <c r="A32" s="99"/>
      <c r="B32" s="548" t="s">
        <v>407</v>
      </c>
      <c r="C32" s="118"/>
      <c r="D32" s="739" t="s">
        <v>590</v>
      </c>
      <c r="E32" s="118" t="s">
        <v>593</v>
      </c>
      <c r="F32" s="117"/>
      <c r="G32" s="768">
        <f>509140-464340</f>
        <v>44800</v>
      </c>
      <c r="H32" s="106"/>
      <c r="I32" s="99"/>
    </row>
    <row r="33" spans="1:9">
      <c r="A33" s="99"/>
      <c r="B33" s="548" t="s">
        <v>582</v>
      </c>
      <c r="C33" s="118"/>
      <c r="D33" s="739" t="s">
        <v>568</v>
      </c>
      <c r="E33" s="118" t="s">
        <v>597</v>
      </c>
      <c r="F33" s="117"/>
      <c r="G33" s="741">
        <f>G31+G32</f>
        <v>12693283</v>
      </c>
      <c r="H33" s="106"/>
      <c r="I33" s="99"/>
    </row>
    <row r="34" spans="1:9">
      <c r="A34" s="99"/>
      <c r="B34" s="548" t="s">
        <v>583</v>
      </c>
      <c r="C34" s="118"/>
      <c r="D34" s="739" t="s">
        <v>599</v>
      </c>
      <c r="F34" s="117"/>
      <c r="G34" s="768">
        <v>247332</v>
      </c>
      <c r="H34" s="106"/>
      <c r="I34" s="99"/>
    </row>
    <row r="35" spans="1:9" ht="15.75" thickBot="1">
      <c r="A35" s="99"/>
      <c r="B35" s="548" t="s">
        <v>584</v>
      </c>
      <c r="C35" s="118"/>
      <c r="D35" s="739" t="s">
        <v>569</v>
      </c>
      <c r="E35" s="118"/>
      <c r="F35" s="117"/>
      <c r="G35" s="742">
        <f>G33-G34</f>
        <v>12445951</v>
      </c>
      <c r="H35" s="106" t="s">
        <v>232</v>
      </c>
      <c r="I35" s="99"/>
    </row>
    <row r="36" spans="1:9">
      <c r="A36" s="99"/>
      <c r="B36" s="111"/>
      <c r="C36" s="118"/>
      <c r="D36" s="739"/>
      <c r="E36" s="118"/>
      <c r="F36" s="117"/>
      <c r="G36" s="740"/>
      <c r="H36" s="106"/>
      <c r="I36" s="99"/>
    </row>
    <row r="37" spans="1:9">
      <c r="A37" s="99"/>
      <c r="B37" s="111">
        <f>+B31+1</f>
        <v>7</v>
      </c>
      <c r="C37" s="118"/>
      <c r="D37" s="739" t="s">
        <v>622</v>
      </c>
      <c r="E37" s="118" t="s">
        <v>610</v>
      </c>
      <c r="F37" s="117"/>
      <c r="G37" s="136">
        <f>EKPC!J32</f>
        <v>2238166</v>
      </c>
      <c r="H37" s="115" t="s">
        <v>611</v>
      </c>
      <c r="I37" s="99"/>
    </row>
    <row r="38" spans="1:9">
      <c r="A38" s="101"/>
      <c r="C38" s="743"/>
      <c r="D38" s="739"/>
      <c r="F38" s="744"/>
      <c r="G38" s="112"/>
      <c r="I38" s="99"/>
    </row>
    <row r="39" spans="1:9">
      <c r="A39" s="101"/>
      <c r="B39" s="119">
        <f>B37+1</f>
        <v>8</v>
      </c>
      <c r="C39" s="743"/>
      <c r="D39" s="739" t="s">
        <v>612</v>
      </c>
      <c r="E39" s="745" t="str">
        <f>"(Line 5 / Line 7 / 12)"</f>
        <v>(Line 5 / Line 7 / 12)</v>
      </c>
      <c r="F39" s="744"/>
      <c r="G39" s="746">
        <f>G29/G37/12</f>
        <v>8.8830931800104276E-2</v>
      </c>
      <c r="H39" s="747" t="s">
        <v>613</v>
      </c>
      <c r="I39" s="99"/>
    </row>
    <row r="40" spans="1:9">
      <c r="A40" s="101"/>
      <c r="B40" s="111"/>
      <c r="C40" s="743"/>
      <c r="D40" s="739"/>
      <c r="E40" s="744"/>
      <c r="F40" s="743"/>
      <c r="G40" s="101"/>
      <c r="H40" s="743"/>
      <c r="I40" s="99"/>
    </row>
    <row r="41" spans="1:9">
      <c r="A41" s="99"/>
      <c r="B41" s="111"/>
      <c r="C41" s="743"/>
      <c r="D41" s="739"/>
      <c r="E41" s="744"/>
      <c r="F41" s="744"/>
      <c r="G41" s="99"/>
      <c r="H41" s="744"/>
      <c r="I41" s="103"/>
    </row>
    <row r="42" spans="1:9">
      <c r="A42" s="99"/>
      <c r="B42" s="369" t="s">
        <v>144</v>
      </c>
      <c r="C42" s="748"/>
      <c r="D42" s="749"/>
      <c r="E42" s="750"/>
      <c r="F42" s="750"/>
      <c r="G42" s="705"/>
      <c r="H42" s="750"/>
      <c r="I42" s="103"/>
    </row>
    <row r="43" spans="1:9">
      <c r="A43" s="99"/>
      <c r="B43" s="751" t="s">
        <v>16</v>
      </c>
      <c r="C43" s="743"/>
      <c r="D43" s="817" t="s">
        <v>614</v>
      </c>
      <c r="E43" s="817"/>
      <c r="F43" s="817"/>
      <c r="G43" s="817"/>
      <c r="H43" s="817"/>
      <c r="I43" s="103"/>
    </row>
    <row r="44" spans="1:9">
      <c r="A44" s="99"/>
      <c r="B44" s="404" t="s">
        <v>17</v>
      </c>
      <c r="C44" s="106"/>
      <c r="D44" s="817" t="str">
        <f>CONCATENATE("Revenue received pursuant to PJM Schedule 1A revenue allocation procedures for transmission service outside of EKPC's zone during the year used to calculate rates under ",[1]EKPC!J2)</f>
        <v>Revenue received pursuant to PJM Schedule 1A revenue allocation procedures for transmission service outside of EKPC's zone during the year used to calculate rates under page 1 of 5</v>
      </c>
      <c r="E44" s="817"/>
      <c r="F44" s="817"/>
      <c r="G44" s="817"/>
      <c r="H44" s="817"/>
      <c r="I44" s="752"/>
    </row>
    <row r="45" spans="1:9">
      <c r="A45" s="99"/>
      <c r="B45" s="404" t="s">
        <v>18</v>
      </c>
      <c r="C45" s="106"/>
      <c r="D45" s="101" t="str">
        <f>CONCATENATE("Amount from ",[1]EKPC!J1,", Appendix C, line 13 for stated year.")</f>
        <v>Amount from Attachment H-24A, Appendix C, line 13 for stated year.</v>
      </c>
      <c r="E45" s="703"/>
      <c r="F45" s="703"/>
      <c r="G45" s="703"/>
      <c r="H45" s="743"/>
      <c r="I45" s="753"/>
    </row>
    <row r="46" spans="1:9">
      <c r="A46" s="99"/>
      <c r="B46" s="404" t="s">
        <v>19</v>
      </c>
      <c r="C46" s="106"/>
      <c r="D46" s="101" t="s">
        <v>615</v>
      </c>
      <c r="E46" s="743"/>
      <c r="F46" s="743"/>
      <c r="G46" s="743"/>
      <c r="H46" s="743"/>
      <c r="I46" s="752"/>
    </row>
    <row r="47" spans="1:9">
      <c r="A47" s="99"/>
      <c r="B47" s="404" t="s">
        <v>20</v>
      </c>
      <c r="C47" s="103"/>
      <c r="D47" s="101" t="s">
        <v>616</v>
      </c>
      <c r="E47" s="103"/>
      <c r="F47" s="103"/>
      <c r="G47" s="103"/>
      <c r="H47" s="103"/>
      <c r="I47" s="103"/>
    </row>
    <row r="48" spans="1:9">
      <c r="A48" s="99"/>
      <c r="B48" s="404" t="s">
        <v>404</v>
      </c>
      <c r="C48" s="103"/>
      <c r="D48" s="101" t="s">
        <v>617</v>
      </c>
      <c r="E48" s="103"/>
      <c r="F48" s="103"/>
      <c r="G48" s="103"/>
      <c r="H48" s="103"/>
      <c r="I48" s="103"/>
    </row>
    <row r="49" spans="2:8">
      <c r="B49" s="404" t="s">
        <v>405</v>
      </c>
      <c r="D49" s="817" t="s">
        <v>618</v>
      </c>
      <c r="E49" s="817"/>
      <c r="F49" s="817"/>
      <c r="G49" s="817"/>
      <c r="H49" s="817"/>
    </row>
  </sheetData>
  <mergeCells count="3">
    <mergeCell ref="D43:H43"/>
    <mergeCell ref="D44:H44"/>
    <mergeCell ref="D49:H49"/>
  </mergeCells>
  <pageMargins left="0.7" right="0.7" top="0.75" bottom="0.75" header="0.3" footer="0.3"/>
  <pageSetup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2">
    <tabColor rgb="FF00B050"/>
    <pageSetUpPr fitToPage="1"/>
  </sheetPr>
  <dimension ref="A1:Z955"/>
  <sheetViews>
    <sheetView zoomScale="70" zoomScaleNormal="70" zoomScaleSheetLayoutView="70" workbookViewId="0"/>
  </sheetViews>
  <sheetFormatPr defaultColWidth="9.33203125" defaultRowHeight="15"/>
  <cols>
    <col min="1" max="1" width="4" style="99" customWidth="1"/>
    <col min="2" max="2" width="4.77734375" style="100" bestFit="1" customWidth="1"/>
    <col min="3" max="3" width="1.6640625" style="99" customWidth="1"/>
    <col min="4" max="4" width="64.109375" style="99" customWidth="1"/>
    <col min="5" max="5" width="28.5546875" style="99" customWidth="1"/>
    <col min="6" max="6" width="2.109375" style="99" customWidth="1"/>
    <col min="7" max="7" width="16" style="99" bestFit="1" customWidth="1"/>
    <col min="8" max="8" width="6.5546875" style="99" customWidth="1"/>
    <col min="9" max="9" width="2.21875" style="99" customWidth="1"/>
    <col min="10" max="10" width="18.88671875" style="99" bestFit="1" customWidth="1"/>
    <col min="11" max="11" width="11.88671875" style="99" bestFit="1" customWidth="1"/>
    <col min="12" max="16384" width="9.33203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12/31/2013</v>
      </c>
      <c r="H5" s="108"/>
      <c r="J5" s="136"/>
    </row>
    <row r="6" spans="1:10" ht="15.75">
      <c r="A6" s="297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75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75">
      <c r="A8" s="135" t="str">
        <f>EKPC!A9</f>
        <v>Utilizing EKPC 2013 Form FF1 Data</v>
      </c>
      <c r="B8" s="135"/>
      <c r="C8" s="135"/>
      <c r="D8" s="135"/>
      <c r="E8" s="135"/>
      <c r="F8" s="135"/>
      <c r="G8" s="135"/>
      <c r="H8" s="128"/>
      <c r="I8" s="134"/>
    </row>
    <row r="9" spans="1:10" ht="15.75">
      <c r="A9" s="133" t="s">
        <v>621</v>
      </c>
      <c r="B9" s="133"/>
      <c r="C9" s="133"/>
      <c r="D9" s="133"/>
      <c r="E9" s="133"/>
      <c r="F9" s="133"/>
      <c r="G9" s="486"/>
      <c r="H9" s="128"/>
      <c r="I9" s="132"/>
    </row>
    <row r="10" spans="1:10" ht="15.75">
      <c r="B10" s="119"/>
      <c r="C10" s="118"/>
      <c r="D10" s="115"/>
      <c r="H10" s="128"/>
    </row>
    <row r="11" spans="1:10" ht="15.75">
      <c r="A11" s="550" t="s">
        <v>246</v>
      </c>
      <c r="B11" s="550"/>
      <c r="C11" s="550"/>
      <c r="D11" s="550"/>
      <c r="E11" s="550"/>
      <c r="F11" s="550"/>
      <c r="G11" s="550"/>
      <c r="H11" s="128"/>
      <c r="I11" s="131"/>
    </row>
    <row r="12" spans="1:10" ht="15.75">
      <c r="A12" s="130"/>
      <c r="B12" s="119"/>
      <c r="C12" s="118"/>
      <c r="D12" s="115"/>
      <c r="H12" s="128"/>
    </row>
    <row r="13" spans="1:10" ht="15.75">
      <c r="B13" s="119"/>
      <c r="C13" s="118"/>
      <c r="D13" s="115"/>
      <c r="E13" s="115"/>
      <c r="F13" s="129"/>
      <c r="G13" s="121"/>
      <c r="H13" s="128"/>
    </row>
    <row r="14" spans="1:10" ht="15.75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75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18"/>
      <c r="K17" s="518"/>
      <c r="L17" s="518"/>
      <c r="M17" s="518"/>
      <c r="N17" s="518"/>
    </row>
    <row r="18" spans="1:26">
      <c r="B18" s="119">
        <v>1</v>
      </c>
      <c r="C18" s="118"/>
      <c r="D18" s="124" t="s">
        <v>236</v>
      </c>
      <c r="E18" s="549" t="s">
        <v>549</v>
      </c>
      <c r="F18" s="117"/>
      <c r="G18" s="501">
        <f>'Pg 4 of 8 Sch 1 Charges 561'!D42</f>
        <v>2811255.5300000003</v>
      </c>
      <c r="H18" s="126"/>
      <c r="J18" s="519"/>
      <c r="K18" s="520"/>
      <c r="L18" s="485"/>
      <c r="M18" s="485"/>
      <c r="N18" s="485"/>
      <c r="O18" s="101"/>
      <c r="P18" s="101"/>
      <c r="Q18" s="101"/>
    </row>
    <row r="19" spans="1:26">
      <c r="B19" s="119"/>
      <c r="C19" s="118"/>
      <c r="D19" s="124" t="s">
        <v>585</v>
      </c>
      <c r="E19" s="483"/>
      <c r="F19" s="484"/>
      <c r="G19" s="500">
        <f>G35/G34*G18</f>
        <v>54778.062755392762</v>
      </c>
      <c r="H19" s="126"/>
      <c r="J19" s="519"/>
      <c r="K19" s="485"/>
      <c r="L19" s="485"/>
      <c r="M19" s="485"/>
      <c r="N19" s="485"/>
      <c r="O19" s="101"/>
      <c r="P19" s="101"/>
      <c r="Q19" s="101"/>
    </row>
    <row r="20" spans="1:26">
      <c r="B20" s="119"/>
      <c r="C20" s="118"/>
      <c r="D20" s="124" t="s">
        <v>520</v>
      </c>
      <c r="E20" s="465"/>
      <c r="F20" s="117"/>
      <c r="G20" s="500">
        <f>G18-G19</f>
        <v>2756477.4672446074</v>
      </c>
      <c r="H20" s="126"/>
      <c r="J20" s="521"/>
      <c r="K20" s="485"/>
      <c r="L20" s="485"/>
      <c r="M20" s="485"/>
      <c r="N20" s="485"/>
      <c r="O20" s="101"/>
      <c r="P20" s="101"/>
      <c r="Q20" s="101"/>
    </row>
    <row r="21" spans="1:26">
      <c r="B21" s="119"/>
      <c r="C21" s="118"/>
      <c r="D21" s="124"/>
      <c r="E21" s="465"/>
      <c r="F21" s="117"/>
      <c r="G21" s="397"/>
      <c r="H21" s="126"/>
      <c r="J21" s="485"/>
      <c r="K21" s="485"/>
      <c r="L21" s="485"/>
      <c r="M21" s="485"/>
      <c r="N21" s="485"/>
      <c r="O21" s="101"/>
      <c r="P21" s="101"/>
      <c r="Q21" s="101"/>
    </row>
    <row r="22" spans="1:26" s="101" customFormat="1">
      <c r="A22" s="99"/>
      <c r="B22" s="119"/>
      <c r="C22" s="118"/>
      <c r="D22" s="124"/>
      <c r="E22" s="118"/>
      <c r="F22" s="117"/>
      <c r="G22" s="397"/>
      <c r="H22" s="125"/>
      <c r="I22" s="99"/>
    </row>
    <row r="23" spans="1:26" s="101" customFormat="1">
      <c r="A23" s="99"/>
      <c r="B23" s="119">
        <v>2</v>
      </c>
      <c r="C23" s="118"/>
      <c r="D23" s="124" t="s">
        <v>469</v>
      </c>
      <c r="E23" s="117" t="s">
        <v>468</v>
      </c>
      <c r="F23" s="108"/>
      <c r="G23" s="778">
        <v>364142.4</v>
      </c>
      <c r="H23"/>
      <c r="I23" s="99"/>
      <c r="J23" s="801"/>
    </row>
    <row r="24" spans="1:26" s="101" customFormat="1">
      <c r="A24" s="99"/>
      <c r="B24" s="119"/>
      <c r="C24" s="118"/>
      <c r="D24" s="124"/>
      <c r="E24" s="115"/>
      <c r="F24" s="117"/>
      <c r="G24" s="398"/>
      <c r="H24" s="125"/>
      <c r="I24" s="99"/>
      <c r="J24" s="801"/>
    </row>
    <row r="25" spans="1:26" s="101" customFormat="1">
      <c r="A25" s="99"/>
      <c r="B25" s="119">
        <v>3</v>
      </c>
      <c r="C25" s="118"/>
      <c r="D25" s="414" t="s">
        <v>235</v>
      </c>
      <c r="E25" s="415"/>
      <c r="F25" s="416"/>
      <c r="G25" s="500">
        <f>G20-G23</f>
        <v>2392335.0672446075</v>
      </c>
      <c r="H25" s="125"/>
      <c r="I25" s="99"/>
    </row>
    <row r="26" spans="1:26" s="101" customFormat="1">
      <c r="A26" s="99"/>
      <c r="B26" s="119"/>
      <c r="C26" s="118"/>
      <c r="D26" s="124"/>
      <c r="E26" s="115"/>
      <c r="F26" s="117"/>
      <c r="G26" s="397"/>
      <c r="H26" s="123"/>
      <c r="I26" s="99"/>
    </row>
    <row r="27" spans="1:26" s="101" customFormat="1">
      <c r="A27" s="99"/>
      <c r="B27" s="119">
        <v>4</v>
      </c>
      <c r="C27" s="118"/>
      <c r="D27" s="124" t="str">
        <f>CONCATENATE("Less: True Up Under/(Over) Recovery for 12 months ended  ",'Appx C - True Up'!I11)</f>
        <v xml:space="preserve">Less: True Up Under/(Over) Recovery for 12 months ended  </v>
      </c>
      <c r="E27" s="118" t="s">
        <v>467</v>
      </c>
      <c r="F27" s="117"/>
      <c r="G27" s="799">
        <v>-6514.6116048611002</v>
      </c>
      <c r="H27" s="123"/>
      <c r="I27" s="99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</row>
    <row r="28" spans="1:26" s="101" customFormat="1">
      <c r="A28" s="99"/>
      <c r="B28" s="119"/>
      <c r="C28" s="118"/>
      <c r="D28" s="124"/>
      <c r="E28" s="115"/>
      <c r="F28" s="117"/>
      <c r="G28" s="397"/>
      <c r="H28" s="123"/>
      <c r="I28" s="99"/>
      <c r="J28" s="574"/>
      <c r="K28" s="574"/>
      <c r="L28" s="574"/>
      <c r="M28" s="574"/>
      <c r="N28" s="574"/>
      <c r="O28" s="574"/>
      <c r="P28" s="574"/>
      <c r="Q28" s="574"/>
      <c r="R28" s="574"/>
      <c r="S28" s="574"/>
      <c r="T28" s="574"/>
      <c r="U28" s="574"/>
      <c r="V28" s="574"/>
      <c r="W28" s="574"/>
      <c r="X28" s="574"/>
      <c r="Y28" s="574"/>
      <c r="Z28" s="574"/>
    </row>
    <row r="29" spans="1:26" s="101" customFormat="1">
      <c r="A29" s="99"/>
      <c r="B29" s="119">
        <v>5</v>
      </c>
      <c r="C29" s="118"/>
      <c r="D29" s="124" t="str">
        <f>CONCATENATE("Schedule 1A Recovery Amount for 12 Months ended ",'Appx C - True Up'!I13)</f>
        <v xml:space="preserve">Schedule 1A Recovery Amount for 12 Months ended </v>
      </c>
      <c r="E29" s="115"/>
      <c r="F29" s="117"/>
      <c r="G29" s="499">
        <f>G25+G27</f>
        <v>2385820.4556397465</v>
      </c>
      <c r="H29" s="123"/>
      <c r="I29" s="99"/>
      <c r="J29" s="574"/>
      <c r="K29" s="574"/>
      <c r="L29" s="574"/>
      <c r="M29" s="574"/>
      <c r="N29" s="574"/>
      <c r="O29" s="574"/>
      <c r="P29" s="574"/>
      <c r="Q29" s="574"/>
      <c r="R29" s="574"/>
      <c r="S29" s="574"/>
      <c r="T29" s="574"/>
      <c r="U29" s="574"/>
      <c r="V29" s="574"/>
      <c r="W29" s="574"/>
      <c r="X29" s="574"/>
      <c r="Y29" s="574"/>
      <c r="Z29" s="574"/>
    </row>
    <row r="30" spans="1:26" s="101" customFormat="1">
      <c r="A30" s="99"/>
      <c r="B30" s="119"/>
      <c r="C30" s="118"/>
      <c r="D30" s="124"/>
      <c r="E30" s="115"/>
      <c r="F30" s="117"/>
      <c r="G30" s="122"/>
      <c r="H30" s="123"/>
      <c r="I30" s="99"/>
      <c r="J30" s="574"/>
      <c r="K30" s="574"/>
      <c r="L30" s="574"/>
      <c r="M30" s="574"/>
      <c r="N30" s="574"/>
      <c r="O30" s="574"/>
      <c r="P30" s="574"/>
      <c r="Q30" s="574"/>
      <c r="R30" s="574"/>
      <c r="S30" s="574"/>
      <c r="T30" s="574"/>
      <c r="U30" s="574"/>
      <c r="V30" s="574"/>
      <c r="W30" s="574"/>
      <c r="X30" s="574"/>
      <c r="Y30" s="574"/>
      <c r="Z30" s="574"/>
    </row>
    <row r="31" spans="1:26" s="101" customFormat="1">
      <c r="A31" s="138" t="s">
        <v>234</v>
      </c>
      <c r="B31" s="160" t="s">
        <v>233</v>
      </c>
      <c r="C31" s="120"/>
      <c r="D31" s="115"/>
      <c r="E31" s="99"/>
      <c r="F31" s="115"/>
      <c r="H31" s="106"/>
      <c r="I31" s="99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  <c r="U31" s="574"/>
      <c r="V31" s="574"/>
      <c r="W31" s="574"/>
      <c r="X31" s="574"/>
      <c r="Y31" s="574"/>
      <c r="Z31" s="574"/>
    </row>
    <row r="32" spans="1:26" s="101" customFormat="1">
      <c r="A32" s="99"/>
      <c r="B32" s="111">
        <v>6</v>
      </c>
      <c r="C32" s="118"/>
      <c r="D32" s="739" t="s">
        <v>623</v>
      </c>
      <c r="E32" s="118" t="s">
        <v>470</v>
      </c>
      <c r="F32" s="117"/>
      <c r="G32" s="768">
        <v>12648483</v>
      </c>
      <c r="H32" s="106" t="s">
        <v>232</v>
      </c>
      <c r="I32" s="99"/>
      <c r="J32" s="574"/>
      <c r="K32" s="574"/>
      <c r="L32" s="574"/>
      <c r="M32" s="574"/>
      <c r="N32" s="574"/>
      <c r="O32" s="574"/>
      <c r="P32" s="574"/>
      <c r="Q32" s="574"/>
      <c r="R32" s="574"/>
      <c r="S32" s="574"/>
      <c r="T32" s="574"/>
      <c r="U32" s="574"/>
      <c r="V32" s="574"/>
      <c r="W32" s="574"/>
      <c r="X32" s="574"/>
      <c r="Y32" s="574"/>
      <c r="Z32" s="574"/>
    </row>
    <row r="33" spans="1:26" s="101" customFormat="1">
      <c r="A33" s="99"/>
      <c r="B33" s="548" t="s">
        <v>407</v>
      </c>
      <c r="C33" s="118"/>
      <c r="D33" s="109" t="s">
        <v>590</v>
      </c>
      <c r="E33" s="138" t="s">
        <v>484</v>
      </c>
      <c r="F33" s="117"/>
      <c r="G33" s="768">
        <f>509140-464340</f>
        <v>44800</v>
      </c>
      <c r="H33" s="106"/>
      <c r="I33" s="99"/>
      <c r="J33" s="574"/>
      <c r="K33" s="574"/>
      <c r="L33" s="574"/>
      <c r="M33" s="574"/>
      <c r="N33" s="574"/>
      <c r="O33" s="574"/>
      <c r="P33" s="574"/>
      <c r="Q33" s="574"/>
      <c r="R33" s="574"/>
      <c r="S33" s="574"/>
      <c r="T33" s="574"/>
      <c r="U33" s="574"/>
      <c r="V33" s="574"/>
      <c r="W33" s="574"/>
      <c r="X33" s="574"/>
      <c r="Y33" s="574"/>
      <c r="Z33" s="574"/>
    </row>
    <row r="34" spans="1:26" s="101" customFormat="1">
      <c r="A34" s="99"/>
      <c r="B34" s="548" t="s">
        <v>582</v>
      </c>
      <c r="C34" s="118"/>
      <c r="D34" s="109" t="s">
        <v>568</v>
      </c>
      <c r="E34" s="118" t="s">
        <v>593</v>
      </c>
      <c r="F34" s="117"/>
      <c r="G34" s="596">
        <f>G32+G33</f>
        <v>12693283</v>
      </c>
      <c r="H34" s="106"/>
      <c r="I34" s="99"/>
      <c r="J34" s="574"/>
      <c r="K34" s="574"/>
      <c r="L34" s="574"/>
      <c r="M34" s="574"/>
      <c r="N34" s="574"/>
      <c r="O34" s="574"/>
      <c r="P34" s="574"/>
      <c r="Q34" s="574"/>
      <c r="R34" s="574"/>
      <c r="S34" s="574"/>
      <c r="T34" s="574"/>
      <c r="U34" s="574"/>
      <c r="V34" s="574"/>
      <c r="W34" s="574"/>
      <c r="X34" s="574"/>
      <c r="Y34" s="574"/>
      <c r="Z34" s="574"/>
    </row>
    <row r="35" spans="1:26" s="101" customFormat="1">
      <c r="A35" s="99"/>
      <c r="B35" s="548" t="s">
        <v>583</v>
      </c>
      <c r="C35" s="118"/>
      <c r="D35" s="109" t="s">
        <v>599</v>
      </c>
      <c r="E35" s="118" t="s">
        <v>597</v>
      </c>
      <c r="F35" s="117"/>
      <c r="G35" s="768">
        <v>247332</v>
      </c>
      <c r="H35" s="106"/>
      <c r="I35" s="99"/>
      <c r="J35" s="574"/>
      <c r="K35" s="574"/>
      <c r="L35" s="574"/>
      <c r="M35" s="574"/>
      <c r="N35" s="574"/>
      <c r="O35" s="574"/>
      <c r="P35" s="574"/>
      <c r="Q35" s="574"/>
      <c r="R35" s="574"/>
      <c r="S35" s="574"/>
      <c r="T35" s="574"/>
      <c r="U35" s="574"/>
      <c r="V35" s="574"/>
      <c r="W35" s="574"/>
      <c r="X35" s="574"/>
      <c r="Y35" s="574"/>
      <c r="Z35" s="574"/>
    </row>
    <row r="36" spans="1:26" s="101" customFormat="1" ht="16.5" thickBot="1">
      <c r="A36" s="99"/>
      <c r="B36" s="548" t="s">
        <v>584</v>
      </c>
      <c r="C36" s="118"/>
      <c r="D36" s="109" t="s">
        <v>569</v>
      </c>
      <c r="E36" s="118"/>
      <c r="F36" s="117"/>
      <c r="G36" s="597">
        <f>G34-G35</f>
        <v>12445951</v>
      </c>
      <c r="H36" s="106" t="s">
        <v>232</v>
      </c>
      <c r="I36" s="99"/>
      <c r="J36" s="802"/>
      <c r="X36" s="574"/>
      <c r="Y36" s="574"/>
      <c r="Z36" s="574"/>
    </row>
    <row r="37" spans="1:26" s="101" customFormat="1" ht="15.75">
      <c r="A37" s="99"/>
      <c r="B37" s="111"/>
      <c r="C37" s="118"/>
      <c r="D37" s="109"/>
      <c r="E37" s="118"/>
      <c r="F37" s="117"/>
      <c r="G37" s="406"/>
      <c r="H37" s="106"/>
      <c r="I37" s="99"/>
      <c r="J37" s="803"/>
      <c r="K37" s="574"/>
      <c r="L37" s="574"/>
      <c r="M37" s="574"/>
      <c r="N37" s="574"/>
      <c r="O37" s="574"/>
      <c r="X37" s="574"/>
      <c r="Y37" s="574"/>
      <c r="Z37" s="574"/>
    </row>
    <row r="38" spans="1:26" s="101" customFormat="1">
      <c r="A38" s="99"/>
      <c r="B38" s="111"/>
      <c r="C38" s="118"/>
      <c r="D38" s="109"/>
      <c r="E38" s="115"/>
      <c r="F38" s="117"/>
      <c r="G38" s="116"/>
      <c r="H38" s="115"/>
      <c r="I38" s="99"/>
      <c r="J38" s="574"/>
      <c r="K38" s="574"/>
      <c r="L38" s="574"/>
      <c r="M38" s="574"/>
      <c r="N38" s="574"/>
      <c r="O38" s="574"/>
      <c r="P38" s="574"/>
      <c r="Q38" s="574"/>
      <c r="R38" s="574"/>
      <c r="S38" s="574"/>
      <c r="T38" s="574"/>
      <c r="U38" s="574"/>
      <c r="V38" s="574"/>
      <c r="W38" s="574"/>
      <c r="X38" s="574"/>
      <c r="Y38" s="574"/>
      <c r="Z38" s="574"/>
    </row>
    <row r="39" spans="1:26" s="101" customFormat="1">
      <c r="B39" s="111">
        <f>+B32+1</f>
        <v>7</v>
      </c>
      <c r="C39" s="110"/>
      <c r="D39" s="109" t="s">
        <v>466</v>
      </c>
      <c r="E39" s="114" t="str">
        <f>"(Line "&amp;B25&amp;" / Line "&amp;B32&amp;")"</f>
        <v>(Line 3 / Line 6)</v>
      </c>
      <c r="F39" s="107"/>
      <c r="G39" s="112">
        <f>+G29/G36</f>
        <v>0.19169450816894157</v>
      </c>
      <c r="H39" s="113" t="s">
        <v>231</v>
      </c>
      <c r="I39" s="99"/>
      <c r="J39" s="804"/>
    </row>
    <row r="40" spans="1:26" s="101" customFormat="1">
      <c r="B40" s="111"/>
      <c r="C40" s="110"/>
      <c r="D40" s="109"/>
      <c r="E40" s="107"/>
      <c r="F40" s="107"/>
      <c r="G40" s="99"/>
      <c r="H40" s="107"/>
      <c r="I40" s="99"/>
    </row>
    <row r="41" spans="1:26" s="101" customFormat="1">
      <c r="B41" s="111"/>
      <c r="C41" s="110"/>
      <c r="D41" s="109"/>
      <c r="E41" s="107"/>
      <c r="F41" s="110"/>
      <c r="H41" s="110"/>
      <c r="I41" s="99"/>
    </row>
    <row r="42" spans="1:26" s="101" customFormat="1">
      <c r="A42" s="99"/>
      <c r="B42" s="111"/>
      <c r="C42" s="110"/>
      <c r="D42" s="109"/>
      <c r="E42" s="107"/>
      <c r="F42" s="107"/>
      <c r="G42" s="99"/>
      <c r="H42" s="107"/>
      <c r="I42" s="103"/>
      <c r="J42" s="103"/>
    </row>
    <row r="43" spans="1:26" s="101" customFormat="1">
      <c r="A43" s="99"/>
      <c r="B43" s="369" t="s">
        <v>144</v>
      </c>
      <c r="C43" s="370"/>
      <c r="D43" s="371"/>
      <c r="E43" s="704"/>
      <c r="F43" s="704"/>
      <c r="G43" s="705"/>
      <c r="H43" s="704"/>
      <c r="I43" s="103"/>
      <c r="J43" s="103"/>
    </row>
    <row r="44" spans="1:26" s="101" customFormat="1" ht="30" customHeight="1">
      <c r="A44" s="99"/>
      <c r="B44" s="611" t="s">
        <v>16</v>
      </c>
      <c r="C44" s="110"/>
      <c r="D44" s="818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18"/>
      <c r="F44" s="818"/>
      <c r="G44" s="818"/>
      <c r="H44" s="818"/>
      <c r="I44" s="103"/>
      <c r="J44" s="574"/>
      <c r="K44" s="574"/>
      <c r="L44" s="574"/>
      <c r="M44" s="574"/>
      <c r="N44" s="574"/>
      <c r="O44" s="574"/>
    </row>
    <row r="45" spans="1:26" s="101" customFormat="1">
      <c r="A45" s="99"/>
      <c r="B45" s="404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I45" s="522"/>
      <c r="J45" s="769"/>
    </row>
    <row r="46" spans="1:26" s="101" customFormat="1" ht="15" customHeight="1">
      <c r="A46" s="99"/>
      <c r="B46" s="404" t="s">
        <v>18</v>
      </c>
      <c r="C46" s="106"/>
      <c r="D46" s="818" t="s">
        <v>591</v>
      </c>
      <c r="E46" s="816"/>
      <c r="F46" s="816"/>
      <c r="G46" s="816"/>
      <c r="H46" s="110"/>
      <c r="I46" s="523"/>
      <c r="J46" s="103"/>
    </row>
    <row r="47" spans="1:26" s="101" customFormat="1">
      <c r="A47" s="99"/>
      <c r="B47" s="404" t="s">
        <v>19</v>
      </c>
      <c r="C47" s="106"/>
      <c r="D47" s="101" t="s">
        <v>594</v>
      </c>
      <c r="E47" s="110"/>
      <c r="F47" s="110"/>
      <c r="G47" s="110"/>
      <c r="H47" s="110"/>
      <c r="I47" s="522"/>
      <c r="J47" s="103"/>
    </row>
    <row r="48" spans="1:26" s="101" customFormat="1">
      <c r="A48" s="99"/>
      <c r="B48" s="404" t="s">
        <v>20</v>
      </c>
      <c r="C48" s="103"/>
      <c r="D48" s="101" t="s">
        <v>595</v>
      </c>
      <c r="E48" s="103"/>
      <c r="F48" s="103"/>
      <c r="G48" s="103"/>
      <c r="H48" s="103"/>
      <c r="I48" s="103"/>
      <c r="J48" s="103"/>
    </row>
    <row r="49" spans="1:10" s="101" customFormat="1">
      <c r="A49" s="99"/>
      <c r="B49" s="404" t="s">
        <v>404</v>
      </c>
      <c r="C49" s="103"/>
      <c r="D49" s="101" t="s">
        <v>598</v>
      </c>
      <c r="E49" s="103"/>
      <c r="F49" s="103"/>
      <c r="G49" s="103"/>
      <c r="H49" s="103"/>
      <c r="I49" s="103"/>
      <c r="J49" s="103"/>
    </row>
    <row r="50" spans="1:10" s="101" customFormat="1">
      <c r="A50" s="99"/>
      <c r="B50" s="104"/>
      <c r="C50" s="103"/>
      <c r="D50" s="103"/>
      <c r="E50" s="103"/>
      <c r="F50" s="103"/>
      <c r="G50" s="103"/>
      <c r="H50" s="103"/>
      <c r="I50" s="103"/>
      <c r="J50" s="103"/>
    </row>
    <row r="51" spans="1:10" s="101" customFormat="1">
      <c r="A51" s="99"/>
      <c r="B51" s="104"/>
      <c r="C51" s="103"/>
      <c r="D51" s="103"/>
      <c r="E51" s="103"/>
      <c r="F51" s="103"/>
      <c r="G51" s="103"/>
      <c r="H51" s="103"/>
      <c r="I51" s="103"/>
      <c r="J51" s="103"/>
    </row>
    <row r="52" spans="1:10" s="101" customFormat="1">
      <c r="A52" s="99"/>
      <c r="B52" s="104"/>
      <c r="C52" s="103"/>
      <c r="D52" s="103"/>
      <c r="E52" s="103"/>
      <c r="F52" s="103"/>
      <c r="G52" s="103"/>
      <c r="H52" s="103"/>
      <c r="I52" s="103"/>
      <c r="J52" s="103"/>
    </row>
    <row r="53" spans="1:10" s="101" customFormat="1">
      <c r="A53" s="99"/>
      <c r="B53" s="104"/>
      <c r="C53" s="103"/>
      <c r="D53" s="103"/>
      <c r="E53" s="103"/>
      <c r="F53" s="103"/>
      <c r="G53" s="103"/>
      <c r="H53" s="103"/>
      <c r="I53" s="103"/>
      <c r="J53" s="103"/>
    </row>
    <row r="54" spans="1:10" s="101" customFormat="1">
      <c r="A54" s="99"/>
      <c r="B54" s="104"/>
      <c r="C54" s="103"/>
      <c r="D54" s="103"/>
      <c r="E54" s="103"/>
      <c r="F54" s="103"/>
      <c r="G54" s="103"/>
      <c r="H54" s="103"/>
      <c r="I54" s="103"/>
      <c r="J54" s="103"/>
    </row>
    <row r="55" spans="1:10" s="101" customFormat="1">
      <c r="A55" s="99"/>
      <c r="B55" s="104"/>
      <c r="C55" s="103"/>
      <c r="D55" s="103"/>
      <c r="E55" s="103"/>
      <c r="F55" s="103"/>
      <c r="G55" s="103"/>
      <c r="H55" s="103"/>
      <c r="I55" s="103"/>
      <c r="J55" s="103"/>
    </row>
    <row r="56" spans="1:10" s="101" customFormat="1">
      <c r="A56" s="99"/>
      <c r="B56" s="104"/>
      <c r="C56" s="103"/>
      <c r="D56" s="103"/>
      <c r="E56" s="103"/>
      <c r="F56" s="103"/>
      <c r="G56" s="103"/>
      <c r="H56" s="103"/>
      <c r="I56" s="103"/>
      <c r="J56" s="103"/>
    </row>
    <row r="57" spans="1:10" s="101" customFormat="1">
      <c r="A57" s="99"/>
      <c r="B57" s="104"/>
      <c r="C57" s="103"/>
      <c r="D57" s="103"/>
      <c r="E57" s="103"/>
      <c r="F57" s="103"/>
      <c r="G57" s="103"/>
      <c r="H57" s="103"/>
      <c r="I57" s="103"/>
      <c r="J57" s="103"/>
    </row>
    <row r="58" spans="1:10" s="101" customFormat="1">
      <c r="A58" s="99"/>
      <c r="B58" s="104"/>
      <c r="C58" s="103"/>
      <c r="D58" s="103"/>
      <c r="E58" s="103"/>
      <c r="F58" s="103"/>
      <c r="G58" s="103"/>
      <c r="H58" s="103"/>
      <c r="I58" s="103"/>
      <c r="J58" s="103"/>
    </row>
    <row r="59" spans="1:10" s="101" customFormat="1">
      <c r="A59" s="99"/>
      <c r="B59" s="104"/>
      <c r="C59" s="103"/>
      <c r="D59" s="103"/>
      <c r="E59" s="103"/>
      <c r="F59" s="103"/>
      <c r="G59" s="103"/>
      <c r="H59" s="103"/>
      <c r="I59" s="103"/>
      <c r="J59" s="103"/>
    </row>
    <row r="60" spans="1:10" s="101" customFormat="1">
      <c r="A60" s="99"/>
      <c r="B60" s="104"/>
      <c r="C60" s="103"/>
      <c r="D60" s="103"/>
      <c r="E60" s="103"/>
      <c r="F60" s="103"/>
      <c r="G60" s="103"/>
      <c r="H60" s="103"/>
      <c r="I60" s="103"/>
      <c r="J60" s="103"/>
    </row>
    <row r="61" spans="1:10" s="101" customFormat="1">
      <c r="A61" s="99"/>
      <c r="B61" s="104"/>
      <c r="C61" s="103"/>
      <c r="D61" s="103"/>
      <c r="E61" s="103"/>
      <c r="F61" s="103"/>
      <c r="G61" s="103"/>
      <c r="H61" s="103"/>
      <c r="I61" s="103"/>
      <c r="J61" s="103"/>
    </row>
    <row r="62" spans="1:10" s="101" customFormat="1">
      <c r="A62" s="99"/>
      <c r="B62" s="104"/>
      <c r="C62" s="103"/>
      <c r="D62" s="103"/>
      <c r="E62" s="103"/>
      <c r="F62" s="103"/>
      <c r="G62" s="103"/>
      <c r="H62" s="103"/>
      <c r="I62" s="103"/>
      <c r="J62" s="103"/>
    </row>
    <row r="63" spans="1:10" s="101" customFormat="1">
      <c r="A63" s="99"/>
      <c r="B63" s="104"/>
      <c r="C63" s="103"/>
      <c r="D63" s="103"/>
      <c r="E63" s="103"/>
      <c r="F63" s="103"/>
      <c r="G63" s="103"/>
      <c r="H63" s="103"/>
      <c r="I63" s="103"/>
      <c r="J63" s="103"/>
    </row>
    <row r="64" spans="1:10" s="101" customFormat="1">
      <c r="A64" s="99"/>
      <c r="B64" s="104"/>
      <c r="C64" s="103"/>
      <c r="D64" s="103"/>
      <c r="E64" s="103"/>
      <c r="F64" s="103"/>
      <c r="G64" s="103"/>
      <c r="H64" s="103"/>
      <c r="I64" s="103"/>
      <c r="J64" s="103"/>
    </row>
    <row r="65" spans="1:10" s="101" customFormat="1">
      <c r="A65" s="99"/>
      <c r="B65" s="104"/>
      <c r="C65" s="103"/>
      <c r="D65" s="103"/>
      <c r="E65" s="103"/>
      <c r="F65" s="103"/>
      <c r="G65" s="103"/>
      <c r="H65" s="103"/>
      <c r="I65" s="103"/>
      <c r="J65" s="103"/>
    </row>
    <row r="66" spans="1:10" s="101" customFormat="1">
      <c r="A66" s="99"/>
      <c r="B66" s="104"/>
      <c r="C66" s="103"/>
      <c r="D66" s="103"/>
      <c r="E66" s="103"/>
      <c r="F66" s="103"/>
      <c r="G66" s="103"/>
      <c r="H66" s="103"/>
      <c r="I66" s="103"/>
      <c r="J66" s="103"/>
    </row>
    <row r="67" spans="1:10" s="101" customFormat="1">
      <c r="A67" s="99"/>
      <c r="B67" s="104"/>
      <c r="C67" s="103"/>
      <c r="D67" s="103"/>
      <c r="E67" s="103"/>
      <c r="F67" s="103"/>
      <c r="G67" s="103"/>
      <c r="H67" s="103"/>
      <c r="I67" s="103"/>
      <c r="J67" s="103"/>
    </row>
    <row r="68" spans="1:10" s="101" customFormat="1">
      <c r="A68" s="99"/>
      <c r="B68" s="104"/>
      <c r="C68" s="103"/>
      <c r="D68" s="103"/>
      <c r="E68" s="103"/>
      <c r="F68" s="103"/>
      <c r="G68" s="103"/>
      <c r="H68" s="103"/>
      <c r="I68" s="103"/>
      <c r="J68" s="103"/>
    </row>
    <row r="69" spans="1:10" s="101" customFormat="1">
      <c r="A69" s="99"/>
      <c r="B69" s="104"/>
      <c r="C69" s="103"/>
      <c r="D69" s="103"/>
      <c r="E69" s="103"/>
      <c r="F69" s="103"/>
      <c r="G69" s="103"/>
      <c r="H69" s="103"/>
      <c r="I69" s="103"/>
      <c r="J69" s="103"/>
    </row>
    <row r="70" spans="1:10" s="101" customFormat="1">
      <c r="A70" s="99"/>
      <c r="B70" s="104"/>
      <c r="C70" s="103"/>
      <c r="D70" s="103"/>
      <c r="E70" s="103"/>
      <c r="F70" s="103"/>
      <c r="G70" s="103"/>
      <c r="H70" s="103"/>
      <c r="I70" s="103"/>
      <c r="J70" s="103"/>
    </row>
    <row r="71" spans="1:10" s="101" customFormat="1">
      <c r="A71" s="99"/>
      <c r="B71" s="104"/>
      <c r="C71" s="103"/>
      <c r="D71" s="103"/>
      <c r="E71" s="103"/>
      <c r="F71" s="103"/>
      <c r="G71" s="103"/>
      <c r="H71" s="103"/>
      <c r="I71" s="103"/>
      <c r="J71" s="103"/>
    </row>
    <row r="72" spans="1:10" s="101" customFormat="1">
      <c r="A72" s="99"/>
      <c r="B72" s="104"/>
      <c r="C72" s="103"/>
      <c r="D72" s="103"/>
      <c r="E72" s="103"/>
      <c r="F72" s="103"/>
      <c r="G72" s="103"/>
      <c r="H72" s="103"/>
      <c r="I72" s="103"/>
      <c r="J72" s="103"/>
    </row>
    <row r="73" spans="1:10" s="101" customFormat="1">
      <c r="A73" s="99"/>
      <c r="B73" s="104"/>
      <c r="C73" s="103"/>
      <c r="D73" s="103"/>
      <c r="E73" s="103"/>
      <c r="F73" s="103"/>
      <c r="G73" s="103"/>
      <c r="H73" s="103"/>
      <c r="I73" s="103"/>
      <c r="J73" s="103"/>
    </row>
    <row r="74" spans="1:10" s="101" customFormat="1">
      <c r="A74" s="99"/>
      <c r="B74" s="104"/>
      <c r="C74" s="103"/>
      <c r="D74" s="103"/>
      <c r="E74" s="103"/>
      <c r="F74" s="103"/>
      <c r="G74" s="103"/>
      <c r="H74" s="103"/>
      <c r="I74" s="103"/>
      <c r="J74" s="103"/>
    </row>
    <row r="75" spans="1:10" s="101" customFormat="1">
      <c r="A75" s="99"/>
      <c r="B75" s="104"/>
      <c r="C75" s="103"/>
      <c r="D75" s="103"/>
      <c r="E75" s="103"/>
      <c r="F75" s="103"/>
      <c r="G75" s="103"/>
      <c r="H75" s="103"/>
      <c r="I75" s="103"/>
      <c r="J75" s="103"/>
    </row>
    <row r="76" spans="1:10" s="101" customFormat="1">
      <c r="A76" s="99"/>
      <c r="B76" s="104"/>
      <c r="C76" s="103"/>
      <c r="D76" s="103"/>
      <c r="E76" s="103"/>
      <c r="F76" s="103"/>
      <c r="G76" s="103"/>
      <c r="H76" s="103"/>
      <c r="I76" s="103"/>
      <c r="J76" s="103"/>
    </row>
    <row r="77" spans="1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1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1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1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8">
      <c r="B145" s="102"/>
      <c r="C145" s="101"/>
      <c r="D145" s="101"/>
      <c r="E145" s="101"/>
      <c r="F145" s="101"/>
      <c r="H145" s="101"/>
    </row>
    <row r="146" spans="2:8">
      <c r="B146" s="102"/>
      <c r="C146" s="101"/>
      <c r="D146" s="101"/>
      <c r="E146" s="101"/>
      <c r="F146" s="101"/>
      <c r="H146" s="101"/>
    </row>
    <row r="147" spans="2:8">
      <c r="B147" s="102"/>
      <c r="C147" s="101"/>
      <c r="D147" s="101"/>
      <c r="E147" s="101"/>
      <c r="F147" s="101"/>
      <c r="H147" s="101"/>
    </row>
    <row r="148" spans="2:8">
      <c r="B148" s="102"/>
      <c r="C148" s="101"/>
      <c r="D148" s="101"/>
      <c r="E148" s="101"/>
      <c r="F148" s="101"/>
      <c r="H148" s="101"/>
    </row>
    <row r="149" spans="2:8">
      <c r="B149" s="102"/>
      <c r="C149" s="101"/>
      <c r="D149" s="101"/>
      <c r="E149" s="101"/>
      <c r="F149" s="101"/>
      <c r="H149" s="101"/>
    </row>
    <row r="150" spans="2:8">
      <c r="B150" s="102"/>
      <c r="C150" s="101"/>
      <c r="D150" s="101"/>
      <c r="E150" s="101"/>
      <c r="F150" s="101"/>
      <c r="H150" s="101"/>
    </row>
    <row r="151" spans="2:8">
      <c r="B151" s="102"/>
      <c r="C151" s="101"/>
      <c r="D151" s="101"/>
      <c r="E151" s="101"/>
      <c r="F151" s="101"/>
      <c r="H151" s="101"/>
    </row>
    <row r="152" spans="2:8">
      <c r="B152" s="102"/>
      <c r="C152" s="101"/>
      <c r="D152" s="101"/>
      <c r="E152" s="101"/>
      <c r="F152" s="101"/>
      <c r="H152" s="101"/>
    </row>
    <row r="153" spans="2:8">
      <c r="B153" s="102"/>
      <c r="C153" s="101"/>
      <c r="D153" s="101"/>
      <c r="E153" s="101"/>
      <c r="F153" s="101"/>
      <c r="H153" s="101"/>
    </row>
    <row r="154" spans="2:8">
      <c r="B154" s="102"/>
      <c r="C154" s="101"/>
      <c r="D154" s="101"/>
      <c r="E154" s="101"/>
      <c r="F154" s="101"/>
      <c r="H154" s="101"/>
    </row>
    <row r="155" spans="2:8">
      <c r="B155" s="102"/>
      <c r="C155" s="101"/>
      <c r="D155" s="101"/>
      <c r="E155" s="101"/>
      <c r="F155" s="101"/>
      <c r="H155" s="101"/>
    </row>
    <row r="156" spans="2:8">
      <c r="B156" s="102"/>
      <c r="C156" s="101"/>
      <c r="D156" s="101"/>
      <c r="E156" s="101"/>
      <c r="F156" s="101"/>
      <c r="H156" s="101"/>
    </row>
    <row r="157" spans="2:8">
      <c r="B157" s="102"/>
      <c r="C157" s="101"/>
      <c r="D157" s="101"/>
      <c r="E157" s="101"/>
      <c r="F157" s="101"/>
      <c r="H157" s="101"/>
    </row>
    <row r="158" spans="2:8">
      <c r="B158" s="102"/>
      <c r="C158" s="101"/>
      <c r="D158" s="101"/>
      <c r="E158" s="101"/>
      <c r="F158" s="101"/>
      <c r="H158" s="101"/>
    </row>
    <row r="159" spans="2:8">
      <c r="B159" s="102"/>
      <c r="C159" s="101"/>
      <c r="D159" s="101"/>
      <c r="E159" s="101"/>
      <c r="F159" s="101"/>
      <c r="H159" s="101"/>
    </row>
    <row r="160" spans="2:8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53" orientation="portrait" horizontalDpi="1200" verticalDpi="1200" r:id="rId1"/>
  <headerFooter alignWithMargins="0">
    <oddFooter xml:space="preserve">&amp;C &amp;R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tabColor rgb="FF00B050"/>
    <pageSetUpPr fitToPage="1"/>
  </sheetPr>
  <dimension ref="A1:AW296"/>
  <sheetViews>
    <sheetView zoomScale="70" zoomScaleNormal="70" workbookViewId="0"/>
  </sheetViews>
  <sheetFormatPr defaultRowHeight="15"/>
  <cols>
    <col min="1" max="1" width="6" style="30" customWidth="1"/>
    <col min="2" max="2" width="1.44140625" style="30" customWidth="1"/>
    <col min="3" max="3" width="47.88671875" style="30" customWidth="1"/>
    <col min="4" max="4" width="1" style="30" customWidth="1"/>
    <col min="5" max="5" width="40.77734375" style="30" customWidth="1"/>
    <col min="6" max="6" width="1.33203125" style="30" customWidth="1"/>
    <col min="7" max="7" width="14.109375" style="30" customWidth="1"/>
    <col min="8" max="8" width="1.5546875" style="30" customWidth="1"/>
    <col min="9" max="10" width="12.77734375" style="30" customWidth="1"/>
    <col min="11" max="11" width="5.21875" style="30" customWidth="1"/>
    <col min="12" max="12" width="1.6640625" style="30" customWidth="1"/>
    <col min="13" max="13" width="26.5546875" style="30" customWidth="1"/>
    <col min="14" max="14" width="8.6640625" style="30" customWidth="1"/>
    <col min="15" max="15" width="11.77734375" style="30" customWidth="1"/>
    <col min="16" max="16" width="12.6640625" style="30" customWidth="1"/>
    <col min="17" max="17" width="12.77734375" style="30" customWidth="1"/>
    <col min="18" max="18" width="8.88671875" style="30"/>
    <col min="19" max="19" width="14.21875" style="30" customWidth="1"/>
    <col min="20" max="20" width="12.21875" style="30" customWidth="1"/>
    <col min="21" max="21" width="12.5546875" style="30" customWidth="1"/>
    <col min="22" max="22" width="16.77734375" style="30" customWidth="1"/>
    <col min="23" max="23" width="10.44140625" style="30" customWidth="1"/>
    <col min="24" max="24" width="16.6640625" style="30" customWidth="1"/>
    <col min="25" max="240" width="8.88671875" style="30"/>
    <col min="241" max="241" width="6" style="30" customWidth="1"/>
    <col min="242" max="242" width="1.44140625" style="30" customWidth="1"/>
    <col min="243" max="243" width="39.109375" style="30" customWidth="1"/>
    <col min="244" max="244" width="12" style="30" customWidth="1"/>
    <col min="245" max="245" width="14.44140625" style="30" customWidth="1"/>
    <col min="246" max="246" width="11.88671875" style="30" customWidth="1"/>
    <col min="247" max="247" width="14.109375" style="30" customWidth="1"/>
    <col min="248" max="248" width="13.88671875" style="30" customWidth="1"/>
    <col min="249" max="250" width="12.77734375" style="30" customWidth="1"/>
    <col min="251" max="251" width="13.5546875" style="30" customWidth="1"/>
    <col min="252" max="252" width="15.33203125" style="30" customWidth="1"/>
    <col min="253" max="253" width="12.77734375" style="30" customWidth="1"/>
    <col min="254" max="254" width="13.88671875" style="30" customWidth="1"/>
    <col min="255" max="255" width="1.88671875" style="30" customWidth="1"/>
    <col min="256" max="256" width="13" style="30" customWidth="1"/>
    <col min="257" max="496" width="8.88671875" style="30"/>
    <col min="497" max="497" width="6" style="30" customWidth="1"/>
    <col min="498" max="498" width="1.44140625" style="30" customWidth="1"/>
    <col min="499" max="499" width="39.109375" style="30" customWidth="1"/>
    <col min="500" max="500" width="12" style="30" customWidth="1"/>
    <col min="501" max="501" width="14.44140625" style="30" customWidth="1"/>
    <col min="502" max="502" width="11.88671875" style="30" customWidth="1"/>
    <col min="503" max="503" width="14.109375" style="30" customWidth="1"/>
    <col min="504" max="504" width="13.88671875" style="30" customWidth="1"/>
    <col min="505" max="506" width="12.77734375" style="30" customWidth="1"/>
    <col min="507" max="507" width="13.5546875" style="30" customWidth="1"/>
    <col min="508" max="508" width="15.33203125" style="30" customWidth="1"/>
    <col min="509" max="509" width="12.77734375" style="30" customWidth="1"/>
    <col min="510" max="510" width="13.88671875" style="30" customWidth="1"/>
    <col min="511" max="511" width="1.88671875" style="30" customWidth="1"/>
    <col min="512" max="512" width="13" style="30" customWidth="1"/>
    <col min="513" max="752" width="8.88671875" style="30"/>
    <col min="753" max="753" width="6" style="30" customWidth="1"/>
    <col min="754" max="754" width="1.44140625" style="30" customWidth="1"/>
    <col min="755" max="755" width="39.109375" style="30" customWidth="1"/>
    <col min="756" max="756" width="12" style="30" customWidth="1"/>
    <col min="757" max="757" width="14.44140625" style="30" customWidth="1"/>
    <col min="758" max="758" width="11.88671875" style="30" customWidth="1"/>
    <col min="759" max="759" width="14.109375" style="30" customWidth="1"/>
    <col min="760" max="760" width="13.88671875" style="30" customWidth="1"/>
    <col min="761" max="762" width="12.77734375" style="30" customWidth="1"/>
    <col min="763" max="763" width="13.5546875" style="30" customWidth="1"/>
    <col min="764" max="764" width="15.33203125" style="30" customWidth="1"/>
    <col min="765" max="765" width="12.77734375" style="30" customWidth="1"/>
    <col min="766" max="766" width="13.88671875" style="30" customWidth="1"/>
    <col min="767" max="767" width="1.88671875" style="30" customWidth="1"/>
    <col min="768" max="768" width="13" style="30" customWidth="1"/>
    <col min="769" max="1008" width="8.88671875" style="30"/>
    <col min="1009" max="1009" width="6" style="30" customWidth="1"/>
    <col min="1010" max="1010" width="1.44140625" style="30" customWidth="1"/>
    <col min="1011" max="1011" width="39.109375" style="30" customWidth="1"/>
    <col min="1012" max="1012" width="12" style="30" customWidth="1"/>
    <col min="1013" max="1013" width="14.44140625" style="30" customWidth="1"/>
    <col min="1014" max="1014" width="11.88671875" style="30" customWidth="1"/>
    <col min="1015" max="1015" width="14.109375" style="30" customWidth="1"/>
    <col min="1016" max="1016" width="13.88671875" style="30" customWidth="1"/>
    <col min="1017" max="1018" width="12.77734375" style="30" customWidth="1"/>
    <col min="1019" max="1019" width="13.5546875" style="30" customWidth="1"/>
    <col min="1020" max="1020" width="15.33203125" style="30" customWidth="1"/>
    <col min="1021" max="1021" width="12.77734375" style="30" customWidth="1"/>
    <col min="1022" max="1022" width="13.88671875" style="30" customWidth="1"/>
    <col min="1023" max="1023" width="1.88671875" style="30" customWidth="1"/>
    <col min="1024" max="1024" width="13" style="30" customWidth="1"/>
    <col min="1025" max="1264" width="8.88671875" style="30"/>
    <col min="1265" max="1265" width="6" style="30" customWidth="1"/>
    <col min="1266" max="1266" width="1.44140625" style="30" customWidth="1"/>
    <col min="1267" max="1267" width="39.109375" style="30" customWidth="1"/>
    <col min="1268" max="1268" width="12" style="30" customWidth="1"/>
    <col min="1269" max="1269" width="14.44140625" style="30" customWidth="1"/>
    <col min="1270" max="1270" width="11.88671875" style="30" customWidth="1"/>
    <col min="1271" max="1271" width="14.109375" style="30" customWidth="1"/>
    <col min="1272" max="1272" width="13.88671875" style="30" customWidth="1"/>
    <col min="1273" max="1274" width="12.77734375" style="30" customWidth="1"/>
    <col min="1275" max="1275" width="13.5546875" style="30" customWidth="1"/>
    <col min="1276" max="1276" width="15.33203125" style="30" customWidth="1"/>
    <col min="1277" max="1277" width="12.77734375" style="30" customWidth="1"/>
    <col min="1278" max="1278" width="13.88671875" style="30" customWidth="1"/>
    <col min="1279" max="1279" width="1.88671875" style="30" customWidth="1"/>
    <col min="1280" max="1280" width="13" style="30" customWidth="1"/>
    <col min="1281" max="1520" width="8.88671875" style="30"/>
    <col min="1521" max="1521" width="6" style="30" customWidth="1"/>
    <col min="1522" max="1522" width="1.44140625" style="30" customWidth="1"/>
    <col min="1523" max="1523" width="39.109375" style="30" customWidth="1"/>
    <col min="1524" max="1524" width="12" style="30" customWidth="1"/>
    <col min="1525" max="1525" width="14.44140625" style="30" customWidth="1"/>
    <col min="1526" max="1526" width="11.88671875" style="30" customWidth="1"/>
    <col min="1527" max="1527" width="14.109375" style="30" customWidth="1"/>
    <col min="1528" max="1528" width="13.88671875" style="30" customWidth="1"/>
    <col min="1529" max="1530" width="12.77734375" style="30" customWidth="1"/>
    <col min="1531" max="1531" width="13.5546875" style="30" customWidth="1"/>
    <col min="1532" max="1532" width="15.33203125" style="30" customWidth="1"/>
    <col min="1533" max="1533" width="12.77734375" style="30" customWidth="1"/>
    <col min="1534" max="1534" width="13.88671875" style="30" customWidth="1"/>
    <col min="1535" max="1535" width="1.88671875" style="30" customWidth="1"/>
    <col min="1536" max="1536" width="13" style="30" customWidth="1"/>
    <col min="1537" max="1776" width="8.88671875" style="30"/>
    <col min="1777" max="1777" width="6" style="30" customWidth="1"/>
    <col min="1778" max="1778" width="1.44140625" style="30" customWidth="1"/>
    <col min="1779" max="1779" width="39.109375" style="30" customWidth="1"/>
    <col min="1780" max="1780" width="12" style="30" customWidth="1"/>
    <col min="1781" max="1781" width="14.44140625" style="30" customWidth="1"/>
    <col min="1782" max="1782" width="11.88671875" style="30" customWidth="1"/>
    <col min="1783" max="1783" width="14.109375" style="30" customWidth="1"/>
    <col min="1784" max="1784" width="13.88671875" style="30" customWidth="1"/>
    <col min="1785" max="1786" width="12.77734375" style="30" customWidth="1"/>
    <col min="1787" max="1787" width="13.5546875" style="30" customWidth="1"/>
    <col min="1788" max="1788" width="15.33203125" style="30" customWidth="1"/>
    <col min="1789" max="1789" width="12.77734375" style="30" customWidth="1"/>
    <col min="1790" max="1790" width="13.88671875" style="30" customWidth="1"/>
    <col min="1791" max="1791" width="1.88671875" style="30" customWidth="1"/>
    <col min="1792" max="1792" width="13" style="30" customWidth="1"/>
    <col min="1793" max="2032" width="8.88671875" style="30"/>
    <col min="2033" max="2033" width="6" style="30" customWidth="1"/>
    <col min="2034" max="2034" width="1.44140625" style="30" customWidth="1"/>
    <col min="2035" max="2035" width="39.109375" style="30" customWidth="1"/>
    <col min="2036" max="2036" width="12" style="30" customWidth="1"/>
    <col min="2037" max="2037" width="14.44140625" style="30" customWidth="1"/>
    <col min="2038" max="2038" width="11.88671875" style="30" customWidth="1"/>
    <col min="2039" max="2039" width="14.109375" style="30" customWidth="1"/>
    <col min="2040" max="2040" width="13.88671875" style="30" customWidth="1"/>
    <col min="2041" max="2042" width="12.77734375" style="30" customWidth="1"/>
    <col min="2043" max="2043" width="13.5546875" style="30" customWidth="1"/>
    <col min="2044" max="2044" width="15.33203125" style="30" customWidth="1"/>
    <col min="2045" max="2045" width="12.77734375" style="30" customWidth="1"/>
    <col min="2046" max="2046" width="13.88671875" style="30" customWidth="1"/>
    <col min="2047" max="2047" width="1.88671875" style="30" customWidth="1"/>
    <col min="2048" max="2048" width="13" style="30" customWidth="1"/>
    <col min="2049" max="2288" width="8.88671875" style="30"/>
    <col min="2289" max="2289" width="6" style="30" customWidth="1"/>
    <col min="2290" max="2290" width="1.44140625" style="30" customWidth="1"/>
    <col min="2291" max="2291" width="39.109375" style="30" customWidth="1"/>
    <col min="2292" max="2292" width="12" style="30" customWidth="1"/>
    <col min="2293" max="2293" width="14.44140625" style="30" customWidth="1"/>
    <col min="2294" max="2294" width="11.88671875" style="30" customWidth="1"/>
    <col min="2295" max="2295" width="14.109375" style="30" customWidth="1"/>
    <col min="2296" max="2296" width="13.88671875" style="30" customWidth="1"/>
    <col min="2297" max="2298" width="12.77734375" style="30" customWidth="1"/>
    <col min="2299" max="2299" width="13.5546875" style="30" customWidth="1"/>
    <col min="2300" max="2300" width="15.33203125" style="30" customWidth="1"/>
    <col min="2301" max="2301" width="12.77734375" style="30" customWidth="1"/>
    <col min="2302" max="2302" width="13.88671875" style="30" customWidth="1"/>
    <col min="2303" max="2303" width="1.88671875" style="30" customWidth="1"/>
    <col min="2304" max="2304" width="13" style="30" customWidth="1"/>
    <col min="2305" max="2544" width="8.88671875" style="30"/>
    <col min="2545" max="2545" width="6" style="30" customWidth="1"/>
    <col min="2546" max="2546" width="1.44140625" style="30" customWidth="1"/>
    <col min="2547" max="2547" width="39.109375" style="30" customWidth="1"/>
    <col min="2548" max="2548" width="12" style="30" customWidth="1"/>
    <col min="2549" max="2549" width="14.44140625" style="30" customWidth="1"/>
    <col min="2550" max="2550" width="11.88671875" style="30" customWidth="1"/>
    <col min="2551" max="2551" width="14.109375" style="30" customWidth="1"/>
    <col min="2552" max="2552" width="13.88671875" style="30" customWidth="1"/>
    <col min="2553" max="2554" width="12.77734375" style="30" customWidth="1"/>
    <col min="2555" max="2555" width="13.5546875" style="30" customWidth="1"/>
    <col min="2556" max="2556" width="15.33203125" style="30" customWidth="1"/>
    <col min="2557" max="2557" width="12.77734375" style="30" customWidth="1"/>
    <col min="2558" max="2558" width="13.88671875" style="30" customWidth="1"/>
    <col min="2559" max="2559" width="1.88671875" style="30" customWidth="1"/>
    <col min="2560" max="2560" width="13" style="30" customWidth="1"/>
    <col min="2561" max="2800" width="8.88671875" style="30"/>
    <col min="2801" max="2801" width="6" style="30" customWidth="1"/>
    <col min="2802" max="2802" width="1.44140625" style="30" customWidth="1"/>
    <col min="2803" max="2803" width="39.109375" style="30" customWidth="1"/>
    <col min="2804" max="2804" width="12" style="30" customWidth="1"/>
    <col min="2805" max="2805" width="14.44140625" style="30" customWidth="1"/>
    <col min="2806" max="2806" width="11.88671875" style="30" customWidth="1"/>
    <col min="2807" max="2807" width="14.109375" style="30" customWidth="1"/>
    <col min="2808" max="2808" width="13.88671875" style="30" customWidth="1"/>
    <col min="2809" max="2810" width="12.77734375" style="30" customWidth="1"/>
    <col min="2811" max="2811" width="13.5546875" style="30" customWidth="1"/>
    <col min="2812" max="2812" width="15.33203125" style="30" customWidth="1"/>
    <col min="2813" max="2813" width="12.77734375" style="30" customWidth="1"/>
    <col min="2814" max="2814" width="13.88671875" style="30" customWidth="1"/>
    <col min="2815" max="2815" width="1.88671875" style="30" customWidth="1"/>
    <col min="2816" max="2816" width="13" style="30" customWidth="1"/>
    <col min="2817" max="3056" width="8.88671875" style="30"/>
    <col min="3057" max="3057" width="6" style="30" customWidth="1"/>
    <col min="3058" max="3058" width="1.44140625" style="30" customWidth="1"/>
    <col min="3059" max="3059" width="39.109375" style="30" customWidth="1"/>
    <col min="3060" max="3060" width="12" style="30" customWidth="1"/>
    <col min="3061" max="3061" width="14.44140625" style="30" customWidth="1"/>
    <col min="3062" max="3062" width="11.88671875" style="30" customWidth="1"/>
    <col min="3063" max="3063" width="14.109375" style="30" customWidth="1"/>
    <col min="3064" max="3064" width="13.88671875" style="30" customWidth="1"/>
    <col min="3065" max="3066" width="12.77734375" style="30" customWidth="1"/>
    <col min="3067" max="3067" width="13.5546875" style="30" customWidth="1"/>
    <col min="3068" max="3068" width="15.33203125" style="30" customWidth="1"/>
    <col min="3069" max="3069" width="12.77734375" style="30" customWidth="1"/>
    <col min="3070" max="3070" width="13.88671875" style="30" customWidth="1"/>
    <col min="3071" max="3071" width="1.88671875" style="30" customWidth="1"/>
    <col min="3072" max="3072" width="13" style="30" customWidth="1"/>
    <col min="3073" max="3312" width="8.88671875" style="30"/>
    <col min="3313" max="3313" width="6" style="30" customWidth="1"/>
    <col min="3314" max="3314" width="1.44140625" style="30" customWidth="1"/>
    <col min="3315" max="3315" width="39.109375" style="30" customWidth="1"/>
    <col min="3316" max="3316" width="12" style="30" customWidth="1"/>
    <col min="3317" max="3317" width="14.44140625" style="30" customWidth="1"/>
    <col min="3318" max="3318" width="11.88671875" style="30" customWidth="1"/>
    <col min="3319" max="3319" width="14.109375" style="30" customWidth="1"/>
    <col min="3320" max="3320" width="13.88671875" style="30" customWidth="1"/>
    <col min="3321" max="3322" width="12.77734375" style="30" customWidth="1"/>
    <col min="3323" max="3323" width="13.5546875" style="30" customWidth="1"/>
    <col min="3324" max="3324" width="15.33203125" style="30" customWidth="1"/>
    <col min="3325" max="3325" width="12.77734375" style="30" customWidth="1"/>
    <col min="3326" max="3326" width="13.88671875" style="30" customWidth="1"/>
    <col min="3327" max="3327" width="1.88671875" style="30" customWidth="1"/>
    <col min="3328" max="3328" width="13" style="30" customWidth="1"/>
    <col min="3329" max="3568" width="8.88671875" style="30"/>
    <col min="3569" max="3569" width="6" style="30" customWidth="1"/>
    <col min="3570" max="3570" width="1.44140625" style="30" customWidth="1"/>
    <col min="3571" max="3571" width="39.109375" style="30" customWidth="1"/>
    <col min="3572" max="3572" width="12" style="30" customWidth="1"/>
    <col min="3573" max="3573" width="14.44140625" style="30" customWidth="1"/>
    <col min="3574" max="3574" width="11.88671875" style="30" customWidth="1"/>
    <col min="3575" max="3575" width="14.109375" style="30" customWidth="1"/>
    <col min="3576" max="3576" width="13.88671875" style="30" customWidth="1"/>
    <col min="3577" max="3578" width="12.77734375" style="30" customWidth="1"/>
    <col min="3579" max="3579" width="13.5546875" style="30" customWidth="1"/>
    <col min="3580" max="3580" width="15.33203125" style="30" customWidth="1"/>
    <col min="3581" max="3581" width="12.77734375" style="30" customWidth="1"/>
    <col min="3582" max="3582" width="13.88671875" style="30" customWidth="1"/>
    <col min="3583" max="3583" width="1.88671875" style="30" customWidth="1"/>
    <col min="3584" max="3584" width="13" style="30" customWidth="1"/>
    <col min="3585" max="3824" width="8.88671875" style="30"/>
    <col min="3825" max="3825" width="6" style="30" customWidth="1"/>
    <col min="3826" max="3826" width="1.44140625" style="30" customWidth="1"/>
    <col min="3827" max="3827" width="39.109375" style="30" customWidth="1"/>
    <col min="3828" max="3828" width="12" style="30" customWidth="1"/>
    <col min="3829" max="3829" width="14.44140625" style="30" customWidth="1"/>
    <col min="3830" max="3830" width="11.88671875" style="30" customWidth="1"/>
    <col min="3831" max="3831" width="14.109375" style="30" customWidth="1"/>
    <col min="3832" max="3832" width="13.88671875" style="30" customWidth="1"/>
    <col min="3833" max="3834" width="12.77734375" style="30" customWidth="1"/>
    <col min="3835" max="3835" width="13.5546875" style="30" customWidth="1"/>
    <col min="3836" max="3836" width="15.33203125" style="30" customWidth="1"/>
    <col min="3837" max="3837" width="12.77734375" style="30" customWidth="1"/>
    <col min="3838" max="3838" width="13.88671875" style="30" customWidth="1"/>
    <col min="3839" max="3839" width="1.88671875" style="30" customWidth="1"/>
    <col min="3840" max="3840" width="13" style="30" customWidth="1"/>
    <col min="3841" max="4080" width="8.88671875" style="30"/>
    <col min="4081" max="4081" width="6" style="30" customWidth="1"/>
    <col min="4082" max="4082" width="1.44140625" style="30" customWidth="1"/>
    <col min="4083" max="4083" width="39.109375" style="30" customWidth="1"/>
    <col min="4084" max="4084" width="12" style="30" customWidth="1"/>
    <col min="4085" max="4085" width="14.44140625" style="30" customWidth="1"/>
    <col min="4086" max="4086" width="11.88671875" style="30" customWidth="1"/>
    <col min="4087" max="4087" width="14.109375" style="30" customWidth="1"/>
    <col min="4088" max="4088" width="13.88671875" style="30" customWidth="1"/>
    <col min="4089" max="4090" width="12.77734375" style="30" customWidth="1"/>
    <col min="4091" max="4091" width="13.5546875" style="30" customWidth="1"/>
    <col min="4092" max="4092" width="15.33203125" style="30" customWidth="1"/>
    <col min="4093" max="4093" width="12.77734375" style="30" customWidth="1"/>
    <col min="4094" max="4094" width="13.88671875" style="30" customWidth="1"/>
    <col min="4095" max="4095" width="1.88671875" style="30" customWidth="1"/>
    <col min="4096" max="4096" width="13" style="30" customWidth="1"/>
    <col min="4097" max="4336" width="8.88671875" style="30"/>
    <col min="4337" max="4337" width="6" style="30" customWidth="1"/>
    <col min="4338" max="4338" width="1.44140625" style="30" customWidth="1"/>
    <col min="4339" max="4339" width="39.109375" style="30" customWidth="1"/>
    <col min="4340" max="4340" width="12" style="30" customWidth="1"/>
    <col min="4341" max="4341" width="14.44140625" style="30" customWidth="1"/>
    <col min="4342" max="4342" width="11.88671875" style="30" customWidth="1"/>
    <col min="4343" max="4343" width="14.109375" style="30" customWidth="1"/>
    <col min="4344" max="4344" width="13.88671875" style="30" customWidth="1"/>
    <col min="4345" max="4346" width="12.77734375" style="30" customWidth="1"/>
    <col min="4347" max="4347" width="13.5546875" style="30" customWidth="1"/>
    <col min="4348" max="4348" width="15.33203125" style="30" customWidth="1"/>
    <col min="4349" max="4349" width="12.77734375" style="30" customWidth="1"/>
    <col min="4350" max="4350" width="13.88671875" style="30" customWidth="1"/>
    <col min="4351" max="4351" width="1.88671875" style="30" customWidth="1"/>
    <col min="4352" max="4352" width="13" style="30" customWidth="1"/>
    <col min="4353" max="4592" width="8.88671875" style="30"/>
    <col min="4593" max="4593" width="6" style="30" customWidth="1"/>
    <col min="4594" max="4594" width="1.44140625" style="30" customWidth="1"/>
    <col min="4595" max="4595" width="39.109375" style="30" customWidth="1"/>
    <col min="4596" max="4596" width="12" style="30" customWidth="1"/>
    <col min="4597" max="4597" width="14.44140625" style="30" customWidth="1"/>
    <col min="4598" max="4598" width="11.88671875" style="30" customWidth="1"/>
    <col min="4599" max="4599" width="14.109375" style="30" customWidth="1"/>
    <col min="4600" max="4600" width="13.88671875" style="30" customWidth="1"/>
    <col min="4601" max="4602" width="12.77734375" style="30" customWidth="1"/>
    <col min="4603" max="4603" width="13.5546875" style="30" customWidth="1"/>
    <col min="4604" max="4604" width="15.33203125" style="30" customWidth="1"/>
    <col min="4605" max="4605" width="12.77734375" style="30" customWidth="1"/>
    <col min="4606" max="4606" width="13.88671875" style="30" customWidth="1"/>
    <col min="4607" max="4607" width="1.88671875" style="30" customWidth="1"/>
    <col min="4608" max="4608" width="13" style="30" customWidth="1"/>
    <col min="4609" max="4848" width="8.88671875" style="30"/>
    <col min="4849" max="4849" width="6" style="30" customWidth="1"/>
    <col min="4850" max="4850" width="1.44140625" style="30" customWidth="1"/>
    <col min="4851" max="4851" width="39.109375" style="30" customWidth="1"/>
    <col min="4852" max="4852" width="12" style="30" customWidth="1"/>
    <col min="4853" max="4853" width="14.44140625" style="30" customWidth="1"/>
    <col min="4854" max="4854" width="11.88671875" style="30" customWidth="1"/>
    <col min="4855" max="4855" width="14.109375" style="30" customWidth="1"/>
    <col min="4856" max="4856" width="13.88671875" style="30" customWidth="1"/>
    <col min="4857" max="4858" width="12.77734375" style="30" customWidth="1"/>
    <col min="4859" max="4859" width="13.5546875" style="30" customWidth="1"/>
    <col min="4860" max="4860" width="15.33203125" style="30" customWidth="1"/>
    <col min="4861" max="4861" width="12.77734375" style="30" customWidth="1"/>
    <col min="4862" max="4862" width="13.88671875" style="30" customWidth="1"/>
    <col min="4863" max="4863" width="1.88671875" style="30" customWidth="1"/>
    <col min="4864" max="4864" width="13" style="30" customWidth="1"/>
    <col min="4865" max="5104" width="8.88671875" style="30"/>
    <col min="5105" max="5105" width="6" style="30" customWidth="1"/>
    <col min="5106" max="5106" width="1.44140625" style="30" customWidth="1"/>
    <col min="5107" max="5107" width="39.109375" style="30" customWidth="1"/>
    <col min="5108" max="5108" width="12" style="30" customWidth="1"/>
    <col min="5109" max="5109" width="14.44140625" style="30" customWidth="1"/>
    <col min="5110" max="5110" width="11.88671875" style="30" customWidth="1"/>
    <col min="5111" max="5111" width="14.109375" style="30" customWidth="1"/>
    <col min="5112" max="5112" width="13.88671875" style="30" customWidth="1"/>
    <col min="5113" max="5114" width="12.77734375" style="30" customWidth="1"/>
    <col min="5115" max="5115" width="13.5546875" style="30" customWidth="1"/>
    <col min="5116" max="5116" width="15.33203125" style="30" customWidth="1"/>
    <col min="5117" max="5117" width="12.77734375" style="30" customWidth="1"/>
    <col min="5118" max="5118" width="13.88671875" style="30" customWidth="1"/>
    <col min="5119" max="5119" width="1.88671875" style="30" customWidth="1"/>
    <col min="5120" max="5120" width="13" style="30" customWidth="1"/>
    <col min="5121" max="5360" width="8.88671875" style="30"/>
    <col min="5361" max="5361" width="6" style="30" customWidth="1"/>
    <col min="5362" max="5362" width="1.44140625" style="30" customWidth="1"/>
    <col min="5363" max="5363" width="39.109375" style="30" customWidth="1"/>
    <col min="5364" max="5364" width="12" style="30" customWidth="1"/>
    <col min="5365" max="5365" width="14.44140625" style="30" customWidth="1"/>
    <col min="5366" max="5366" width="11.88671875" style="30" customWidth="1"/>
    <col min="5367" max="5367" width="14.109375" style="30" customWidth="1"/>
    <col min="5368" max="5368" width="13.88671875" style="30" customWidth="1"/>
    <col min="5369" max="5370" width="12.77734375" style="30" customWidth="1"/>
    <col min="5371" max="5371" width="13.5546875" style="30" customWidth="1"/>
    <col min="5372" max="5372" width="15.33203125" style="30" customWidth="1"/>
    <col min="5373" max="5373" width="12.77734375" style="30" customWidth="1"/>
    <col min="5374" max="5374" width="13.88671875" style="30" customWidth="1"/>
    <col min="5375" max="5375" width="1.88671875" style="30" customWidth="1"/>
    <col min="5376" max="5376" width="13" style="30" customWidth="1"/>
    <col min="5377" max="5616" width="8.88671875" style="30"/>
    <col min="5617" max="5617" width="6" style="30" customWidth="1"/>
    <col min="5618" max="5618" width="1.44140625" style="30" customWidth="1"/>
    <col min="5619" max="5619" width="39.109375" style="30" customWidth="1"/>
    <col min="5620" max="5620" width="12" style="30" customWidth="1"/>
    <col min="5621" max="5621" width="14.44140625" style="30" customWidth="1"/>
    <col min="5622" max="5622" width="11.88671875" style="30" customWidth="1"/>
    <col min="5623" max="5623" width="14.109375" style="30" customWidth="1"/>
    <col min="5624" max="5624" width="13.88671875" style="30" customWidth="1"/>
    <col min="5625" max="5626" width="12.77734375" style="30" customWidth="1"/>
    <col min="5627" max="5627" width="13.5546875" style="30" customWidth="1"/>
    <col min="5628" max="5628" width="15.33203125" style="30" customWidth="1"/>
    <col min="5629" max="5629" width="12.77734375" style="30" customWidth="1"/>
    <col min="5630" max="5630" width="13.88671875" style="30" customWidth="1"/>
    <col min="5631" max="5631" width="1.88671875" style="30" customWidth="1"/>
    <col min="5632" max="5632" width="13" style="30" customWidth="1"/>
    <col min="5633" max="5872" width="8.88671875" style="30"/>
    <col min="5873" max="5873" width="6" style="30" customWidth="1"/>
    <col min="5874" max="5874" width="1.44140625" style="30" customWidth="1"/>
    <col min="5875" max="5875" width="39.109375" style="30" customWidth="1"/>
    <col min="5876" max="5876" width="12" style="30" customWidth="1"/>
    <col min="5877" max="5877" width="14.44140625" style="30" customWidth="1"/>
    <col min="5878" max="5878" width="11.88671875" style="30" customWidth="1"/>
    <col min="5879" max="5879" width="14.109375" style="30" customWidth="1"/>
    <col min="5880" max="5880" width="13.88671875" style="30" customWidth="1"/>
    <col min="5881" max="5882" width="12.77734375" style="30" customWidth="1"/>
    <col min="5883" max="5883" width="13.5546875" style="30" customWidth="1"/>
    <col min="5884" max="5884" width="15.33203125" style="30" customWidth="1"/>
    <col min="5885" max="5885" width="12.77734375" style="30" customWidth="1"/>
    <col min="5886" max="5886" width="13.88671875" style="30" customWidth="1"/>
    <col min="5887" max="5887" width="1.88671875" style="30" customWidth="1"/>
    <col min="5888" max="5888" width="13" style="30" customWidth="1"/>
    <col min="5889" max="6128" width="8.88671875" style="30"/>
    <col min="6129" max="6129" width="6" style="30" customWidth="1"/>
    <col min="6130" max="6130" width="1.44140625" style="30" customWidth="1"/>
    <col min="6131" max="6131" width="39.109375" style="30" customWidth="1"/>
    <col min="6132" max="6132" width="12" style="30" customWidth="1"/>
    <col min="6133" max="6133" width="14.44140625" style="30" customWidth="1"/>
    <col min="6134" max="6134" width="11.88671875" style="30" customWidth="1"/>
    <col min="6135" max="6135" width="14.109375" style="30" customWidth="1"/>
    <col min="6136" max="6136" width="13.88671875" style="30" customWidth="1"/>
    <col min="6137" max="6138" width="12.77734375" style="30" customWidth="1"/>
    <col min="6139" max="6139" width="13.5546875" style="30" customWidth="1"/>
    <col min="6140" max="6140" width="15.33203125" style="30" customWidth="1"/>
    <col min="6141" max="6141" width="12.77734375" style="30" customWidth="1"/>
    <col min="6142" max="6142" width="13.88671875" style="30" customWidth="1"/>
    <col min="6143" max="6143" width="1.88671875" style="30" customWidth="1"/>
    <col min="6144" max="6144" width="13" style="30" customWidth="1"/>
    <col min="6145" max="6384" width="8.88671875" style="30"/>
    <col min="6385" max="6385" width="6" style="30" customWidth="1"/>
    <col min="6386" max="6386" width="1.44140625" style="30" customWidth="1"/>
    <col min="6387" max="6387" width="39.109375" style="30" customWidth="1"/>
    <col min="6388" max="6388" width="12" style="30" customWidth="1"/>
    <col min="6389" max="6389" width="14.44140625" style="30" customWidth="1"/>
    <col min="6390" max="6390" width="11.88671875" style="30" customWidth="1"/>
    <col min="6391" max="6391" width="14.109375" style="30" customWidth="1"/>
    <col min="6392" max="6392" width="13.88671875" style="30" customWidth="1"/>
    <col min="6393" max="6394" width="12.77734375" style="30" customWidth="1"/>
    <col min="6395" max="6395" width="13.5546875" style="30" customWidth="1"/>
    <col min="6396" max="6396" width="15.33203125" style="30" customWidth="1"/>
    <col min="6397" max="6397" width="12.77734375" style="30" customWidth="1"/>
    <col min="6398" max="6398" width="13.88671875" style="30" customWidth="1"/>
    <col min="6399" max="6399" width="1.88671875" style="30" customWidth="1"/>
    <col min="6400" max="6400" width="13" style="30" customWidth="1"/>
    <col min="6401" max="6640" width="8.88671875" style="30"/>
    <col min="6641" max="6641" width="6" style="30" customWidth="1"/>
    <col min="6642" max="6642" width="1.44140625" style="30" customWidth="1"/>
    <col min="6643" max="6643" width="39.109375" style="30" customWidth="1"/>
    <col min="6644" max="6644" width="12" style="30" customWidth="1"/>
    <col min="6645" max="6645" width="14.44140625" style="30" customWidth="1"/>
    <col min="6646" max="6646" width="11.88671875" style="30" customWidth="1"/>
    <col min="6647" max="6647" width="14.109375" style="30" customWidth="1"/>
    <col min="6648" max="6648" width="13.88671875" style="30" customWidth="1"/>
    <col min="6649" max="6650" width="12.77734375" style="30" customWidth="1"/>
    <col min="6651" max="6651" width="13.5546875" style="30" customWidth="1"/>
    <col min="6652" max="6652" width="15.33203125" style="30" customWidth="1"/>
    <col min="6653" max="6653" width="12.77734375" style="30" customWidth="1"/>
    <col min="6654" max="6654" width="13.88671875" style="30" customWidth="1"/>
    <col min="6655" max="6655" width="1.88671875" style="30" customWidth="1"/>
    <col min="6656" max="6656" width="13" style="30" customWidth="1"/>
    <col min="6657" max="6896" width="8.88671875" style="30"/>
    <col min="6897" max="6897" width="6" style="30" customWidth="1"/>
    <col min="6898" max="6898" width="1.44140625" style="30" customWidth="1"/>
    <col min="6899" max="6899" width="39.109375" style="30" customWidth="1"/>
    <col min="6900" max="6900" width="12" style="30" customWidth="1"/>
    <col min="6901" max="6901" width="14.44140625" style="30" customWidth="1"/>
    <col min="6902" max="6902" width="11.88671875" style="30" customWidth="1"/>
    <col min="6903" max="6903" width="14.109375" style="30" customWidth="1"/>
    <col min="6904" max="6904" width="13.88671875" style="30" customWidth="1"/>
    <col min="6905" max="6906" width="12.77734375" style="30" customWidth="1"/>
    <col min="6907" max="6907" width="13.5546875" style="30" customWidth="1"/>
    <col min="6908" max="6908" width="15.33203125" style="30" customWidth="1"/>
    <col min="6909" max="6909" width="12.77734375" style="30" customWidth="1"/>
    <col min="6910" max="6910" width="13.88671875" style="30" customWidth="1"/>
    <col min="6911" max="6911" width="1.88671875" style="30" customWidth="1"/>
    <col min="6912" max="6912" width="13" style="30" customWidth="1"/>
    <col min="6913" max="7152" width="8.88671875" style="30"/>
    <col min="7153" max="7153" width="6" style="30" customWidth="1"/>
    <col min="7154" max="7154" width="1.44140625" style="30" customWidth="1"/>
    <col min="7155" max="7155" width="39.109375" style="30" customWidth="1"/>
    <col min="7156" max="7156" width="12" style="30" customWidth="1"/>
    <col min="7157" max="7157" width="14.44140625" style="30" customWidth="1"/>
    <col min="7158" max="7158" width="11.88671875" style="30" customWidth="1"/>
    <col min="7159" max="7159" width="14.109375" style="30" customWidth="1"/>
    <col min="7160" max="7160" width="13.88671875" style="30" customWidth="1"/>
    <col min="7161" max="7162" width="12.77734375" style="30" customWidth="1"/>
    <col min="7163" max="7163" width="13.5546875" style="30" customWidth="1"/>
    <col min="7164" max="7164" width="15.33203125" style="30" customWidth="1"/>
    <col min="7165" max="7165" width="12.77734375" style="30" customWidth="1"/>
    <col min="7166" max="7166" width="13.88671875" style="30" customWidth="1"/>
    <col min="7167" max="7167" width="1.88671875" style="30" customWidth="1"/>
    <col min="7168" max="7168" width="13" style="30" customWidth="1"/>
    <col min="7169" max="7408" width="8.88671875" style="30"/>
    <col min="7409" max="7409" width="6" style="30" customWidth="1"/>
    <col min="7410" max="7410" width="1.44140625" style="30" customWidth="1"/>
    <col min="7411" max="7411" width="39.109375" style="30" customWidth="1"/>
    <col min="7412" max="7412" width="12" style="30" customWidth="1"/>
    <col min="7413" max="7413" width="14.44140625" style="30" customWidth="1"/>
    <col min="7414" max="7414" width="11.88671875" style="30" customWidth="1"/>
    <col min="7415" max="7415" width="14.109375" style="30" customWidth="1"/>
    <col min="7416" max="7416" width="13.88671875" style="30" customWidth="1"/>
    <col min="7417" max="7418" width="12.77734375" style="30" customWidth="1"/>
    <col min="7419" max="7419" width="13.5546875" style="30" customWidth="1"/>
    <col min="7420" max="7420" width="15.33203125" style="30" customWidth="1"/>
    <col min="7421" max="7421" width="12.77734375" style="30" customWidth="1"/>
    <col min="7422" max="7422" width="13.88671875" style="30" customWidth="1"/>
    <col min="7423" max="7423" width="1.88671875" style="30" customWidth="1"/>
    <col min="7424" max="7424" width="13" style="30" customWidth="1"/>
    <col min="7425" max="7664" width="8.88671875" style="30"/>
    <col min="7665" max="7665" width="6" style="30" customWidth="1"/>
    <col min="7666" max="7666" width="1.44140625" style="30" customWidth="1"/>
    <col min="7667" max="7667" width="39.109375" style="30" customWidth="1"/>
    <col min="7668" max="7668" width="12" style="30" customWidth="1"/>
    <col min="7669" max="7669" width="14.44140625" style="30" customWidth="1"/>
    <col min="7670" max="7670" width="11.88671875" style="30" customWidth="1"/>
    <col min="7671" max="7671" width="14.109375" style="30" customWidth="1"/>
    <col min="7672" max="7672" width="13.88671875" style="30" customWidth="1"/>
    <col min="7673" max="7674" width="12.77734375" style="30" customWidth="1"/>
    <col min="7675" max="7675" width="13.5546875" style="30" customWidth="1"/>
    <col min="7676" max="7676" width="15.33203125" style="30" customWidth="1"/>
    <col min="7677" max="7677" width="12.77734375" style="30" customWidth="1"/>
    <col min="7678" max="7678" width="13.88671875" style="30" customWidth="1"/>
    <col min="7679" max="7679" width="1.88671875" style="30" customWidth="1"/>
    <col min="7680" max="7680" width="13" style="30" customWidth="1"/>
    <col min="7681" max="7920" width="8.88671875" style="30"/>
    <col min="7921" max="7921" width="6" style="30" customWidth="1"/>
    <col min="7922" max="7922" width="1.44140625" style="30" customWidth="1"/>
    <col min="7923" max="7923" width="39.109375" style="30" customWidth="1"/>
    <col min="7924" max="7924" width="12" style="30" customWidth="1"/>
    <col min="7925" max="7925" width="14.44140625" style="30" customWidth="1"/>
    <col min="7926" max="7926" width="11.88671875" style="30" customWidth="1"/>
    <col min="7927" max="7927" width="14.109375" style="30" customWidth="1"/>
    <col min="7928" max="7928" width="13.88671875" style="30" customWidth="1"/>
    <col min="7929" max="7930" width="12.77734375" style="30" customWidth="1"/>
    <col min="7931" max="7931" width="13.5546875" style="30" customWidth="1"/>
    <col min="7932" max="7932" width="15.33203125" style="30" customWidth="1"/>
    <col min="7933" max="7933" width="12.77734375" style="30" customWidth="1"/>
    <col min="7934" max="7934" width="13.88671875" style="30" customWidth="1"/>
    <col min="7935" max="7935" width="1.88671875" style="30" customWidth="1"/>
    <col min="7936" max="7936" width="13" style="30" customWidth="1"/>
    <col min="7937" max="8176" width="8.88671875" style="30"/>
    <col min="8177" max="8177" width="6" style="30" customWidth="1"/>
    <col min="8178" max="8178" width="1.44140625" style="30" customWidth="1"/>
    <col min="8179" max="8179" width="39.109375" style="30" customWidth="1"/>
    <col min="8180" max="8180" width="12" style="30" customWidth="1"/>
    <col min="8181" max="8181" width="14.44140625" style="30" customWidth="1"/>
    <col min="8182" max="8182" width="11.88671875" style="30" customWidth="1"/>
    <col min="8183" max="8183" width="14.109375" style="30" customWidth="1"/>
    <col min="8184" max="8184" width="13.88671875" style="30" customWidth="1"/>
    <col min="8185" max="8186" width="12.77734375" style="30" customWidth="1"/>
    <col min="8187" max="8187" width="13.5546875" style="30" customWidth="1"/>
    <col min="8188" max="8188" width="15.33203125" style="30" customWidth="1"/>
    <col min="8189" max="8189" width="12.77734375" style="30" customWidth="1"/>
    <col min="8190" max="8190" width="13.88671875" style="30" customWidth="1"/>
    <col min="8191" max="8191" width="1.88671875" style="30" customWidth="1"/>
    <col min="8192" max="8192" width="13" style="30" customWidth="1"/>
    <col min="8193" max="8432" width="8.88671875" style="30"/>
    <col min="8433" max="8433" width="6" style="30" customWidth="1"/>
    <col min="8434" max="8434" width="1.44140625" style="30" customWidth="1"/>
    <col min="8435" max="8435" width="39.109375" style="30" customWidth="1"/>
    <col min="8436" max="8436" width="12" style="30" customWidth="1"/>
    <col min="8437" max="8437" width="14.44140625" style="30" customWidth="1"/>
    <col min="8438" max="8438" width="11.88671875" style="30" customWidth="1"/>
    <col min="8439" max="8439" width="14.109375" style="30" customWidth="1"/>
    <col min="8440" max="8440" width="13.88671875" style="30" customWidth="1"/>
    <col min="8441" max="8442" width="12.77734375" style="30" customWidth="1"/>
    <col min="8443" max="8443" width="13.5546875" style="30" customWidth="1"/>
    <col min="8444" max="8444" width="15.33203125" style="30" customWidth="1"/>
    <col min="8445" max="8445" width="12.77734375" style="30" customWidth="1"/>
    <col min="8446" max="8446" width="13.88671875" style="30" customWidth="1"/>
    <col min="8447" max="8447" width="1.88671875" style="30" customWidth="1"/>
    <col min="8448" max="8448" width="13" style="30" customWidth="1"/>
    <col min="8449" max="8688" width="8.88671875" style="30"/>
    <col min="8689" max="8689" width="6" style="30" customWidth="1"/>
    <col min="8690" max="8690" width="1.44140625" style="30" customWidth="1"/>
    <col min="8691" max="8691" width="39.109375" style="30" customWidth="1"/>
    <col min="8692" max="8692" width="12" style="30" customWidth="1"/>
    <col min="8693" max="8693" width="14.44140625" style="30" customWidth="1"/>
    <col min="8694" max="8694" width="11.88671875" style="30" customWidth="1"/>
    <col min="8695" max="8695" width="14.109375" style="30" customWidth="1"/>
    <col min="8696" max="8696" width="13.88671875" style="30" customWidth="1"/>
    <col min="8697" max="8698" width="12.77734375" style="30" customWidth="1"/>
    <col min="8699" max="8699" width="13.5546875" style="30" customWidth="1"/>
    <col min="8700" max="8700" width="15.33203125" style="30" customWidth="1"/>
    <col min="8701" max="8701" width="12.77734375" style="30" customWidth="1"/>
    <col min="8702" max="8702" width="13.88671875" style="30" customWidth="1"/>
    <col min="8703" max="8703" width="1.88671875" style="30" customWidth="1"/>
    <col min="8704" max="8704" width="13" style="30" customWidth="1"/>
    <col min="8705" max="8944" width="8.88671875" style="30"/>
    <col min="8945" max="8945" width="6" style="30" customWidth="1"/>
    <col min="8946" max="8946" width="1.44140625" style="30" customWidth="1"/>
    <col min="8947" max="8947" width="39.109375" style="30" customWidth="1"/>
    <col min="8948" max="8948" width="12" style="30" customWidth="1"/>
    <col min="8949" max="8949" width="14.44140625" style="30" customWidth="1"/>
    <col min="8950" max="8950" width="11.88671875" style="30" customWidth="1"/>
    <col min="8951" max="8951" width="14.109375" style="30" customWidth="1"/>
    <col min="8952" max="8952" width="13.88671875" style="30" customWidth="1"/>
    <col min="8953" max="8954" width="12.77734375" style="30" customWidth="1"/>
    <col min="8955" max="8955" width="13.5546875" style="30" customWidth="1"/>
    <col min="8956" max="8956" width="15.33203125" style="30" customWidth="1"/>
    <col min="8957" max="8957" width="12.77734375" style="30" customWidth="1"/>
    <col min="8958" max="8958" width="13.88671875" style="30" customWidth="1"/>
    <col min="8959" max="8959" width="1.88671875" style="30" customWidth="1"/>
    <col min="8960" max="8960" width="13" style="30" customWidth="1"/>
    <col min="8961" max="9200" width="8.88671875" style="30"/>
    <col min="9201" max="9201" width="6" style="30" customWidth="1"/>
    <col min="9202" max="9202" width="1.44140625" style="30" customWidth="1"/>
    <col min="9203" max="9203" width="39.109375" style="30" customWidth="1"/>
    <col min="9204" max="9204" width="12" style="30" customWidth="1"/>
    <col min="9205" max="9205" width="14.44140625" style="30" customWidth="1"/>
    <col min="9206" max="9206" width="11.88671875" style="30" customWidth="1"/>
    <col min="9207" max="9207" width="14.109375" style="30" customWidth="1"/>
    <col min="9208" max="9208" width="13.88671875" style="30" customWidth="1"/>
    <col min="9209" max="9210" width="12.77734375" style="30" customWidth="1"/>
    <col min="9211" max="9211" width="13.5546875" style="30" customWidth="1"/>
    <col min="9212" max="9212" width="15.33203125" style="30" customWidth="1"/>
    <col min="9213" max="9213" width="12.77734375" style="30" customWidth="1"/>
    <col min="9214" max="9214" width="13.88671875" style="30" customWidth="1"/>
    <col min="9215" max="9215" width="1.88671875" style="30" customWidth="1"/>
    <col min="9216" max="9216" width="13" style="30" customWidth="1"/>
    <col min="9217" max="9456" width="8.88671875" style="30"/>
    <col min="9457" max="9457" width="6" style="30" customWidth="1"/>
    <col min="9458" max="9458" width="1.44140625" style="30" customWidth="1"/>
    <col min="9459" max="9459" width="39.109375" style="30" customWidth="1"/>
    <col min="9460" max="9460" width="12" style="30" customWidth="1"/>
    <col min="9461" max="9461" width="14.44140625" style="30" customWidth="1"/>
    <col min="9462" max="9462" width="11.88671875" style="30" customWidth="1"/>
    <col min="9463" max="9463" width="14.109375" style="30" customWidth="1"/>
    <col min="9464" max="9464" width="13.88671875" style="30" customWidth="1"/>
    <col min="9465" max="9466" width="12.77734375" style="30" customWidth="1"/>
    <col min="9467" max="9467" width="13.5546875" style="30" customWidth="1"/>
    <col min="9468" max="9468" width="15.33203125" style="30" customWidth="1"/>
    <col min="9469" max="9469" width="12.77734375" style="30" customWidth="1"/>
    <col min="9470" max="9470" width="13.88671875" style="30" customWidth="1"/>
    <col min="9471" max="9471" width="1.88671875" style="30" customWidth="1"/>
    <col min="9472" max="9472" width="13" style="30" customWidth="1"/>
    <col min="9473" max="9712" width="8.88671875" style="30"/>
    <col min="9713" max="9713" width="6" style="30" customWidth="1"/>
    <col min="9714" max="9714" width="1.44140625" style="30" customWidth="1"/>
    <col min="9715" max="9715" width="39.109375" style="30" customWidth="1"/>
    <col min="9716" max="9716" width="12" style="30" customWidth="1"/>
    <col min="9717" max="9717" width="14.44140625" style="30" customWidth="1"/>
    <col min="9718" max="9718" width="11.88671875" style="30" customWidth="1"/>
    <col min="9719" max="9719" width="14.109375" style="30" customWidth="1"/>
    <col min="9720" max="9720" width="13.88671875" style="30" customWidth="1"/>
    <col min="9721" max="9722" width="12.77734375" style="30" customWidth="1"/>
    <col min="9723" max="9723" width="13.5546875" style="30" customWidth="1"/>
    <col min="9724" max="9724" width="15.33203125" style="30" customWidth="1"/>
    <col min="9725" max="9725" width="12.77734375" style="30" customWidth="1"/>
    <col min="9726" max="9726" width="13.88671875" style="30" customWidth="1"/>
    <col min="9727" max="9727" width="1.88671875" style="30" customWidth="1"/>
    <col min="9728" max="9728" width="13" style="30" customWidth="1"/>
    <col min="9729" max="9968" width="8.88671875" style="30"/>
    <col min="9969" max="9969" width="6" style="30" customWidth="1"/>
    <col min="9970" max="9970" width="1.44140625" style="30" customWidth="1"/>
    <col min="9971" max="9971" width="39.109375" style="30" customWidth="1"/>
    <col min="9972" max="9972" width="12" style="30" customWidth="1"/>
    <col min="9973" max="9973" width="14.44140625" style="30" customWidth="1"/>
    <col min="9974" max="9974" width="11.88671875" style="30" customWidth="1"/>
    <col min="9975" max="9975" width="14.109375" style="30" customWidth="1"/>
    <col min="9976" max="9976" width="13.88671875" style="30" customWidth="1"/>
    <col min="9977" max="9978" width="12.77734375" style="30" customWidth="1"/>
    <col min="9979" max="9979" width="13.5546875" style="30" customWidth="1"/>
    <col min="9980" max="9980" width="15.33203125" style="30" customWidth="1"/>
    <col min="9981" max="9981" width="12.77734375" style="30" customWidth="1"/>
    <col min="9982" max="9982" width="13.88671875" style="30" customWidth="1"/>
    <col min="9983" max="9983" width="1.88671875" style="30" customWidth="1"/>
    <col min="9984" max="9984" width="13" style="30" customWidth="1"/>
    <col min="9985" max="10224" width="8.88671875" style="30"/>
    <col min="10225" max="10225" width="6" style="30" customWidth="1"/>
    <col min="10226" max="10226" width="1.44140625" style="30" customWidth="1"/>
    <col min="10227" max="10227" width="39.109375" style="30" customWidth="1"/>
    <col min="10228" max="10228" width="12" style="30" customWidth="1"/>
    <col min="10229" max="10229" width="14.44140625" style="30" customWidth="1"/>
    <col min="10230" max="10230" width="11.88671875" style="30" customWidth="1"/>
    <col min="10231" max="10231" width="14.109375" style="30" customWidth="1"/>
    <col min="10232" max="10232" width="13.88671875" style="30" customWidth="1"/>
    <col min="10233" max="10234" width="12.77734375" style="30" customWidth="1"/>
    <col min="10235" max="10235" width="13.5546875" style="30" customWidth="1"/>
    <col min="10236" max="10236" width="15.33203125" style="30" customWidth="1"/>
    <col min="10237" max="10237" width="12.77734375" style="30" customWidth="1"/>
    <col min="10238" max="10238" width="13.88671875" style="30" customWidth="1"/>
    <col min="10239" max="10239" width="1.88671875" style="30" customWidth="1"/>
    <col min="10240" max="10240" width="13" style="30" customWidth="1"/>
    <col min="10241" max="10480" width="8.88671875" style="30"/>
    <col min="10481" max="10481" width="6" style="30" customWidth="1"/>
    <col min="10482" max="10482" width="1.44140625" style="30" customWidth="1"/>
    <col min="10483" max="10483" width="39.109375" style="30" customWidth="1"/>
    <col min="10484" max="10484" width="12" style="30" customWidth="1"/>
    <col min="10485" max="10485" width="14.44140625" style="30" customWidth="1"/>
    <col min="10486" max="10486" width="11.88671875" style="30" customWidth="1"/>
    <col min="10487" max="10487" width="14.109375" style="30" customWidth="1"/>
    <col min="10488" max="10488" width="13.88671875" style="30" customWidth="1"/>
    <col min="10489" max="10490" width="12.77734375" style="30" customWidth="1"/>
    <col min="10491" max="10491" width="13.5546875" style="30" customWidth="1"/>
    <col min="10492" max="10492" width="15.33203125" style="30" customWidth="1"/>
    <col min="10493" max="10493" width="12.77734375" style="30" customWidth="1"/>
    <col min="10494" max="10494" width="13.88671875" style="30" customWidth="1"/>
    <col min="10495" max="10495" width="1.88671875" style="30" customWidth="1"/>
    <col min="10496" max="10496" width="13" style="30" customWidth="1"/>
    <col min="10497" max="10736" width="8.88671875" style="30"/>
    <col min="10737" max="10737" width="6" style="30" customWidth="1"/>
    <col min="10738" max="10738" width="1.44140625" style="30" customWidth="1"/>
    <col min="10739" max="10739" width="39.109375" style="30" customWidth="1"/>
    <col min="10740" max="10740" width="12" style="30" customWidth="1"/>
    <col min="10741" max="10741" width="14.44140625" style="30" customWidth="1"/>
    <col min="10742" max="10742" width="11.88671875" style="30" customWidth="1"/>
    <col min="10743" max="10743" width="14.109375" style="30" customWidth="1"/>
    <col min="10744" max="10744" width="13.88671875" style="30" customWidth="1"/>
    <col min="10745" max="10746" width="12.77734375" style="30" customWidth="1"/>
    <col min="10747" max="10747" width="13.5546875" style="30" customWidth="1"/>
    <col min="10748" max="10748" width="15.33203125" style="30" customWidth="1"/>
    <col min="10749" max="10749" width="12.77734375" style="30" customWidth="1"/>
    <col min="10750" max="10750" width="13.88671875" style="30" customWidth="1"/>
    <col min="10751" max="10751" width="1.88671875" style="30" customWidth="1"/>
    <col min="10752" max="10752" width="13" style="30" customWidth="1"/>
    <col min="10753" max="10992" width="8.88671875" style="30"/>
    <col min="10993" max="10993" width="6" style="30" customWidth="1"/>
    <col min="10994" max="10994" width="1.44140625" style="30" customWidth="1"/>
    <col min="10995" max="10995" width="39.109375" style="30" customWidth="1"/>
    <col min="10996" max="10996" width="12" style="30" customWidth="1"/>
    <col min="10997" max="10997" width="14.44140625" style="30" customWidth="1"/>
    <col min="10998" max="10998" width="11.88671875" style="30" customWidth="1"/>
    <col min="10999" max="10999" width="14.109375" style="30" customWidth="1"/>
    <col min="11000" max="11000" width="13.88671875" style="30" customWidth="1"/>
    <col min="11001" max="11002" width="12.77734375" style="30" customWidth="1"/>
    <col min="11003" max="11003" width="13.5546875" style="30" customWidth="1"/>
    <col min="11004" max="11004" width="15.33203125" style="30" customWidth="1"/>
    <col min="11005" max="11005" width="12.77734375" style="30" customWidth="1"/>
    <col min="11006" max="11006" width="13.88671875" style="30" customWidth="1"/>
    <col min="11007" max="11007" width="1.88671875" style="30" customWidth="1"/>
    <col min="11008" max="11008" width="13" style="30" customWidth="1"/>
    <col min="11009" max="11248" width="8.88671875" style="30"/>
    <col min="11249" max="11249" width="6" style="30" customWidth="1"/>
    <col min="11250" max="11250" width="1.44140625" style="30" customWidth="1"/>
    <col min="11251" max="11251" width="39.109375" style="30" customWidth="1"/>
    <col min="11252" max="11252" width="12" style="30" customWidth="1"/>
    <col min="11253" max="11253" width="14.44140625" style="30" customWidth="1"/>
    <col min="11254" max="11254" width="11.88671875" style="30" customWidth="1"/>
    <col min="11255" max="11255" width="14.109375" style="30" customWidth="1"/>
    <col min="11256" max="11256" width="13.88671875" style="30" customWidth="1"/>
    <col min="11257" max="11258" width="12.77734375" style="30" customWidth="1"/>
    <col min="11259" max="11259" width="13.5546875" style="30" customWidth="1"/>
    <col min="11260" max="11260" width="15.33203125" style="30" customWidth="1"/>
    <col min="11261" max="11261" width="12.77734375" style="30" customWidth="1"/>
    <col min="11262" max="11262" width="13.88671875" style="30" customWidth="1"/>
    <col min="11263" max="11263" width="1.88671875" style="30" customWidth="1"/>
    <col min="11264" max="11264" width="13" style="30" customWidth="1"/>
    <col min="11265" max="11504" width="8.88671875" style="30"/>
    <col min="11505" max="11505" width="6" style="30" customWidth="1"/>
    <col min="11506" max="11506" width="1.44140625" style="30" customWidth="1"/>
    <col min="11507" max="11507" width="39.109375" style="30" customWidth="1"/>
    <col min="11508" max="11508" width="12" style="30" customWidth="1"/>
    <col min="11509" max="11509" width="14.44140625" style="30" customWidth="1"/>
    <col min="11510" max="11510" width="11.88671875" style="30" customWidth="1"/>
    <col min="11511" max="11511" width="14.109375" style="30" customWidth="1"/>
    <col min="11512" max="11512" width="13.88671875" style="30" customWidth="1"/>
    <col min="11513" max="11514" width="12.77734375" style="30" customWidth="1"/>
    <col min="11515" max="11515" width="13.5546875" style="30" customWidth="1"/>
    <col min="11516" max="11516" width="15.33203125" style="30" customWidth="1"/>
    <col min="11517" max="11517" width="12.77734375" style="30" customWidth="1"/>
    <col min="11518" max="11518" width="13.88671875" style="30" customWidth="1"/>
    <col min="11519" max="11519" width="1.88671875" style="30" customWidth="1"/>
    <col min="11520" max="11520" width="13" style="30" customWidth="1"/>
    <col min="11521" max="11760" width="8.88671875" style="30"/>
    <col min="11761" max="11761" width="6" style="30" customWidth="1"/>
    <col min="11762" max="11762" width="1.44140625" style="30" customWidth="1"/>
    <col min="11763" max="11763" width="39.109375" style="30" customWidth="1"/>
    <col min="11764" max="11764" width="12" style="30" customWidth="1"/>
    <col min="11765" max="11765" width="14.44140625" style="30" customWidth="1"/>
    <col min="11766" max="11766" width="11.88671875" style="30" customWidth="1"/>
    <col min="11767" max="11767" width="14.109375" style="30" customWidth="1"/>
    <col min="11768" max="11768" width="13.88671875" style="30" customWidth="1"/>
    <col min="11769" max="11770" width="12.77734375" style="30" customWidth="1"/>
    <col min="11771" max="11771" width="13.5546875" style="30" customWidth="1"/>
    <col min="11772" max="11772" width="15.33203125" style="30" customWidth="1"/>
    <col min="11773" max="11773" width="12.77734375" style="30" customWidth="1"/>
    <col min="11774" max="11774" width="13.88671875" style="30" customWidth="1"/>
    <col min="11775" max="11775" width="1.88671875" style="30" customWidth="1"/>
    <col min="11776" max="11776" width="13" style="30" customWidth="1"/>
    <col min="11777" max="12016" width="8.88671875" style="30"/>
    <col min="12017" max="12017" width="6" style="30" customWidth="1"/>
    <col min="12018" max="12018" width="1.44140625" style="30" customWidth="1"/>
    <col min="12019" max="12019" width="39.109375" style="30" customWidth="1"/>
    <col min="12020" max="12020" width="12" style="30" customWidth="1"/>
    <col min="12021" max="12021" width="14.44140625" style="30" customWidth="1"/>
    <col min="12022" max="12022" width="11.88671875" style="30" customWidth="1"/>
    <col min="12023" max="12023" width="14.109375" style="30" customWidth="1"/>
    <col min="12024" max="12024" width="13.88671875" style="30" customWidth="1"/>
    <col min="12025" max="12026" width="12.77734375" style="30" customWidth="1"/>
    <col min="12027" max="12027" width="13.5546875" style="30" customWidth="1"/>
    <col min="12028" max="12028" width="15.33203125" style="30" customWidth="1"/>
    <col min="12029" max="12029" width="12.77734375" style="30" customWidth="1"/>
    <col min="12030" max="12030" width="13.88671875" style="30" customWidth="1"/>
    <col min="12031" max="12031" width="1.88671875" style="30" customWidth="1"/>
    <col min="12032" max="12032" width="13" style="30" customWidth="1"/>
    <col min="12033" max="12272" width="8.88671875" style="30"/>
    <col min="12273" max="12273" width="6" style="30" customWidth="1"/>
    <col min="12274" max="12274" width="1.44140625" style="30" customWidth="1"/>
    <col min="12275" max="12275" width="39.109375" style="30" customWidth="1"/>
    <col min="12276" max="12276" width="12" style="30" customWidth="1"/>
    <col min="12277" max="12277" width="14.44140625" style="30" customWidth="1"/>
    <col min="12278" max="12278" width="11.88671875" style="30" customWidth="1"/>
    <col min="12279" max="12279" width="14.109375" style="30" customWidth="1"/>
    <col min="12280" max="12280" width="13.88671875" style="30" customWidth="1"/>
    <col min="12281" max="12282" width="12.77734375" style="30" customWidth="1"/>
    <col min="12283" max="12283" width="13.5546875" style="30" customWidth="1"/>
    <col min="12284" max="12284" width="15.33203125" style="30" customWidth="1"/>
    <col min="12285" max="12285" width="12.77734375" style="30" customWidth="1"/>
    <col min="12286" max="12286" width="13.88671875" style="30" customWidth="1"/>
    <col min="12287" max="12287" width="1.88671875" style="30" customWidth="1"/>
    <col min="12288" max="12288" width="13" style="30" customWidth="1"/>
    <col min="12289" max="12528" width="8.88671875" style="30"/>
    <col min="12529" max="12529" width="6" style="30" customWidth="1"/>
    <col min="12530" max="12530" width="1.44140625" style="30" customWidth="1"/>
    <col min="12531" max="12531" width="39.109375" style="30" customWidth="1"/>
    <col min="12532" max="12532" width="12" style="30" customWidth="1"/>
    <col min="12533" max="12533" width="14.44140625" style="30" customWidth="1"/>
    <col min="12534" max="12534" width="11.88671875" style="30" customWidth="1"/>
    <col min="12535" max="12535" width="14.109375" style="30" customWidth="1"/>
    <col min="12536" max="12536" width="13.88671875" style="30" customWidth="1"/>
    <col min="12537" max="12538" width="12.77734375" style="30" customWidth="1"/>
    <col min="12539" max="12539" width="13.5546875" style="30" customWidth="1"/>
    <col min="12540" max="12540" width="15.33203125" style="30" customWidth="1"/>
    <col min="12541" max="12541" width="12.77734375" style="30" customWidth="1"/>
    <col min="12542" max="12542" width="13.88671875" style="30" customWidth="1"/>
    <col min="12543" max="12543" width="1.88671875" style="30" customWidth="1"/>
    <col min="12544" max="12544" width="13" style="30" customWidth="1"/>
    <col min="12545" max="12784" width="8.88671875" style="30"/>
    <col min="12785" max="12785" width="6" style="30" customWidth="1"/>
    <col min="12786" max="12786" width="1.44140625" style="30" customWidth="1"/>
    <col min="12787" max="12787" width="39.109375" style="30" customWidth="1"/>
    <col min="12788" max="12788" width="12" style="30" customWidth="1"/>
    <col min="12789" max="12789" width="14.44140625" style="30" customWidth="1"/>
    <col min="12790" max="12790" width="11.88671875" style="30" customWidth="1"/>
    <col min="12791" max="12791" width="14.109375" style="30" customWidth="1"/>
    <col min="12792" max="12792" width="13.88671875" style="30" customWidth="1"/>
    <col min="12793" max="12794" width="12.77734375" style="30" customWidth="1"/>
    <col min="12795" max="12795" width="13.5546875" style="30" customWidth="1"/>
    <col min="12796" max="12796" width="15.33203125" style="30" customWidth="1"/>
    <col min="12797" max="12797" width="12.77734375" style="30" customWidth="1"/>
    <col min="12798" max="12798" width="13.88671875" style="30" customWidth="1"/>
    <col min="12799" max="12799" width="1.88671875" style="30" customWidth="1"/>
    <col min="12800" max="12800" width="13" style="30" customWidth="1"/>
    <col min="12801" max="13040" width="8.88671875" style="30"/>
    <col min="13041" max="13041" width="6" style="30" customWidth="1"/>
    <col min="13042" max="13042" width="1.44140625" style="30" customWidth="1"/>
    <col min="13043" max="13043" width="39.109375" style="30" customWidth="1"/>
    <col min="13044" max="13044" width="12" style="30" customWidth="1"/>
    <col min="13045" max="13045" width="14.44140625" style="30" customWidth="1"/>
    <col min="13046" max="13046" width="11.88671875" style="30" customWidth="1"/>
    <col min="13047" max="13047" width="14.109375" style="30" customWidth="1"/>
    <col min="13048" max="13048" width="13.88671875" style="30" customWidth="1"/>
    <col min="13049" max="13050" width="12.77734375" style="30" customWidth="1"/>
    <col min="13051" max="13051" width="13.5546875" style="30" customWidth="1"/>
    <col min="13052" max="13052" width="15.33203125" style="30" customWidth="1"/>
    <col min="13053" max="13053" width="12.77734375" style="30" customWidth="1"/>
    <col min="13054" max="13054" width="13.88671875" style="30" customWidth="1"/>
    <col min="13055" max="13055" width="1.88671875" style="30" customWidth="1"/>
    <col min="13056" max="13056" width="13" style="30" customWidth="1"/>
    <col min="13057" max="13296" width="8.88671875" style="30"/>
    <col min="13297" max="13297" width="6" style="30" customWidth="1"/>
    <col min="13298" max="13298" width="1.44140625" style="30" customWidth="1"/>
    <col min="13299" max="13299" width="39.109375" style="30" customWidth="1"/>
    <col min="13300" max="13300" width="12" style="30" customWidth="1"/>
    <col min="13301" max="13301" width="14.44140625" style="30" customWidth="1"/>
    <col min="13302" max="13302" width="11.88671875" style="30" customWidth="1"/>
    <col min="13303" max="13303" width="14.109375" style="30" customWidth="1"/>
    <col min="13304" max="13304" width="13.88671875" style="30" customWidth="1"/>
    <col min="13305" max="13306" width="12.77734375" style="30" customWidth="1"/>
    <col min="13307" max="13307" width="13.5546875" style="30" customWidth="1"/>
    <col min="13308" max="13308" width="15.33203125" style="30" customWidth="1"/>
    <col min="13309" max="13309" width="12.77734375" style="30" customWidth="1"/>
    <col min="13310" max="13310" width="13.88671875" style="30" customWidth="1"/>
    <col min="13311" max="13311" width="1.88671875" style="30" customWidth="1"/>
    <col min="13312" max="13312" width="13" style="30" customWidth="1"/>
    <col min="13313" max="13552" width="8.88671875" style="30"/>
    <col min="13553" max="13553" width="6" style="30" customWidth="1"/>
    <col min="13554" max="13554" width="1.44140625" style="30" customWidth="1"/>
    <col min="13555" max="13555" width="39.109375" style="30" customWidth="1"/>
    <col min="13556" max="13556" width="12" style="30" customWidth="1"/>
    <col min="13557" max="13557" width="14.44140625" style="30" customWidth="1"/>
    <col min="13558" max="13558" width="11.88671875" style="30" customWidth="1"/>
    <col min="13559" max="13559" width="14.109375" style="30" customWidth="1"/>
    <col min="13560" max="13560" width="13.88671875" style="30" customWidth="1"/>
    <col min="13561" max="13562" width="12.77734375" style="30" customWidth="1"/>
    <col min="13563" max="13563" width="13.5546875" style="30" customWidth="1"/>
    <col min="13564" max="13564" width="15.33203125" style="30" customWidth="1"/>
    <col min="13565" max="13565" width="12.77734375" style="30" customWidth="1"/>
    <col min="13566" max="13566" width="13.88671875" style="30" customWidth="1"/>
    <col min="13567" max="13567" width="1.88671875" style="30" customWidth="1"/>
    <col min="13568" max="13568" width="13" style="30" customWidth="1"/>
    <col min="13569" max="13808" width="8.88671875" style="30"/>
    <col min="13809" max="13809" width="6" style="30" customWidth="1"/>
    <col min="13810" max="13810" width="1.44140625" style="30" customWidth="1"/>
    <col min="13811" max="13811" width="39.109375" style="30" customWidth="1"/>
    <col min="13812" max="13812" width="12" style="30" customWidth="1"/>
    <col min="13813" max="13813" width="14.44140625" style="30" customWidth="1"/>
    <col min="13814" max="13814" width="11.88671875" style="30" customWidth="1"/>
    <col min="13815" max="13815" width="14.109375" style="30" customWidth="1"/>
    <col min="13816" max="13816" width="13.88671875" style="30" customWidth="1"/>
    <col min="13817" max="13818" width="12.77734375" style="30" customWidth="1"/>
    <col min="13819" max="13819" width="13.5546875" style="30" customWidth="1"/>
    <col min="13820" max="13820" width="15.33203125" style="30" customWidth="1"/>
    <col min="13821" max="13821" width="12.77734375" style="30" customWidth="1"/>
    <col min="13822" max="13822" width="13.88671875" style="30" customWidth="1"/>
    <col min="13823" max="13823" width="1.88671875" style="30" customWidth="1"/>
    <col min="13824" max="13824" width="13" style="30" customWidth="1"/>
    <col min="13825" max="14064" width="8.88671875" style="30"/>
    <col min="14065" max="14065" width="6" style="30" customWidth="1"/>
    <col min="14066" max="14066" width="1.44140625" style="30" customWidth="1"/>
    <col min="14067" max="14067" width="39.109375" style="30" customWidth="1"/>
    <col min="14068" max="14068" width="12" style="30" customWidth="1"/>
    <col min="14069" max="14069" width="14.44140625" style="30" customWidth="1"/>
    <col min="14070" max="14070" width="11.88671875" style="30" customWidth="1"/>
    <col min="14071" max="14071" width="14.109375" style="30" customWidth="1"/>
    <col min="14072" max="14072" width="13.88671875" style="30" customWidth="1"/>
    <col min="14073" max="14074" width="12.77734375" style="30" customWidth="1"/>
    <col min="14075" max="14075" width="13.5546875" style="30" customWidth="1"/>
    <col min="14076" max="14076" width="15.33203125" style="30" customWidth="1"/>
    <col min="14077" max="14077" width="12.77734375" style="30" customWidth="1"/>
    <col min="14078" max="14078" width="13.88671875" style="30" customWidth="1"/>
    <col min="14079" max="14079" width="1.88671875" style="30" customWidth="1"/>
    <col min="14080" max="14080" width="13" style="30" customWidth="1"/>
    <col min="14081" max="14320" width="8.88671875" style="30"/>
    <col min="14321" max="14321" width="6" style="30" customWidth="1"/>
    <col min="14322" max="14322" width="1.44140625" style="30" customWidth="1"/>
    <col min="14323" max="14323" width="39.109375" style="30" customWidth="1"/>
    <col min="14324" max="14324" width="12" style="30" customWidth="1"/>
    <col min="14325" max="14325" width="14.44140625" style="30" customWidth="1"/>
    <col min="14326" max="14326" width="11.88671875" style="30" customWidth="1"/>
    <col min="14327" max="14327" width="14.109375" style="30" customWidth="1"/>
    <col min="14328" max="14328" width="13.88671875" style="30" customWidth="1"/>
    <col min="14329" max="14330" width="12.77734375" style="30" customWidth="1"/>
    <col min="14331" max="14331" width="13.5546875" style="30" customWidth="1"/>
    <col min="14332" max="14332" width="15.33203125" style="30" customWidth="1"/>
    <col min="14333" max="14333" width="12.77734375" style="30" customWidth="1"/>
    <col min="14334" max="14334" width="13.88671875" style="30" customWidth="1"/>
    <col min="14335" max="14335" width="1.88671875" style="30" customWidth="1"/>
    <col min="14336" max="14336" width="13" style="30" customWidth="1"/>
    <col min="14337" max="14576" width="8.88671875" style="30"/>
    <col min="14577" max="14577" width="6" style="30" customWidth="1"/>
    <col min="14578" max="14578" width="1.44140625" style="30" customWidth="1"/>
    <col min="14579" max="14579" width="39.109375" style="30" customWidth="1"/>
    <col min="14580" max="14580" width="12" style="30" customWidth="1"/>
    <col min="14581" max="14581" width="14.44140625" style="30" customWidth="1"/>
    <col min="14582" max="14582" width="11.88671875" style="30" customWidth="1"/>
    <col min="14583" max="14583" width="14.109375" style="30" customWidth="1"/>
    <col min="14584" max="14584" width="13.88671875" style="30" customWidth="1"/>
    <col min="14585" max="14586" width="12.77734375" style="30" customWidth="1"/>
    <col min="14587" max="14587" width="13.5546875" style="30" customWidth="1"/>
    <col min="14588" max="14588" width="15.33203125" style="30" customWidth="1"/>
    <col min="14589" max="14589" width="12.77734375" style="30" customWidth="1"/>
    <col min="14590" max="14590" width="13.88671875" style="30" customWidth="1"/>
    <col min="14591" max="14591" width="1.88671875" style="30" customWidth="1"/>
    <col min="14592" max="14592" width="13" style="30" customWidth="1"/>
    <col min="14593" max="14832" width="8.88671875" style="30"/>
    <col min="14833" max="14833" width="6" style="30" customWidth="1"/>
    <col min="14834" max="14834" width="1.44140625" style="30" customWidth="1"/>
    <col min="14835" max="14835" width="39.109375" style="30" customWidth="1"/>
    <col min="14836" max="14836" width="12" style="30" customWidth="1"/>
    <col min="14837" max="14837" width="14.44140625" style="30" customWidth="1"/>
    <col min="14838" max="14838" width="11.88671875" style="30" customWidth="1"/>
    <col min="14839" max="14839" width="14.109375" style="30" customWidth="1"/>
    <col min="14840" max="14840" width="13.88671875" style="30" customWidth="1"/>
    <col min="14841" max="14842" width="12.77734375" style="30" customWidth="1"/>
    <col min="14843" max="14843" width="13.5546875" style="30" customWidth="1"/>
    <col min="14844" max="14844" width="15.33203125" style="30" customWidth="1"/>
    <col min="14845" max="14845" width="12.77734375" style="30" customWidth="1"/>
    <col min="14846" max="14846" width="13.88671875" style="30" customWidth="1"/>
    <col min="14847" max="14847" width="1.88671875" style="30" customWidth="1"/>
    <col min="14848" max="14848" width="13" style="30" customWidth="1"/>
    <col min="14849" max="15088" width="8.88671875" style="30"/>
    <col min="15089" max="15089" width="6" style="30" customWidth="1"/>
    <col min="15090" max="15090" width="1.44140625" style="30" customWidth="1"/>
    <col min="15091" max="15091" width="39.109375" style="30" customWidth="1"/>
    <col min="15092" max="15092" width="12" style="30" customWidth="1"/>
    <col min="15093" max="15093" width="14.44140625" style="30" customWidth="1"/>
    <col min="15094" max="15094" width="11.88671875" style="30" customWidth="1"/>
    <col min="15095" max="15095" width="14.109375" style="30" customWidth="1"/>
    <col min="15096" max="15096" width="13.88671875" style="30" customWidth="1"/>
    <col min="15097" max="15098" width="12.77734375" style="30" customWidth="1"/>
    <col min="15099" max="15099" width="13.5546875" style="30" customWidth="1"/>
    <col min="15100" max="15100" width="15.33203125" style="30" customWidth="1"/>
    <col min="15101" max="15101" width="12.77734375" style="30" customWidth="1"/>
    <col min="15102" max="15102" width="13.88671875" style="30" customWidth="1"/>
    <col min="15103" max="15103" width="1.88671875" style="30" customWidth="1"/>
    <col min="15104" max="15104" width="13" style="30" customWidth="1"/>
    <col min="15105" max="15344" width="8.88671875" style="30"/>
    <col min="15345" max="15345" width="6" style="30" customWidth="1"/>
    <col min="15346" max="15346" width="1.44140625" style="30" customWidth="1"/>
    <col min="15347" max="15347" width="39.109375" style="30" customWidth="1"/>
    <col min="15348" max="15348" width="12" style="30" customWidth="1"/>
    <col min="15349" max="15349" width="14.44140625" style="30" customWidth="1"/>
    <col min="15350" max="15350" width="11.88671875" style="30" customWidth="1"/>
    <col min="15351" max="15351" width="14.109375" style="30" customWidth="1"/>
    <col min="15352" max="15352" width="13.88671875" style="30" customWidth="1"/>
    <col min="15353" max="15354" width="12.77734375" style="30" customWidth="1"/>
    <col min="15355" max="15355" width="13.5546875" style="30" customWidth="1"/>
    <col min="15356" max="15356" width="15.33203125" style="30" customWidth="1"/>
    <col min="15357" max="15357" width="12.77734375" style="30" customWidth="1"/>
    <col min="15358" max="15358" width="13.88671875" style="30" customWidth="1"/>
    <col min="15359" max="15359" width="1.88671875" style="30" customWidth="1"/>
    <col min="15360" max="15360" width="13" style="30" customWidth="1"/>
    <col min="15361" max="15600" width="8.88671875" style="30"/>
    <col min="15601" max="15601" width="6" style="30" customWidth="1"/>
    <col min="15602" max="15602" width="1.44140625" style="30" customWidth="1"/>
    <col min="15603" max="15603" width="39.109375" style="30" customWidth="1"/>
    <col min="15604" max="15604" width="12" style="30" customWidth="1"/>
    <col min="15605" max="15605" width="14.44140625" style="30" customWidth="1"/>
    <col min="15606" max="15606" width="11.88671875" style="30" customWidth="1"/>
    <col min="15607" max="15607" width="14.109375" style="30" customWidth="1"/>
    <col min="15608" max="15608" width="13.88671875" style="30" customWidth="1"/>
    <col min="15609" max="15610" width="12.77734375" style="30" customWidth="1"/>
    <col min="15611" max="15611" width="13.5546875" style="30" customWidth="1"/>
    <col min="15612" max="15612" width="15.33203125" style="30" customWidth="1"/>
    <col min="15613" max="15613" width="12.77734375" style="30" customWidth="1"/>
    <col min="15614" max="15614" width="13.88671875" style="30" customWidth="1"/>
    <col min="15615" max="15615" width="1.88671875" style="30" customWidth="1"/>
    <col min="15616" max="15616" width="13" style="30" customWidth="1"/>
    <col min="15617" max="15856" width="8.88671875" style="30"/>
    <col min="15857" max="15857" width="6" style="30" customWidth="1"/>
    <col min="15858" max="15858" width="1.44140625" style="30" customWidth="1"/>
    <col min="15859" max="15859" width="39.109375" style="30" customWidth="1"/>
    <col min="15860" max="15860" width="12" style="30" customWidth="1"/>
    <col min="15861" max="15861" width="14.44140625" style="30" customWidth="1"/>
    <col min="15862" max="15862" width="11.88671875" style="30" customWidth="1"/>
    <col min="15863" max="15863" width="14.109375" style="30" customWidth="1"/>
    <col min="15864" max="15864" width="13.88671875" style="30" customWidth="1"/>
    <col min="15865" max="15866" width="12.77734375" style="30" customWidth="1"/>
    <col min="15867" max="15867" width="13.5546875" style="30" customWidth="1"/>
    <col min="15868" max="15868" width="15.33203125" style="30" customWidth="1"/>
    <col min="15869" max="15869" width="12.77734375" style="30" customWidth="1"/>
    <col min="15870" max="15870" width="13.88671875" style="30" customWidth="1"/>
    <col min="15871" max="15871" width="1.88671875" style="30" customWidth="1"/>
    <col min="15872" max="15872" width="13" style="30" customWidth="1"/>
    <col min="15873" max="16112" width="8.88671875" style="30"/>
    <col min="16113" max="16113" width="6" style="30" customWidth="1"/>
    <col min="16114" max="16114" width="1.44140625" style="30" customWidth="1"/>
    <col min="16115" max="16115" width="39.109375" style="30" customWidth="1"/>
    <col min="16116" max="16116" width="12" style="30" customWidth="1"/>
    <col min="16117" max="16117" width="14.44140625" style="30" customWidth="1"/>
    <col min="16118" max="16118" width="11.88671875" style="30" customWidth="1"/>
    <col min="16119" max="16119" width="14.109375" style="30" customWidth="1"/>
    <col min="16120" max="16120" width="13.88671875" style="30" customWidth="1"/>
    <col min="16121" max="16122" width="12.77734375" style="30" customWidth="1"/>
    <col min="16123" max="16123" width="13.5546875" style="30" customWidth="1"/>
    <col min="16124" max="16124" width="15.33203125" style="30" customWidth="1"/>
    <col min="16125" max="16125" width="12.77734375" style="30" customWidth="1"/>
    <col min="16126" max="16126" width="13.88671875" style="30" customWidth="1"/>
    <col min="16127" max="16127" width="1.88671875" style="30" customWidth="1"/>
    <col min="16128" max="16128" width="13" style="30" customWidth="1"/>
    <col min="16129" max="16368" width="8.88671875" style="30"/>
    <col min="16369" max="16384" width="8.8867187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12/31/2013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20" t="str">
        <f>EKPC!A11</f>
        <v>East Kentucky Power Cooperative, Inc.</v>
      </c>
      <c r="B9" s="820"/>
      <c r="C9" s="820"/>
      <c r="D9" s="820"/>
      <c r="E9" s="820"/>
      <c r="F9" s="820"/>
      <c r="G9" s="820"/>
      <c r="H9" s="820"/>
      <c r="I9" s="820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75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75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17">
        <f>EKPC!J76</f>
        <v>549273577</v>
      </c>
      <c r="J19" s="54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7" t="str">
        <f>CONCATENATE(EKPC!J1,", p 2, line 14 col 5 (Note B)")</f>
        <v>Attachment H-24A, p 2, line 14 col 5 (Note B)</v>
      </c>
      <c r="F20" s="43"/>
      <c r="G20" s="417">
        <f>EKPC!J92</f>
        <v>396571305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17">
        <f>EKPC!J145</f>
        <v>30649590.951666668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5.5800228219728597E-2</v>
      </c>
      <c r="I24" s="45">
        <f>G24</f>
        <v>5.5800228219728597E-2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75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713">
        <f>EKPC!J149+EKPC!J150</f>
        <v>1320226</v>
      </c>
      <c r="J27" s="542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2.4035854905141377E-3</v>
      </c>
      <c r="I28" s="45">
        <f>G28</f>
        <v>2.4035854905141377E-3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17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75">
      <c r="A34" s="49" t="s">
        <v>153</v>
      </c>
      <c r="B34" s="50"/>
      <c r="C34" s="40" t="s">
        <v>181</v>
      </c>
      <c r="D34" s="40"/>
      <c r="E34" s="39" t="s">
        <v>300</v>
      </c>
      <c r="F34" s="39"/>
      <c r="G34" s="51"/>
      <c r="I34" s="52">
        <f>I24+I28+I32</f>
        <v>5.8203813710242733E-2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17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17">
        <f>EKPC!J176</f>
        <v>26063619.041999727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6.5722402789580872E-2</v>
      </c>
      <c r="I42" s="45">
        <f>G42</f>
        <v>6.5722402789580872E-2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75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6.5722402789580872E-2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55" t="s">
        <v>93</v>
      </c>
      <c r="B46" s="467"/>
      <c r="C46" s="467"/>
      <c r="D46" s="467"/>
      <c r="E46" s="467"/>
      <c r="F46" s="467"/>
      <c r="G46" s="467"/>
      <c r="H46" s="467"/>
      <c r="I46" s="467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54" t="s">
        <v>95</v>
      </c>
      <c r="B47" s="565"/>
      <c r="C47" s="821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21"/>
      <c r="E47" s="821"/>
      <c r="F47" s="821"/>
      <c r="G47" s="821"/>
      <c r="H47" s="821"/>
      <c r="I47" s="821"/>
      <c r="J47" s="516"/>
      <c r="K47" s="507"/>
      <c r="L47" s="507"/>
      <c r="M47" s="507"/>
      <c r="N47" s="507"/>
    </row>
    <row r="48" spans="1:49" ht="30" customHeight="1">
      <c r="A48" s="554" t="s">
        <v>96</v>
      </c>
      <c r="B48" s="565"/>
      <c r="C48" s="819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19"/>
      <c r="E48" s="819"/>
      <c r="F48" s="819"/>
      <c r="G48" s="819"/>
      <c r="H48" s="819"/>
      <c r="I48" s="819"/>
      <c r="J48" s="516"/>
      <c r="K48" s="507"/>
      <c r="L48" s="507"/>
      <c r="M48" s="507"/>
      <c r="N48" s="507"/>
    </row>
    <row r="49" spans="1:49" ht="29.25" customHeight="1">
      <c r="A49" s="554" t="s">
        <v>97</v>
      </c>
      <c r="B49" s="565"/>
      <c r="C49" s="819" t="s">
        <v>208</v>
      </c>
      <c r="D49" s="819"/>
      <c r="E49" s="819"/>
      <c r="F49" s="819"/>
      <c r="G49" s="819"/>
      <c r="H49" s="819"/>
      <c r="I49" s="819"/>
      <c r="J49" s="517"/>
      <c r="K49" s="508"/>
      <c r="L49" s="508"/>
      <c r="M49" s="508"/>
      <c r="N49" s="508"/>
    </row>
    <row r="50" spans="1:49">
      <c r="A50" s="554" t="s">
        <v>98</v>
      </c>
      <c r="B50" s="565"/>
      <c r="C50" s="819" t="s">
        <v>209</v>
      </c>
      <c r="D50" s="819"/>
      <c r="E50" s="819"/>
      <c r="F50" s="819"/>
      <c r="G50" s="819"/>
      <c r="H50" s="819"/>
      <c r="I50" s="819"/>
      <c r="J50" s="517"/>
      <c r="K50" s="508"/>
      <c r="L50" s="508"/>
      <c r="M50" s="508"/>
      <c r="N50" s="508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54" t="s">
        <v>99</v>
      </c>
      <c r="B51" s="565"/>
      <c r="C51" s="819" t="s">
        <v>563</v>
      </c>
      <c r="D51" s="819"/>
      <c r="E51" s="819"/>
      <c r="F51" s="819"/>
      <c r="G51" s="819"/>
      <c r="H51" s="819"/>
      <c r="I51" s="819"/>
      <c r="J51" s="516"/>
      <c r="K51" s="621"/>
      <c r="L51" s="621"/>
      <c r="M51" s="621"/>
      <c r="N51" s="621"/>
      <c r="O51" s="9"/>
      <c r="P51" s="9"/>
      <c r="Q51" s="13"/>
      <c r="R51" s="9"/>
      <c r="S51" s="9"/>
      <c r="T51" s="9"/>
      <c r="U51" s="9"/>
      <c r="V51" s="9"/>
      <c r="W51" s="13"/>
      <c r="X51" s="3" t="s">
        <v>560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54" t="s">
        <v>100</v>
      </c>
      <c r="B52" s="565"/>
      <c r="C52" s="819" t="s">
        <v>210</v>
      </c>
      <c r="D52" s="819"/>
      <c r="E52" s="819"/>
      <c r="F52" s="819"/>
      <c r="G52" s="819"/>
      <c r="H52" s="819"/>
      <c r="I52" s="819"/>
      <c r="J52" s="516"/>
      <c r="K52" s="621"/>
      <c r="L52" s="621"/>
      <c r="M52" s="621"/>
      <c r="N52" s="621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54" t="s">
        <v>101</v>
      </c>
      <c r="B53" s="565"/>
      <c r="C53" s="819" t="s">
        <v>566</v>
      </c>
      <c r="D53" s="819"/>
      <c r="E53" s="819"/>
      <c r="F53" s="819"/>
      <c r="G53" s="819"/>
      <c r="H53" s="819"/>
      <c r="I53" s="819"/>
      <c r="J53" s="516"/>
      <c r="K53" s="621"/>
      <c r="L53" s="621"/>
      <c r="M53" s="621"/>
      <c r="N53" s="621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54" t="s">
        <v>102</v>
      </c>
      <c r="B54" s="565"/>
      <c r="C54" s="819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19"/>
      <c r="E54" s="819"/>
      <c r="F54" s="819"/>
      <c r="G54" s="819"/>
      <c r="H54" s="819"/>
      <c r="I54" s="819"/>
      <c r="J54" s="515"/>
      <c r="K54" s="621"/>
      <c r="L54" s="621"/>
      <c r="M54" s="621"/>
      <c r="N54" s="621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12/31/2013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75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75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75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3">
      <c r="K61" s="622" t="s">
        <v>188</v>
      </c>
      <c r="L61" s="623"/>
      <c r="M61" s="623" t="s">
        <v>164</v>
      </c>
      <c r="N61" s="624" t="s">
        <v>269</v>
      </c>
      <c r="O61" s="61" t="s">
        <v>189</v>
      </c>
      <c r="P61" s="61" t="s">
        <v>181</v>
      </c>
      <c r="Q61" s="625" t="s">
        <v>190</v>
      </c>
      <c r="R61" s="61" t="s">
        <v>191</v>
      </c>
      <c r="S61" s="61" t="s">
        <v>187</v>
      </c>
      <c r="T61" s="625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27" t="s">
        <v>1</v>
      </c>
      <c r="L64" s="9"/>
      <c r="M64" s="9"/>
      <c r="N64" s="9"/>
      <c r="O64" s="701">
        <v>0</v>
      </c>
      <c r="P64" s="56">
        <f>$I$34</f>
        <v>5.8203813710242733E-2</v>
      </c>
      <c r="Q64" s="626">
        <f>O64*P64</f>
        <v>0</v>
      </c>
      <c r="R64" s="702">
        <v>0</v>
      </c>
      <c r="S64" s="56">
        <f>$I$44</f>
        <v>6.5722402789580872E-2</v>
      </c>
      <c r="T64" s="626">
        <f>R64*S64</f>
        <v>0</v>
      </c>
      <c r="U64" s="75">
        <v>0</v>
      </c>
      <c r="V64" s="626">
        <f>Q64+T64+U64</f>
        <v>0</v>
      </c>
      <c r="W64" s="702">
        <v>0</v>
      </c>
      <c r="X64" s="626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27" t="s">
        <v>204</v>
      </c>
      <c r="L65" s="9"/>
      <c r="M65" s="9"/>
      <c r="N65" s="9"/>
      <c r="O65" s="701">
        <v>0</v>
      </c>
      <c r="P65" s="56">
        <f>$I$34</f>
        <v>5.8203813710242733E-2</v>
      </c>
      <c r="Q65" s="626">
        <f>O65*P65</f>
        <v>0</v>
      </c>
      <c r="R65" s="702">
        <v>0</v>
      </c>
      <c r="S65" s="56">
        <f>$I$44</f>
        <v>6.5722402789580872E-2</v>
      </c>
      <c r="T65" s="626">
        <f>R65*S65</f>
        <v>0</v>
      </c>
      <c r="U65" s="75">
        <v>0</v>
      </c>
      <c r="V65" s="626">
        <f>Q65+T65+U65</f>
        <v>0</v>
      </c>
      <c r="W65" s="702">
        <v>0</v>
      </c>
      <c r="X65" s="626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27" t="s">
        <v>205</v>
      </c>
      <c r="L66" s="9"/>
      <c r="M66" s="9"/>
      <c r="N66" s="9"/>
      <c r="O66" s="701">
        <v>0</v>
      </c>
      <c r="P66" s="56">
        <f>$I$34</f>
        <v>5.8203813710242733E-2</v>
      </c>
      <c r="Q66" s="626">
        <f>O66*P66</f>
        <v>0</v>
      </c>
      <c r="R66" s="702">
        <v>0</v>
      </c>
      <c r="S66" s="56">
        <f>$I$44</f>
        <v>6.5722402789580872E-2</v>
      </c>
      <c r="T66" s="626">
        <f>R66*S66</f>
        <v>0</v>
      </c>
      <c r="U66" s="75">
        <v>0</v>
      </c>
      <c r="V66" s="626">
        <f>Q66+T66+U66</f>
        <v>0</v>
      </c>
      <c r="W66" s="702">
        <v>0</v>
      </c>
      <c r="X66" s="626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27"/>
      <c r="L67" s="9"/>
      <c r="M67" s="9"/>
      <c r="N67" s="9"/>
      <c r="O67" s="9"/>
      <c r="P67" s="9"/>
      <c r="Q67" s="626"/>
      <c r="R67" s="9"/>
      <c r="S67" s="9"/>
      <c r="T67" s="626"/>
      <c r="U67" s="9"/>
      <c r="V67" s="626"/>
      <c r="W67" s="9"/>
      <c r="X67" s="626"/>
      <c r="Y67" s="73"/>
      <c r="Z67" s="73"/>
      <c r="AA67" s="73"/>
      <c r="AB67" s="73"/>
      <c r="AC67" s="73"/>
      <c r="AD67" s="73"/>
      <c r="AE67" s="73"/>
    </row>
    <row r="68" spans="11:31">
      <c r="K68" s="627"/>
      <c r="L68" s="9"/>
      <c r="M68" s="9"/>
      <c r="N68" s="9"/>
      <c r="O68" s="9"/>
      <c r="P68" s="9"/>
      <c r="Q68" s="626"/>
      <c r="R68" s="9"/>
      <c r="S68" s="9"/>
      <c r="T68" s="626"/>
      <c r="U68" s="9"/>
      <c r="V68" s="626"/>
      <c r="W68" s="9"/>
      <c r="X68" s="626"/>
      <c r="Y68" s="73"/>
      <c r="Z68" s="73"/>
      <c r="AA68" s="73"/>
      <c r="AB68" s="73"/>
      <c r="AC68" s="73"/>
      <c r="AD68" s="73"/>
      <c r="AE68" s="73"/>
    </row>
    <row r="69" spans="11:31">
      <c r="K69" s="627"/>
      <c r="L69" s="9"/>
      <c r="M69" s="9"/>
      <c r="N69" s="9"/>
      <c r="O69" s="9"/>
      <c r="P69" s="9"/>
      <c r="Q69" s="626"/>
      <c r="R69" s="9"/>
      <c r="S69" s="9"/>
      <c r="T69" s="626"/>
      <c r="U69" s="9"/>
      <c r="V69" s="626"/>
      <c r="W69" s="9"/>
      <c r="X69" s="626"/>
      <c r="Y69" s="73"/>
      <c r="Z69" s="73"/>
      <c r="AA69" s="73"/>
      <c r="AB69" s="73"/>
      <c r="AC69" s="73"/>
      <c r="AD69" s="73"/>
      <c r="AE69" s="73"/>
    </row>
    <row r="70" spans="11:31">
      <c r="K70" s="627"/>
      <c r="L70" s="9"/>
      <c r="M70" s="9"/>
      <c r="N70" s="9"/>
      <c r="O70" s="9"/>
      <c r="P70" s="9"/>
      <c r="Q70" s="626"/>
      <c r="R70" s="9"/>
      <c r="S70" s="9"/>
      <c r="T70" s="626"/>
      <c r="U70" s="9"/>
      <c r="V70" s="626"/>
      <c r="W70" s="9"/>
      <c r="X70" s="626"/>
      <c r="Y70" s="73"/>
      <c r="Z70" s="73"/>
      <c r="AA70" s="73"/>
      <c r="AB70" s="73"/>
      <c r="AC70" s="73"/>
      <c r="AD70" s="73"/>
      <c r="AE70" s="73"/>
    </row>
    <row r="71" spans="11:31">
      <c r="K71" s="627"/>
      <c r="L71" s="9"/>
      <c r="M71" s="9"/>
      <c r="N71" s="9"/>
      <c r="O71" s="9"/>
      <c r="P71" s="9"/>
      <c r="Q71" s="626"/>
      <c r="R71" s="9"/>
      <c r="S71" s="9"/>
      <c r="T71" s="626"/>
      <c r="U71" s="9"/>
      <c r="V71" s="626"/>
      <c r="W71" s="9"/>
      <c r="X71" s="626"/>
      <c r="Y71" s="73"/>
      <c r="Z71" s="73"/>
      <c r="AA71" s="73"/>
      <c r="AB71" s="73"/>
      <c r="AC71" s="73"/>
      <c r="AD71" s="73"/>
      <c r="AE71" s="73"/>
    </row>
    <row r="72" spans="11:31">
      <c r="K72" s="627"/>
      <c r="L72" s="9"/>
      <c r="M72" s="7"/>
      <c r="N72" s="7"/>
      <c r="O72" s="7"/>
      <c r="P72" s="7"/>
      <c r="Q72" s="628"/>
      <c r="R72" s="7"/>
      <c r="S72" s="7"/>
      <c r="T72" s="628"/>
      <c r="U72" s="7"/>
      <c r="V72" s="628"/>
      <c r="W72" s="7"/>
      <c r="X72" s="628"/>
      <c r="Y72" s="73"/>
      <c r="Z72" s="73"/>
      <c r="AA72" s="73"/>
      <c r="AB72" s="73"/>
      <c r="AC72" s="73"/>
      <c r="AD72" s="73"/>
      <c r="AE72" s="73"/>
    </row>
    <row r="73" spans="11:31">
      <c r="K73" s="627"/>
      <c r="L73" s="9"/>
      <c r="M73" s="7"/>
      <c r="N73" s="7"/>
      <c r="O73" s="7"/>
      <c r="P73" s="7"/>
      <c r="Q73" s="628"/>
      <c r="R73" s="7"/>
      <c r="S73" s="7"/>
      <c r="T73" s="628"/>
      <c r="U73" s="7"/>
      <c r="V73" s="628"/>
      <c r="W73" s="7"/>
      <c r="X73" s="628"/>
      <c r="Y73" s="73"/>
      <c r="Z73" s="73"/>
      <c r="AA73" s="73"/>
      <c r="AB73" s="73"/>
      <c r="AC73" s="73"/>
      <c r="AD73" s="73"/>
      <c r="AE73" s="73"/>
    </row>
    <row r="74" spans="11:31">
      <c r="K74" s="627"/>
      <c r="L74" s="9"/>
      <c r="M74" s="7"/>
      <c r="N74" s="7"/>
      <c r="O74" s="7"/>
      <c r="P74" s="7"/>
      <c r="Q74" s="628"/>
      <c r="R74" s="7"/>
      <c r="S74" s="7"/>
      <c r="T74" s="628"/>
      <c r="U74" s="7"/>
      <c r="V74" s="628"/>
      <c r="W74" s="7"/>
      <c r="X74" s="628"/>
      <c r="Y74" s="73"/>
      <c r="Z74" s="73"/>
      <c r="AA74" s="73"/>
      <c r="AB74" s="73"/>
      <c r="AC74" s="73"/>
      <c r="AD74" s="73"/>
      <c r="AE74" s="73"/>
    </row>
    <row r="75" spans="11:31">
      <c r="K75" s="627"/>
      <c r="L75" s="9"/>
      <c r="M75" s="7"/>
      <c r="N75" s="7"/>
      <c r="O75" s="7"/>
      <c r="P75" s="7"/>
      <c r="Q75" s="628"/>
      <c r="R75" s="7"/>
      <c r="S75" s="7"/>
      <c r="T75" s="628"/>
      <c r="U75" s="7"/>
      <c r="V75" s="628"/>
      <c r="W75" s="7"/>
      <c r="X75" s="628"/>
      <c r="Y75" s="73"/>
      <c r="Z75" s="73"/>
      <c r="AA75" s="73"/>
      <c r="AB75" s="73"/>
      <c r="AC75" s="73"/>
      <c r="AD75" s="73"/>
      <c r="AE75" s="73"/>
    </row>
    <row r="76" spans="11:31">
      <c r="K76" s="627"/>
      <c r="L76" s="9"/>
      <c r="M76" s="7"/>
      <c r="N76" s="7"/>
      <c r="O76" s="7"/>
      <c r="P76" s="7"/>
      <c r="Q76" s="628"/>
      <c r="R76" s="7"/>
      <c r="S76" s="7"/>
      <c r="T76" s="628"/>
      <c r="U76" s="7"/>
      <c r="V76" s="628"/>
      <c r="W76" s="7"/>
      <c r="X76" s="628"/>
      <c r="Y76" s="73"/>
      <c r="Z76" s="73"/>
      <c r="AA76" s="73"/>
      <c r="AB76" s="73"/>
      <c r="AC76" s="73"/>
      <c r="AD76" s="73"/>
      <c r="AE76" s="73"/>
    </row>
    <row r="77" spans="11:31">
      <c r="K77" s="627"/>
      <c r="L77" s="9"/>
      <c r="M77" s="7"/>
      <c r="N77" s="7"/>
      <c r="O77" s="7"/>
      <c r="P77" s="7"/>
      <c r="Q77" s="628"/>
      <c r="R77" s="7"/>
      <c r="S77" s="7"/>
      <c r="T77" s="628"/>
      <c r="U77" s="7"/>
      <c r="V77" s="628"/>
      <c r="W77" s="7"/>
      <c r="X77" s="628"/>
      <c r="Y77" s="73"/>
      <c r="Z77" s="73"/>
      <c r="AA77" s="73"/>
      <c r="AB77" s="73"/>
      <c r="AC77" s="73"/>
      <c r="AD77" s="73"/>
      <c r="AE77" s="73"/>
    </row>
    <row r="78" spans="11:31">
      <c r="K78" s="627"/>
      <c r="L78" s="9"/>
      <c r="M78" s="7"/>
      <c r="N78" s="7"/>
      <c r="O78" s="7"/>
      <c r="P78" s="7"/>
      <c r="Q78" s="628"/>
      <c r="R78" s="7"/>
      <c r="S78" s="7"/>
      <c r="T78" s="628"/>
      <c r="U78" s="7"/>
      <c r="V78" s="628"/>
      <c r="W78" s="7"/>
      <c r="X78" s="628"/>
      <c r="Y78" s="73"/>
      <c r="Z78" s="73"/>
      <c r="AA78" s="73"/>
      <c r="AB78" s="73"/>
      <c r="AC78" s="73"/>
      <c r="AD78" s="73"/>
      <c r="AE78" s="73"/>
    </row>
    <row r="79" spans="11:31">
      <c r="K79" s="627"/>
      <c r="L79" s="9"/>
      <c r="M79" s="7"/>
      <c r="N79" s="7"/>
      <c r="O79" s="7"/>
      <c r="P79" s="7"/>
      <c r="Q79" s="628"/>
      <c r="R79" s="7"/>
      <c r="S79" s="7"/>
      <c r="T79" s="628"/>
      <c r="U79" s="7"/>
      <c r="V79" s="628"/>
      <c r="W79" s="7"/>
      <c r="X79" s="628"/>
      <c r="Y79" s="73"/>
      <c r="Z79" s="73"/>
      <c r="AA79" s="73"/>
      <c r="AB79" s="73"/>
      <c r="AC79" s="73"/>
      <c r="AD79" s="73"/>
      <c r="AE79" s="73"/>
    </row>
    <row r="80" spans="11:31">
      <c r="K80" s="627"/>
      <c r="L80" s="9"/>
      <c r="M80" s="7"/>
      <c r="N80" s="7"/>
      <c r="O80" s="7"/>
      <c r="P80" s="7"/>
      <c r="Q80" s="628"/>
      <c r="R80" s="7"/>
      <c r="S80" s="7"/>
      <c r="T80" s="628"/>
      <c r="U80" s="7"/>
      <c r="V80" s="628"/>
      <c r="W80" s="7"/>
      <c r="X80" s="628"/>
      <c r="Y80" s="73"/>
      <c r="Z80" s="73"/>
      <c r="AA80" s="73"/>
      <c r="AB80" s="73"/>
      <c r="AC80" s="73"/>
      <c r="AD80" s="73"/>
      <c r="AE80" s="73"/>
    </row>
    <row r="81" spans="11:31">
      <c r="K81" s="627"/>
      <c r="L81" s="9"/>
      <c r="M81" s="7"/>
      <c r="N81" s="7"/>
      <c r="O81" s="7"/>
      <c r="P81" s="7"/>
      <c r="Q81" s="628"/>
      <c r="R81" s="7"/>
      <c r="S81" s="7"/>
      <c r="T81" s="628"/>
      <c r="U81" s="7"/>
      <c r="V81" s="628"/>
      <c r="W81" s="7"/>
      <c r="X81" s="628"/>
      <c r="Y81" s="73"/>
      <c r="Z81" s="73"/>
      <c r="AA81" s="73"/>
      <c r="AB81" s="73"/>
      <c r="AC81" s="73"/>
      <c r="AD81" s="73"/>
      <c r="AE81" s="73"/>
    </row>
    <row r="82" spans="11:31">
      <c r="K82" s="627"/>
      <c r="L82" s="9"/>
      <c r="M82" s="7"/>
      <c r="N82" s="7"/>
      <c r="O82" s="7"/>
      <c r="P82" s="7"/>
      <c r="Q82" s="628"/>
      <c r="R82" s="7"/>
      <c r="S82" s="7"/>
      <c r="T82" s="628"/>
      <c r="U82" s="7"/>
      <c r="V82" s="628"/>
      <c r="W82" s="7"/>
      <c r="X82" s="628"/>
      <c r="Y82" s="73"/>
      <c r="Z82" s="73"/>
      <c r="AA82" s="73"/>
      <c r="AB82" s="73"/>
      <c r="AC82" s="73"/>
      <c r="AD82" s="73"/>
      <c r="AE82" s="73"/>
    </row>
    <row r="83" spans="11:31">
      <c r="K83" s="629"/>
      <c r="L83" s="630"/>
      <c r="M83" s="631"/>
      <c r="N83" s="631"/>
      <c r="O83" s="631"/>
      <c r="P83" s="631"/>
      <c r="Q83" s="632"/>
      <c r="R83" s="631"/>
      <c r="S83" s="631"/>
      <c r="T83" s="632"/>
      <c r="U83" s="631"/>
      <c r="V83" s="632"/>
      <c r="W83" s="631"/>
      <c r="X83" s="632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33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75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823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22"/>
      <c r="O91" s="822"/>
      <c r="P91" s="822"/>
      <c r="Q91" s="822"/>
      <c r="R91" s="822"/>
      <c r="S91" s="822"/>
      <c r="T91" s="822"/>
      <c r="U91" s="822"/>
      <c r="V91" s="822"/>
      <c r="W91" s="822"/>
      <c r="X91" s="822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822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22"/>
      <c r="O92" s="822"/>
      <c r="P92" s="822"/>
      <c r="Q92" s="822"/>
      <c r="R92" s="822"/>
      <c r="S92" s="822"/>
      <c r="T92" s="822"/>
      <c r="U92" s="822"/>
      <c r="V92" s="822"/>
      <c r="W92" s="822"/>
      <c r="X92" s="822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34" t="s">
        <v>97</v>
      </c>
      <c r="L93" s="9"/>
      <c r="M93" s="824" t="s">
        <v>208</v>
      </c>
      <c r="N93" s="824"/>
      <c r="O93" s="824"/>
      <c r="P93" s="824"/>
      <c r="Q93" s="824"/>
      <c r="R93" s="824"/>
      <c r="S93" s="824"/>
      <c r="T93" s="824"/>
      <c r="U93" s="824"/>
      <c r="V93" s="824"/>
      <c r="W93" s="824"/>
      <c r="X93" s="824"/>
      <c r="Y93" s="73"/>
      <c r="Z93" s="73"/>
      <c r="AA93" s="73"/>
      <c r="AB93" s="73"/>
      <c r="AC93" s="73"/>
      <c r="AD93" s="73"/>
      <c r="AE93" s="73"/>
    </row>
    <row r="94" spans="11:31">
      <c r="K94" s="634" t="s">
        <v>98</v>
      </c>
      <c r="L94" s="9"/>
      <c r="M94" s="824" t="s">
        <v>209</v>
      </c>
      <c r="N94" s="824"/>
      <c r="O94" s="824"/>
      <c r="P94" s="824"/>
      <c r="Q94" s="824"/>
      <c r="R94" s="824"/>
      <c r="S94" s="824"/>
      <c r="T94" s="824"/>
      <c r="U94" s="824"/>
      <c r="V94" s="824"/>
      <c r="W94" s="824"/>
      <c r="X94" s="824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22" t="s">
        <v>563</v>
      </c>
      <c r="N95" s="822"/>
      <c r="O95" s="822"/>
      <c r="P95" s="822"/>
      <c r="Q95" s="822"/>
      <c r="R95" s="822"/>
      <c r="S95" s="822"/>
      <c r="T95" s="822"/>
      <c r="U95" s="822"/>
      <c r="V95" s="822"/>
      <c r="W95" s="822"/>
      <c r="X95" s="822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22" t="s">
        <v>210</v>
      </c>
      <c r="N96" s="822"/>
      <c r="O96" s="822"/>
      <c r="P96" s="822"/>
      <c r="Q96" s="822"/>
      <c r="R96" s="822"/>
      <c r="S96" s="822"/>
      <c r="T96" s="822"/>
      <c r="U96" s="822"/>
      <c r="V96" s="822"/>
      <c r="W96" s="822"/>
      <c r="X96" s="822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22" t="s">
        <v>211</v>
      </c>
      <c r="N97" s="822"/>
      <c r="O97" s="822"/>
      <c r="P97" s="822"/>
      <c r="Q97" s="822"/>
      <c r="R97" s="822"/>
      <c r="S97" s="822"/>
      <c r="T97" s="822"/>
      <c r="U97" s="822"/>
      <c r="V97" s="822"/>
      <c r="W97" s="822"/>
      <c r="X97" s="822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22" t="s">
        <v>267</v>
      </c>
      <c r="N98" s="822"/>
      <c r="O98" s="822"/>
      <c r="P98" s="822"/>
      <c r="Q98" s="822"/>
      <c r="R98" s="822"/>
      <c r="S98" s="822"/>
      <c r="T98" s="822"/>
      <c r="U98" s="822"/>
      <c r="V98" s="822"/>
      <c r="W98" s="822"/>
      <c r="X98" s="822"/>
      <c r="Y98" s="73"/>
      <c r="Z98" s="73"/>
      <c r="AA98" s="73"/>
      <c r="AB98" s="73"/>
      <c r="AC98" s="73"/>
      <c r="AD98" s="73"/>
      <c r="AE98" s="73"/>
    </row>
    <row r="99" spans="3:31" ht="15.75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75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0">
      <c r="C145" s="73"/>
      <c r="D145" s="73"/>
      <c r="E145" s="73"/>
      <c r="F145" s="73"/>
      <c r="G145" s="73"/>
      <c r="H145" s="73"/>
      <c r="I145" s="73"/>
      <c r="J145" s="73"/>
    </row>
    <row r="146" spans="3:10">
      <c r="C146" s="73"/>
      <c r="D146" s="73"/>
      <c r="E146" s="73"/>
      <c r="F146" s="73"/>
      <c r="G146" s="73"/>
      <c r="H146" s="73"/>
      <c r="I146" s="73"/>
      <c r="J146" s="73"/>
    </row>
    <row r="147" spans="3:10">
      <c r="C147" s="73"/>
      <c r="D147" s="73"/>
      <c r="E147" s="73"/>
      <c r="F147" s="73"/>
      <c r="G147" s="73"/>
      <c r="H147" s="73"/>
      <c r="I147" s="73"/>
      <c r="J147" s="73"/>
    </row>
    <row r="148" spans="3:10">
      <c r="C148" s="73"/>
      <c r="D148" s="73"/>
      <c r="E148" s="73"/>
      <c r="F148" s="73"/>
      <c r="G148" s="73"/>
      <c r="H148" s="73"/>
      <c r="I148" s="73"/>
      <c r="J148" s="73"/>
    </row>
    <row r="149" spans="3:10">
      <c r="C149" s="73"/>
      <c r="D149" s="73"/>
      <c r="E149" s="73"/>
      <c r="F149" s="73"/>
      <c r="G149" s="73"/>
      <c r="H149" s="73"/>
      <c r="I149" s="73"/>
      <c r="J149" s="73"/>
    </row>
    <row r="150" spans="3:10">
      <c r="C150" s="73"/>
      <c r="D150" s="73"/>
      <c r="E150" s="73"/>
      <c r="F150" s="73"/>
      <c r="G150" s="73"/>
      <c r="H150" s="73"/>
      <c r="I150" s="73"/>
      <c r="J150" s="73"/>
    </row>
    <row r="151" spans="3:10">
      <c r="C151" s="73"/>
      <c r="D151" s="73"/>
      <c r="E151" s="73"/>
      <c r="F151" s="73"/>
      <c r="G151" s="73"/>
      <c r="H151" s="73"/>
      <c r="I151" s="73"/>
      <c r="J151" s="73"/>
    </row>
    <row r="152" spans="3:10">
      <c r="C152" s="73"/>
      <c r="D152" s="73"/>
      <c r="E152" s="73"/>
      <c r="F152" s="73"/>
      <c r="G152" s="73"/>
      <c r="H152" s="73"/>
      <c r="I152" s="73"/>
      <c r="J152" s="73"/>
    </row>
    <row r="153" spans="3:10">
      <c r="C153" s="73"/>
      <c r="D153" s="73"/>
      <c r="E153" s="73"/>
      <c r="F153" s="73"/>
      <c r="G153" s="73"/>
      <c r="H153" s="73"/>
      <c r="I153" s="73"/>
      <c r="J153" s="73"/>
    </row>
    <row r="154" spans="3:10">
      <c r="C154" s="73"/>
      <c r="D154" s="73"/>
      <c r="E154" s="73"/>
      <c r="F154" s="73"/>
      <c r="G154" s="73"/>
      <c r="H154" s="73"/>
      <c r="I154" s="73"/>
      <c r="J154" s="73"/>
    </row>
    <row r="155" spans="3:10">
      <c r="C155" s="73"/>
      <c r="D155" s="73"/>
      <c r="E155" s="73"/>
      <c r="F155" s="73"/>
      <c r="G155" s="73"/>
      <c r="H155" s="73"/>
      <c r="I155" s="73"/>
      <c r="J155" s="73"/>
    </row>
    <row r="156" spans="3:10">
      <c r="C156" s="73"/>
      <c r="D156" s="73"/>
      <c r="E156" s="73"/>
      <c r="F156" s="73"/>
      <c r="G156" s="73"/>
      <c r="H156" s="73"/>
      <c r="I156" s="73"/>
      <c r="J156" s="73"/>
    </row>
    <row r="157" spans="3:10">
      <c r="C157" s="73"/>
      <c r="D157" s="73"/>
      <c r="E157" s="73"/>
      <c r="F157" s="73"/>
      <c r="G157" s="73"/>
      <c r="H157" s="73"/>
      <c r="I157" s="73"/>
      <c r="J157" s="73"/>
    </row>
    <row r="158" spans="3:10">
      <c r="C158" s="73"/>
      <c r="D158" s="73"/>
      <c r="E158" s="73"/>
      <c r="F158" s="73"/>
      <c r="G158" s="73"/>
      <c r="H158" s="73"/>
      <c r="I158" s="73"/>
      <c r="J158" s="73"/>
    </row>
    <row r="159" spans="3:10">
      <c r="C159" s="73"/>
      <c r="D159" s="73"/>
      <c r="E159" s="73"/>
      <c r="F159" s="73"/>
      <c r="G159" s="73"/>
      <c r="H159" s="73"/>
      <c r="I159" s="73"/>
      <c r="J159" s="73"/>
    </row>
    <row r="160" spans="3:10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  <mergeCell ref="C50:I50"/>
    <mergeCell ref="C51:I51"/>
    <mergeCell ref="C52:I52"/>
    <mergeCell ref="C53:I53"/>
    <mergeCell ref="A9:I9"/>
    <mergeCell ref="C47:I47"/>
    <mergeCell ref="C48:I48"/>
    <mergeCell ref="C49:I49"/>
  </mergeCells>
  <printOptions horizontalCentered="1"/>
  <pageMargins left="1" right="1" top="0.72" bottom="0.5" header="0.5" footer="0.5"/>
  <pageSetup scale="56" orientation="landscape" horizontalDpi="300" verticalDpi="300" r:id="rId1"/>
  <headerFooter alignWithMargins="0"/>
  <rowBreaks count="1" manualBreakCount="1">
    <brk id="46" min="10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P65"/>
  <sheetViews>
    <sheetView view="pageBreakPreview" zoomScale="80" zoomScaleNormal="70" zoomScaleSheetLayoutView="80" workbookViewId="0">
      <selection activeCell="D2" sqref="D2"/>
    </sheetView>
  </sheetViews>
  <sheetFormatPr defaultRowHeight="15"/>
  <cols>
    <col min="1" max="1" width="4.88671875" customWidth="1"/>
    <col min="2" max="2" width="2.88671875" customWidth="1"/>
    <col min="3" max="3" width="79.21875" customWidth="1"/>
    <col min="4" max="4" width="1" customWidth="1"/>
    <col min="5" max="5" width="22.6640625" customWidth="1"/>
    <col min="6" max="6" width="1.33203125" customWidth="1"/>
    <col min="7" max="7" width="12.77734375" customWidth="1"/>
    <col min="8" max="8" width="23.88671875" bestFit="1" customWidth="1"/>
    <col min="9" max="9" width="9" bestFit="1" customWidth="1"/>
  </cols>
  <sheetData>
    <row r="1" spans="1:16">
      <c r="A1" s="30"/>
      <c r="B1" s="30"/>
      <c r="C1" s="30"/>
      <c r="D1" s="30"/>
      <c r="E1" s="3" t="str">
        <f>EKPC!J1</f>
        <v>Attachment H-24A</v>
      </c>
      <c r="G1" s="30"/>
    </row>
    <row r="2" spans="1:16">
      <c r="A2" s="30"/>
      <c r="B2" s="30"/>
      <c r="C2" s="30"/>
      <c r="D2" s="30"/>
      <c r="E2" s="3" t="s">
        <v>401</v>
      </c>
      <c r="G2" s="30"/>
      <c r="H2" s="408"/>
      <c r="I2" s="408"/>
      <c r="J2" s="408"/>
      <c r="K2" s="408"/>
      <c r="L2" s="408"/>
      <c r="M2" s="408"/>
      <c r="N2" s="408"/>
      <c r="O2" s="408"/>
      <c r="P2" s="408"/>
    </row>
    <row r="3" spans="1:16">
      <c r="A3" s="30"/>
      <c r="B3" s="30"/>
      <c r="C3" s="30"/>
      <c r="D3" s="30"/>
      <c r="E3" s="167" t="s">
        <v>151</v>
      </c>
      <c r="G3" s="30"/>
      <c r="H3" s="407"/>
      <c r="I3" s="407"/>
      <c r="J3" s="407"/>
      <c r="K3" s="408"/>
      <c r="L3" s="408"/>
      <c r="M3" s="408"/>
      <c r="N3" s="408"/>
      <c r="O3" s="408"/>
      <c r="P3" s="408"/>
    </row>
    <row r="4" spans="1:16">
      <c r="A4" s="30"/>
      <c r="B4" s="30"/>
      <c r="C4" s="30"/>
      <c r="D4" s="30"/>
      <c r="E4" s="31" t="str">
        <f>EKPC!J7</f>
        <v>For the 12 months ended 12/31/2013</v>
      </c>
      <c r="G4" s="30"/>
      <c r="H4" s="805"/>
      <c r="I4" s="407"/>
      <c r="J4" s="407"/>
      <c r="K4" s="408"/>
      <c r="L4" s="408"/>
      <c r="M4" s="408"/>
      <c r="N4" s="408"/>
      <c r="O4" s="408"/>
      <c r="P4" s="408"/>
    </row>
    <row r="5" spans="1:16">
      <c r="A5" s="84" t="s">
        <v>212</v>
      </c>
      <c r="B5" s="94"/>
      <c r="C5" s="94"/>
      <c r="D5" s="84"/>
      <c r="E5" s="84"/>
      <c r="F5" s="84"/>
      <c r="G5" s="30"/>
      <c r="H5" s="407"/>
      <c r="I5" s="407"/>
      <c r="J5" s="407"/>
      <c r="K5" s="408"/>
      <c r="L5" s="408"/>
      <c r="M5" s="408"/>
      <c r="N5" s="408"/>
      <c r="O5" s="408"/>
      <c r="P5" s="408"/>
    </row>
    <row r="6" spans="1:16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30"/>
      <c r="H6" s="407"/>
      <c r="I6" s="407"/>
      <c r="J6" s="407"/>
      <c r="K6" s="408"/>
      <c r="L6" s="408"/>
      <c r="M6" s="408"/>
      <c r="N6" s="408"/>
      <c r="O6" s="408"/>
      <c r="P6" s="408"/>
    </row>
    <row r="7" spans="1:16">
      <c r="A7" s="86"/>
      <c r="B7" s="94"/>
      <c r="C7" s="94"/>
      <c r="D7" s="86"/>
      <c r="E7" s="86"/>
      <c r="F7" s="86"/>
      <c r="G7" s="30"/>
      <c r="H7" s="407"/>
      <c r="I7" s="407"/>
      <c r="J7" s="407"/>
      <c r="K7" s="408"/>
      <c r="L7" s="408"/>
      <c r="M7" s="408"/>
      <c r="N7" s="408"/>
      <c r="O7" s="408"/>
      <c r="P7" s="408"/>
    </row>
    <row r="8" spans="1:16">
      <c r="A8" s="820" t="str">
        <f>EKPC!A11</f>
        <v>East Kentucky Power Cooperative, Inc.</v>
      </c>
      <c r="B8" s="820"/>
      <c r="C8" s="820"/>
      <c r="D8" s="820"/>
      <c r="E8" s="820"/>
      <c r="F8" s="820"/>
      <c r="G8" s="30"/>
      <c r="H8" s="407"/>
      <c r="I8" s="407"/>
      <c r="J8" s="407"/>
      <c r="K8" s="408"/>
      <c r="L8" s="408"/>
      <c r="M8" s="408"/>
      <c r="N8" s="408"/>
      <c r="O8" s="408"/>
      <c r="P8" s="408"/>
    </row>
    <row r="9" spans="1:16">
      <c r="A9" s="504" t="s">
        <v>600</v>
      </c>
      <c r="B9" s="94"/>
      <c r="C9" s="94"/>
      <c r="D9" s="86"/>
      <c r="E9" s="86"/>
      <c r="F9" s="86"/>
      <c r="G9" s="30"/>
      <c r="H9" s="407"/>
      <c r="I9" s="407"/>
      <c r="J9" s="407"/>
      <c r="K9" s="408"/>
      <c r="L9" s="408"/>
      <c r="M9" s="408"/>
      <c r="N9" s="408"/>
      <c r="O9" s="408"/>
      <c r="P9" s="408"/>
    </row>
    <row r="10" spans="1:16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  <c r="H10" s="806"/>
      <c r="I10" s="407"/>
      <c r="J10" s="407"/>
      <c r="K10" s="509"/>
      <c r="L10" s="408"/>
      <c r="M10" s="408"/>
      <c r="N10" s="408"/>
      <c r="O10" s="408"/>
      <c r="P10" s="408"/>
    </row>
    <row r="11" spans="1:16">
      <c r="A11" s="142" t="s">
        <v>6</v>
      </c>
      <c r="B11" s="9"/>
      <c r="C11" s="10"/>
      <c r="D11" s="10"/>
      <c r="E11" s="9"/>
      <c r="F11" s="12"/>
      <c r="G11" s="30"/>
      <c r="H11" s="806"/>
      <c r="I11" s="407"/>
      <c r="J11" s="407"/>
      <c r="K11" s="509"/>
      <c r="L11" s="408"/>
      <c r="M11" s="408"/>
      <c r="N11" s="408"/>
      <c r="O11" s="408"/>
      <c r="P11" s="408"/>
    </row>
    <row r="12" spans="1:16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  <c r="H12" s="806"/>
      <c r="I12" s="407"/>
      <c r="J12" s="407"/>
      <c r="K12" s="509"/>
      <c r="L12" s="408"/>
      <c r="M12" s="408"/>
      <c r="N12" s="408"/>
      <c r="O12" s="408"/>
      <c r="P12" s="408"/>
    </row>
    <row r="13" spans="1:16">
      <c r="A13" s="1"/>
      <c r="B13" s="1"/>
      <c r="C13" s="1"/>
      <c r="D13" s="1"/>
      <c r="E13" s="1"/>
      <c r="F13" s="30"/>
      <c r="G13" s="30"/>
      <c r="H13" s="408"/>
      <c r="I13" s="408"/>
      <c r="J13" s="408"/>
      <c r="K13" s="408"/>
      <c r="L13" s="408"/>
      <c r="M13" s="408"/>
      <c r="N13" s="408"/>
      <c r="O13" s="408"/>
      <c r="P13" s="408"/>
    </row>
    <row r="14" spans="1:16" ht="15.75">
      <c r="A14" s="1"/>
      <c r="B14" s="1"/>
      <c r="C14" s="418" t="s">
        <v>402</v>
      </c>
      <c r="D14" s="1"/>
      <c r="E14" s="1"/>
      <c r="F14" s="386"/>
      <c r="G14" s="30"/>
      <c r="H14" s="807"/>
      <c r="I14" s="407"/>
      <c r="J14" s="407"/>
      <c r="K14" s="408"/>
      <c r="L14" s="408"/>
      <c r="M14" s="408"/>
      <c r="N14" s="408"/>
      <c r="O14" s="408"/>
      <c r="P14" s="408"/>
    </row>
    <row r="15" spans="1:16">
      <c r="A15" s="1"/>
      <c r="B15" s="1"/>
      <c r="C15" s="1"/>
      <c r="D15" s="1"/>
      <c r="E15" s="1"/>
      <c r="H15" s="407"/>
      <c r="I15" s="407"/>
      <c r="J15" s="407"/>
      <c r="K15" s="408"/>
      <c r="L15" s="408"/>
      <c r="M15" s="408"/>
      <c r="N15" s="408"/>
      <c r="O15" s="408"/>
      <c r="P15" s="408"/>
    </row>
    <row r="16" spans="1:16">
      <c r="A16" s="11">
        <f>1</f>
        <v>1</v>
      </c>
      <c r="B16" s="564"/>
      <c r="C16" s="602" t="str">
        <f>CONCATENATE(H3,I11,H4,I10," (1)")</f>
        <v xml:space="preserve"> (1)</v>
      </c>
      <c r="D16" s="564"/>
      <c r="E16" s="786">
        <v>0</v>
      </c>
      <c r="F16" s="574"/>
      <c r="H16" s="407"/>
      <c r="I16" s="407"/>
      <c r="J16" s="407"/>
      <c r="K16" s="408"/>
      <c r="L16" s="408"/>
      <c r="M16" s="408"/>
      <c r="N16" s="408"/>
      <c r="O16" s="408"/>
      <c r="P16" s="408"/>
    </row>
    <row r="17" spans="1:12" ht="33.75" customHeight="1">
      <c r="A17" s="635">
        <f t="shared" ref="A17:A24" si="0">+A16+1</f>
        <v>2</v>
      </c>
      <c r="B17" s="564"/>
      <c r="C17" s="602" t="str">
        <f>CONCATENATE(H5,I10," (2)")</f>
        <v xml:space="preserve"> (2)</v>
      </c>
      <c r="D17" s="564"/>
      <c r="E17" s="786">
        <v>0</v>
      </c>
      <c r="F17" s="574"/>
      <c r="H17" s="409"/>
      <c r="I17" s="409"/>
      <c r="J17" s="409"/>
      <c r="K17" s="409"/>
      <c r="L17" s="409"/>
    </row>
    <row r="18" spans="1:12">
      <c r="A18" s="635">
        <f t="shared" si="0"/>
        <v>3</v>
      </c>
      <c r="B18" s="564"/>
      <c r="C18" s="602" t="str">
        <f>CONCATENATE("Transmission revenue requirements for the 12 months ended",I11,"               (Line 1 - Line 2 )")</f>
        <v>Transmission revenue requirements for the 12 months ended               (Line 1 - Line 2 )</v>
      </c>
      <c r="D18" s="564"/>
      <c r="E18" s="401">
        <f>E16-E17</f>
        <v>0</v>
      </c>
      <c r="F18" s="574"/>
    </row>
    <row r="19" spans="1:12">
      <c r="A19" s="635">
        <f t="shared" si="0"/>
        <v>4</v>
      </c>
      <c r="B19" s="564"/>
      <c r="C19" s="602" t="str">
        <f>CONCATENATE(H6,I11," (3)")</f>
        <v xml:space="preserve"> (3)</v>
      </c>
      <c r="D19" s="564"/>
      <c r="E19" s="785">
        <v>0</v>
      </c>
      <c r="F19" s="574"/>
      <c r="H19" s="422"/>
      <c r="I19" s="422"/>
      <c r="J19" s="422"/>
    </row>
    <row r="20" spans="1:12">
      <c r="A20" s="635">
        <f t="shared" si="0"/>
        <v>5</v>
      </c>
      <c r="B20" s="564"/>
      <c r="C20" s="602" t="s">
        <v>544</v>
      </c>
      <c r="D20" s="564"/>
      <c r="E20" s="401">
        <f>E18-E19</f>
        <v>0</v>
      </c>
      <c r="F20" s="574"/>
    </row>
    <row r="21" spans="1:12">
      <c r="A21" s="635">
        <f t="shared" si="0"/>
        <v>6</v>
      </c>
      <c r="B21" s="564"/>
      <c r="C21" s="602" t="s">
        <v>410</v>
      </c>
      <c r="D21" s="564"/>
      <c r="E21" s="783">
        <v>0</v>
      </c>
      <c r="F21" s="574"/>
    </row>
    <row r="22" spans="1:12">
      <c r="A22" s="635">
        <f t="shared" si="0"/>
        <v>7</v>
      </c>
      <c r="B22" s="564"/>
      <c r="C22" s="602" t="s">
        <v>409</v>
      </c>
      <c r="D22" s="564"/>
      <c r="E22" s="784">
        <v>0</v>
      </c>
      <c r="F22" s="574"/>
    </row>
    <row r="23" spans="1:12">
      <c r="A23" s="635">
        <f t="shared" si="0"/>
        <v>8</v>
      </c>
      <c r="B23" s="564"/>
      <c r="C23" s="602" t="s">
        <v>557</v>
      </c>
      <c r="D23" s="564"/>
      <c r="E23" s="636">
        <f>E20*E21*E22</f>
        <v>0</v>
      </c>
      <c r="F23" s="574"/>
    </row>
    <row r="24" spans="1:12" ht="15" customHeight="1" thickBot="1">
      <c r="A24" s="635">
        <f t="shared" si="0"/>
        <v>9</v>
      </c>
      <c r="B24" s="564"/>
      <c r="C24" s="602" t="s">
        <v>431</v>
      </c>
      <c r="D24" s="564"/>
      <c r="E24" s="637">
        <f>E20+E23</f>
        <v>0</v>
      </c>
      <c r="F24" s="574"/>
    </row>
    <row r="25" spans="1:12" ht="15.75" thickTop="1">
      <c r="A25" s="635"/>
      <c r="B25" s="564"/>
      <c r="C25" s="602"/>
      <c r="D25" s="564"/>
      <c r="E25" s="638"/>
      <c r="F25" s="574"/>
    </row>
    <row r="26" spans="1:12">
      <c r="A26" s="635"/>
      <c r="B26" s="827" t="s">
        <v>144</v>
      </c>
      <c r="C26" s="827"/>
      <c r="D26" s="630"/>
      <c r="E26" s="630"/>
      <c r="F26" s="574"/>
    </row>
    <row r="27" spans="1:12">
      <c r="A27" s="635"/>
      <c r="B27" s="611" t="s">
        <v>16</v>
      </c>
      <c r="C27" s="818" t="str">
        <f>CONCATENATE("Revenue requirement from Page 1 of 5, line 7 of ",EKPC!J1,"  for the referenced year.")</f>
        <v>Revenue requirement from Page 1 of 5, line 7 of Attachment H-24A  for the referenced year.</v>
      </c>
      <c r="D27" s="828"/>
      <c r="E27" s="828"/>
      <c r="F27" s="574"/>
    </row>
    <row r="28" spans="1:12">
      <c r="A28" s="635"/>
      <c r="B28" s="404" t="s">
        <v>17</v>
      </c>
      <c r="C28" s="564" t="str">
        <f>CONCATENATE("EKPC ",EKPC!J1,", page 1 of 5, Line 6a for the referenced recovery year")</f>
        <v>EKPC Attachment H-24A, page 1 of 5, Line 6a for the referenced recovery year</v>
      </c>
      <c r="D28" s="564"/>
      <c r="E28" s="564"/>
      <c r="F28" s="574"/>
    </row>
    <row r="29" spans="1:12">
      <c r="A29" s="635"/>
      <c r="B29" s="639" t="s">
        <v>18</v>
      </c>
      <c r="C29" s="818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18"/>
      <c r="E29" s="818"/>
      <c r="F29" s="574"/>
    </row>
    <row r="30" spans="1:12">
      <c r="A30" s="635"/>
      <c r="B30" s="639" t="s">
        <v>19</v>
      </c>
      <c r="C30" s="564" t="s">
        <v>430</v>
      </c>
      <c r="D30" s="564"/>
      <c r="E30" s="564"/>
      <c r="F30" s="574"/>
    </row>
    <row r="31" spans="1:12">
      <c r="A31" s="635"/>
      <c r="B31" s="639" t="s">
        <v>20</v>
      </c>
      <c r="C31" s="602" t="str">
        <f>CONCATENATE("Goes to  ",EKPC!J1,", page 1 of 5, line 6a")</f>
        <v>Goes to  Attachment H-24A, page 1 of 5, line 6a</v>
      </c>
      <c r="D31" s="564"/>
      <c r="E31" s="564"/>
      <c r="F31" s="574"/>
    </row>
    <row r="32" spans="1:12">
      <c r="A32" s="30"/>
      <c r="B32" s="30"/>
      <c r="C32" s="30"/>
      <c r="D32" s="30"/>
      <c r="E32" s="582" t="str">
        <f>E1</f>
        <v>Attachment H-24A</v>
      </c>
      <c r="F32" s="574"/>
    </row>
    <row r="33" spans="1:6">
      <c r="A33" s="30"/>
      <c r="B33" s="30"/>
      <c r="C33" s="30"/>
      <c r="D33" s="30"/>
      <c r="E33" s="582" t="s">
        <v>401</v>
      </c>
      <c r="F33" s="574"/>
    </row>
    <row r="34" spans="1:6">
      <c r="A34" s="30"/>
      <c r="B34" s="30"/>
      <c r="C34" s="30"/>
      <c r="D34" s="30"/>
      <c r="E34" s="167" t="s">
        <v>161</v>
      </c>
      <c r="F34" s="574"/>
    </row>
    <row r="35" spans="1:6">
      <c r="A35" s="30"/>
      <c r="B35" s="30"/>
      <c r="C35" s="30"/>
      <c r="D35" s="30"/>
      <c r="E35" s="31" t="str">
        <f>E4</f>
        <v>For the 12 months ended 12/31/2013</v>
      </c>
      <c r="F35" s="574"/>
    </row>
    <row r="36" spans="1:6">
      <c r="A36" s="84" t="s">
        <v>212</v>
      </c>
      <c r="B36" s="94"/>
      <c r="C36" s="94"/>
      <c r="D36" s="84"/>
      <c r="E36" s="84"/>
      <c r="F36" s="84"/>
    </row>
    <row r="37" spans="1:6">
      <c r="A37" s="85" t="str">
        <f>CONCATENATE("Utilizing ",EKPC!J1)</f>
        <v>Utilizing Attachment H-24A</v>
      </c>
      <c r="B37" s="94"/>
      <c r="C37" s="94"/>
      <c r="D37" s="84"/>
      <c r="E37" s="84"/>
      <c r="F37" s="84"/>
    </row>
    <row r="38" spans="1:6">
      <c r="A38" s="86"/>
      <c r="B38" s="94"/>
      <c r="C38" s="94"/>
      <c r="D38" s="86"/>
      <c r="E38" s="86"/>
      <c r="F38" s="86"/>
    </row>
    <row r="39" spans="1:6">
      <c r="A39" s="820" t="str">
        <f>A8</f>
        <v>East Kentucky Power Cooperative, Inc.</v>
      </c>
      <c r="B39" s="820"/>
      <c r="C39" s="820"/>
      <c r="D39" s="820"/>
      <c r="E39" s="820"/>
      <c r="F39" s="820"/>
    </row>
    <row r="40" spans="1:6">
      <c r="A40" s="640" t="s">
        <v>601</v>
      </c>
      <c r="B40" s="94"/>
      <c r="C40" s="94"/>
      <c r="D40" s="86"/>
      <c r="E40" s="86"/>
      <c r="F40" s="86"/>
    </row>
    <row r="41" spans="1:6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</row>
    <row r="42" spans="1:6">
      <c r="A42" s="142" t="s">
        <v>6</v>
      </c>
      <c r="B42" s="9"/>
      <c r="C42" s="10"/>
      <c r="D42" s="10"/>
      <c r="E42" s="9"/>
      <c r="F42" s="12"/>
    </row>
    <row r="43" spans="1:6">
      <c r="A43" s="162" t="s">
        <v>8</v>
      </c>
      <c r="B43" s="9"/>
      <c r="C43" s="11" t="s">
        <v>16</v>
      </c>
      <c r="D43" s="11"/>
      <c r="E43" s="11" t="s">
        <v>17</v>
      </c>
      <c r="F43" s="11"/>
    </row>
    <row r="44" spans="1:6">
      <c r="A44" s="564"/>
      <c r="B44" s="564"/>
      <c r="C44" s="564"/>
      <c r="D44" s="564"/>
      <c r="E44" s="564"/>
      <c r="F44" s="30"/>
    </row>
    <row r="45" spans="1:6" ht="15.75">
      <c r="A45" s="564"/>
      <c r="B45" s="564"/>
      <c r="C45" s="641" t="s">
        <v>403</v>
      </c>
      <c r="D45" s="564"/>
      <c r="E45" s="564"/>
      <c r="F45" s="574"/>
    </row>
    <row r="46" spans="1:6">
      <c r="A46" s="635">
        <f>+A24+1</f>
        <v>10</v>
      </c>
      <c r="B46" s="564"/>
      <c r="C46" s="642" t="str">
        <f>CONCATENATE(H15,I11,H4,I10," (6)")</f>
        <v xml:space="preserve"> (6)</v>
      </c>
      <c r="D46" s="564"/>
      <c r="E46" s="785">
        <v>0</v>
      </c>
      <c r="F46" s="574"/>
    </row>
    <row r="47" spans="1:6">
      <c r="A47" s="635">
        <f t="shared" ref="A47:A54" si="1">+A46+1</f>
        <v>11</v>
      </c>
      <c r="B47" s="564"/>
      <c r="C47" s="602" t="str">
        <f>CONCATENATE(H7,I10," (7)")</f>
        <v xml:space="preserve"> (7)</v>
      </c>
      <c r="D47" s="564"/>
      <c r="E47" s="788">
        <v>0</v>
      </c>
      <c r="F47" s="574"/>
    </row>
    <row r="48" spans="1:6">
      <c r="A48" s="635">
        <f t="shared" si="1"/>
        <v>12</v>
      </c>
      <c r="B48" s="564"/>
      <c r="C48" s="602" t="s">
        <v>432</v>
      </c>
      <c r="D48" s="564"/>
      <c r="E48" s="643">
        <f>E46-E47</f>
        <v>0</v>
      </c>
      <c r="F48" s="574"/>
    </row>
    <row r="49" spans="1:6">
      <c r="A49" s="635">
        <f t="shared" si="1"/>
        <v>13</v>
      </c>
      <c r="B49" s="564"/>
      <c r="C49" s="602" t="str">
        <f>CONCATENATE(H16,I11," (8)")</f>
        <v xml:space="preserve"> (8)</v>
      </c>
      <c r="D49" s="564"/>
      <c r="E49" s="787">
        <v>0</v>
      </c>
      <c r="F49" s="574"/>
    </row>
    <row r="50" spans="1:6">
      <c r="A50" s="400">
        <f t="shared" si="1"/>
        <v>14</v>
      </c>
      <c r="B50" s="1"/>
      <c r="C50" s="388" t="s">
        <v>433</v>
      </c>
      <c r="D50" s="1"/>
      <c r="E50" s="401">
        <f>E48-E49</f>
        <v>0</v>
      </c>
    </row>
    <row r="51" spans="1:6">
      <c r="A51" s="400">
        <f t="shared" si="1"/>
        <v>15</v>
      </c>
      <c r="B51" s="1"/>
      <c r="C51" s="498" t="s">
        <v>545</v>
      </c>
      <c r="D51" s="1"/>
      <c r="E51" s="402">
        <f>E21</f>
        <v>0</v>
      </c>
    </row>
    <row r="52" spans="1:6">
      <c r="A52" s="400">
        <f t="shared" si="1"/>
        <v>16</v>
      </c>
      <c r="B52" s="1"/>
      <c r="C52" s="388" t="s">
        <v>409</v>
      </c>
      <c r="D52" s="1"/>
      <c r="E52" s="406">
        <f>E22</f>
        <v>0</v>
      </c>
    </row>
    <row r="53" spans="1:6">
      <c r="A53" s="400">
        <f t="shared" si="1"/>
        <v>17</v>
      </c>
      <c r="B53" s="1"/>
      <c r="C53" s="514" t="s">
        <v>557</v>
      </c>
      <c r="D53" s="372"/>
      <c r="E53" s="399">
        <f>E50*E51*E52</f>
        <v>0</v>
      </c>
    </row>
    <row r="54" spans="1:6" ht="15.75" thickBot="1">
      <c r="A54" s="400">
        <f t="shared" si="1"/>
        <v>18</v>
      </c>
      <c r="B54" s="1"/>
      <c r="C54" s="388" t="s">
        <v>434</v>
      </c>
      <c r="D54" s="1"/>
      <c r="E54" s="403">
        <f>E50+E53</f>
        <v>0</v>
      </c>
    </row>
    <row r="55" spans="1:6" ht="15.75" thickTop="1">
      <c r="A55" s="1"/>
      <c r="B55" s="1"/>
      <c r="C55" s="1"/>
      <c r="D55" s="1"/>
      <c r="E55" s="1"/>
    </row>
    <row r="56" spans="1:6">
      <c r="A56" s="1"/>
      <c r="B56" s="827" t="s">
        <v>144</v>
      </c>
      <c r="C56" s="827"/>
      <c r="D56" s="368"/>
      <c r="E56" s="368"/>
    </row>
    <row r="57" spans="1:6">
      <c r="A57" s="1"/>
      <c r="B57" s="405" t="s">
        <v>404</v>
      </c>
      <c r="C57" s="825" t="str">
        <f>CONCATENATE("Revenue requirement calculated using EKCP ",EKPC!J1,",  Appendix A and actual cost information for the referenced year.")</f>
        <v>Revenue requirement calculated using EKCP Attachment H-24A,  Appendix A and actual cost information for the referenced year.</v>
      </c>
      <c r="D57" s="825"/>
      <c r="E57" s="825"/>
    </row>
    <row r="58" spans="1:6">
      <c r="A58" s="1"/>
      <c r="B58" s="405" t="s">
        <v>405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6" ht="31.5" customHeight="1">
      <c r="A59" s="1"/>
      <c r="B59" s="405" t="s">
        <v>406</v>
      </c>
      <c r="C59" s="825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26"/>
      <c r="E59" s="826"/>
    </row>
    <row r="60" spans="1:6">
      <c r="A60" s="1"/>
      <c r="B60" s="405" t="s">
        <v>435</v>
      </c>
      <c r="C60" s="1" t="s">
        <v>430</v>
      </c>
    </row>
    <row r="61" spans="1:6">
      <c r="A61" s="1"/>
      <c r="B61" s="405" t="s">
        <v>436</v>
      </c>
      <c r="C61" s="388" t="str">
        <f>CONCATENATE("Goes to ",EKPC!J1,", Appendix A, line 4.")</f>
        <v>Goes to Attachment H-24A, Appendix A, line 4.</v>
      </c>
    </row>
    <row r="62" spans="1:6" ht="15" customHeight="1">
      <c r="A62" s="1"/>
    </row>
    <row r="63" spans="1:6">
      <c r="A63" s="1"/>
    </row>
    <row r="64" spans="1:6">
      <c r="A64" s="1"/>
    </row>
    <row r="65" spans="3:3">
      <c r="C65" s="389"/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7">
    <tabColor rgb="FF00B050"/>
    <pageSetUpPr fitToPage="1"/>
  </sheetPr>
  <dimension ref="A1:K103"/>
  <sheetViews>
    <sheetView zoomScale="80" zoomScaleNormal="80" zoomScaleSheetLayoutView="90" workbookViewId="0">
      <selection activeCell="A15" sqref="A15"/>
    </sheetView>
  </sheetViews>
  <sheetFormatPr defaultColWidth="8.77734375" defaultRowHeight="12.75"/>
  <cols>
    <col min="1" max="1" width="6.109375" style="178" customWidth="1"/>
    <col min="2" max="2" width="8.77734375" style="178"/>
    <col min="3" max="3" width="0.88671875" style="178" customWidth="1"/>
    <col min="4" max="4" width="8.77734375" style="178"/>
    <col min="5" max="5" width="1.5546875" style="178" customWidth="1"/>
    <col min="6" max="6" width="46.109375" style="178" customWidth="1"/>
    <col min="7" max="7" width="6" style="178" customWidth="1"/>
    <col min="8" max="8" width="9.6640625" style="180" customWidth="1"/>
    <col min="9" max="16384" width="8.77734375" style="178"/>
  </cols>
  <sheetData>
    <row r="1" spans="1:11" ht="15">
      <c r="A1" s="644"/>
      <c r="B1" s="644"/>
      <c r="C1" s="644"/>
      <c r="D1" s="644"/>
      <c r="E1" s="644"/>
      <c r="F1" s="644"/>
      <c r="G1" s="644"/>
      <c r="H1" s="137" t="str">
        <f>EKPC!J1</f>
        <v>Attachment H-24A</v>
      </c>
    </row>
    <row r="2" spans="1:11" ht="15">
      <c r="A2" s="644"/>
      <c r="B2" s="644"/>
      <c r="C2" s="644"/>
      <c r="D2" s="644"/>
      <c r="E2" s="644"/>
      <c r="F2" s="644"/>
      <c r="G2" s="644"/>
      <c r="H2" s="99" t="s">
        <v>372</v>
      </c>
    </row>
    <row r="3" spans="1:11" ht="15">
      <c r="A3" s="644"/>
      <c r="B3" s="644"/>
      <c r="C3" s="644"/>
      <c r="D3" s="644"/>
      <c r="E3" s="644"/>
      <c r="F3" s="644"/>
      <c r="G3" s="644"/>
      <c r="H3" s="645"/>
      <c r="K3" s="99"/>
    </row>
    <row r="4" spans="1:11" ht="15">
      <c r="A4" s="830" t="str">
        <f>EKPC!A11</f>
        <v>East Kentucky Power Cooperative, Inc.</v>
      </c>
      <c r="B4" s="830"/>
      <c r="C4" s="830"/>
      <c r="D4" s="830"/>
      <c r="E4" s="830"/>
      <c r="F4" s="830"/>
      <c r="G4" s="830"/>
      <c r="H4" s="830"/>
    </row>
    <row r="5" spans="1:11" ht="15">
      <c r="A5" s="831" t="s">
        <v>602</v>
      </c>
      <c r="B5" s="831"/>
      <c r="C5" s="831"/>
      <c r="D5" s="831"/>
      <c r="E5" s="831"/>
      <c r="F5" s="831"/>
      <c r="G5" s="831"/>
      <c r="H5" s="831"/>
    </row>
    <row r="6" spans="1:11" ht="15">
      <c r="A6" s="832" t="str">
        <f>CONCATENATE("Rates effective for year ending December 31, ",TEXT(RIGHT(EKPC!J7,10),"YYYY"))</f>
        <v>Rates effective for year ending December 31, 2013</v>
      </c>
      <c r="B6" s="832"/>
      <c r="C6" s="832"/>
      <c r="D6" s="832"/>
      <c r="E6" s="832"/>
      <c r="F6" s="832"/>
      <c r="G6" s="832"/>
      <c r="H6" s="832"/>
    </row>
    <row r="7" spans="1:11" ht="15">
      <c r="A7" s="644"/>
      <c r="B7" s="644"/>
      <c r="C7" s="644"/>
      <c r="D7" s="644"/>
      <c r="E7" s="644"/>
      <c r="F7" s="644"/>
      <c r="G7" s="644"/>
      <c r="H7" s="645"/>
    </row>
    <row r="8" spans="1:11" ht="15">
      <c r="A8" s="644"/>
      <c r="B8" s="646" t="s">
        <v>301</v>
      </c>
      <c r="C8" s="646"/>
      <c r="D8" s="646" t="s">
        <v>302</v>
      </c>
      <c r="E8" s="646"/>
      <c r="F8" s="646"/>
      <c r="G8" s="646"/>
      <c r="H8" s="647" t="s">
        <v>215</v>
      </c>
    </row>
    <row r="9" spans="1:11" ht="15">
      <c r="A9" s="646" t="s">
        <v>6</v>
      </c>
      <c r="B9" s="646" t="s">
        <v>303</v>
      </c>
      <c r="C9" s="646"/>
      <c r="D9" s="646" t="s">
        <v>303</v>
      </c>
      <c r="E9" s="646"/>
      <c r="F9" s="646"/>
      <c r="G9" s="646"/>
      <c r="H9" s="647" t="s">
        <v>304</v>
      </c>
    </row>
    <row r="10" spans="1:11" ht="15">
      <c r="A10" s="648" t="s">
        <v>8</v>
      </c>
      <c r="B10" s="648" t="s">
        <v>305</v>
      </c>
      <c r="C10" s="648"/>
      <c r="D10" s="648" t="s">
        <v>305</v>
      </c>
      <c r="E10" s="648"/>
      <c r="F10" s="648" t="s">
        <v>306</v>
      </c>
      <c r="G10" s="648"/>
      <c r="H10" s="649" t="s">
        <v>307</v>
      </c>
    </row>
    <row r="11" spans="1:11" ht="15">
      <c r="A11" s="644"/>
      <c r="B11" s="610" t="s">
        <v>296</v>
      </c>
      <c r="C11" s="646"/>
      <c r="D11" s="610" t="s">
        <v>297</v>
      </c>
      <c r="E11" s="646"/>
      <c r="F11" s="646" t="s">
        <v>298</v>
      </c>
      <c r="G11" s="646"/>
      <c r="H11" s="650" t="s">
        <v>308</v>
      </c>
    </row>
    <row r="12" spans="1:11" ht="15">
      <c r="A12" s="644"/>
      <c r="B12" s="610"/>
      <c r="C12" s="646"/>
      <c r="D12" s="610"/>
      <c r="E12" s="646"/>
      <c r="F12" s="646"/>
      <c r="G12" s="646"/>
      <c r="H12" s="647" t="s">
        <v>86</v>
      </c>
    </row>
    <row r="13" spans="1:11" ht="15.75">
      <c r="A13" s="644"/>
      <c r="B13" s="651" t="s">
        <v>463</v>
      </c>
      <c r="C13" s="651"/>
      <c r="D13" s="504"/>
      <c r="E13" s="504"/>
      <c r="F13" s="504"/>
      <c r="G13" s="504"/>
      <c r="H13" s="640"/>
    </row>
    <row r="14" spans="1:11" ht="15">
      <c r="A14" s="644"/>
      <c r="B14" s="644"/>
      <c r="C14" s="644"/>
      <c r="D14" s="644"/>
      <c r="E14" s="644"/>
      <c r="F14" s="644"/>
      <c r="G14" s="644"/>
      <c r="H14" s="652"/>
    </row>
    <row r="15" spans="1:11" ht="15">
      <c r="A15" s="646">
        <v>1</v>
      </c>
      <c r="B15" s="646">
        <v>350</v>
      </c>
      <c r="C15" s="644"/>
      <c r="D15" s="646">
        <v>350010</v>
      </c>
      <c r="E15" s="644"/>
      <c r="F15" s="644" t="s">
        <v>574</v>
      </c>
      <c r="G15" s="644"/>
      <c r="H15" s="653">
        <v>0</v>
      </c>
      <c r="J15" s="568"/>
      <c r="K15" s="568"/>
    </row>
    <row r="16" spans="1:11" ht="15">
      <c r="A16" s="646">
        <v>2</v>
      </c>
      <c r="B16" s="646">
        <v>353</v>
      </c>
      <c r="C16" s="644"/>
      <c r="D16" s="646">
        <v>353000</v>
      </c>
      <c r="E16" s="644"/>
      <c r="F16" s="644" t="s">
        <v>309</v>
      </c>
      <c r="G16" s="644"/>
      <c r="H16" s="763">
        <v>1.79</v>
      </c>
    </row>
    <row r="17" spans="1:9" ht="15">
      <c r="A17" s="646">
        <v>3</v>
      </c>
      <c r="B17" s="646">
        <v>353</v>
      </c>
      <c r="C17" s="644"/>
      <c r="D17" s="646">
        <v>353010</v>
      </c>
      <c r="E17" s="644"/>
      <c r="F17" s="644" t="s">
        <v>330</v>
      </c>
      <c r="G17" s="644"/>
      <c r="H17" s="763">
        <v>1.79</v>
      </c>
    </row>
    <row r="18" spans="1:9" ht="15">
      <c r="A18" s="646">
        <v>4</v>
      </c>
      <c r="B18" s="646">
        <v>354</v>
      </c>
      <c r="C18" s="644"/>
      <c r="D18" s="646">
        <v>354000</v>
      </c>
      <c r="E18" s="644"/>
      <c r="F18" s="644" t="s">
        <v>331</v>
      </c>
      <c r="G18" s="644"/>
      <c r="H18" s="763">
        <v>0.71</v>
      </c>
    </row>
    <row r="19" spans="1:9" ht="15">
      <c r="A19" s="646">
        <v>5</v>
      </c>
      <c r="B19" s="646">
        <v>355</v>
      </c>
      <c r="C19" s="644"/>
      <c r="D19" s="646">
        <v>355000</v>
      </c>
      <c r="E19" s="644"/>
      <c r="F19" s="644" t="s">
        <v>310</v>
      </c>
      <c r="G19" s="644"/>
      <c r="H19" s="763">
        <v>1.56</v>
      </c>
    </row>
    <row r="20" spans="1:9" ht="15">
      <c r="A20" s="646">
        <v>6</v>
      </c>
      <c r="B20" s="646">
        <v>356</v>
      </c>
      <c r="C20" s="644"/>
      <c r="D20" s="646">
        <v>356000</v>
      </c>
      <c r="E20" s="644"/>
      <c r="F20" s="644" t="s">
        <v>311</v>
      </c>
      <c r="G20" s="644"/>
      <c r="H20" s="763">
        <v>1.49</v>
      </c>
    </row>
    <row r="21" spans="1:9" ht="15">
      <c r="A21" s="646">
        <v>7</v>
      </c>
      <c r="B21" s="646">
        <v>359</v>
      </c>
      <c r="C21" s="646"/>
      <c r="D21" s="646">
        <v>359000</v>
      </c>
      <c r="E21" s="644"/>
      <c r="F21" s="644" t="s">
        <v>342</v>
      </c>
      <c r="G21" s="644"/>
      <c r="H21" s="763">
        <v>2.778</v>
      </c>
    </row>
    <row r="22" spans="1:9" ht="15">
      <c r="A22" s="646"/>
      <c r="B22" s="646"/>
      <c r="C22" s="646"/>
      <c r="D22" s="646"/>
      <c r="E22" s="644"/>
      <c r="F22" s="644"/>
      <c r="G22" s="644"/>
      <c r="H22" s="653"/>
    </row>
    <row r="23" spans="1:9" ht="15.75">
      <c r="A23" s="646"/>
      <c r="B23" s="651" t="s">
        <v>312</v>
      </c>
      <c r="C23" s="504"/>
      <c r="D23" s="504"/>
      <c r="E23" s="504"/>
      <c r="F23" s="504"/>
      <c r="G23" s="504"/>
      <c r="H23" s="654"/>
    </row>
    <row r="24" spans="1:9" ht="15">
      <c r="A24" s="646"/>
      <c r="B24" s="646"/>
      <c r="C24" s="646"/>
      <c r="D24" s="646"/>
      <c r="E24" s="644"/>
      <c r="F24" s="644"/>
      <c r="G24" s="644"/>
      <c r="H24" s="653"/>
    </row>
    <row r="25" spans="1:9" ht="15">
      <c r="A25" s="646">
        <v>8</v>
      </c>
      <c r="B25" s="646">
        <v>303</v>
      </c>
      <c r="C25" s="181"/>
      <c r="D25" s="646">
        <v>303000</v>
      </c>
      <c r="E25" s="644"/>
      <c r="F25" s="644" t="s">
        <v>314</v>
      </c>
      <c r="G25" s="644"/>
      <c r="H25" s="763">
        <v>2.8570000000000002</v>
      </c>
      <c r="I25" s="182"/>
    </row>
    <row r="26" spans="1:9" ht="15">
      <c r="A26" s="646">
        <v>9</v>
      </c>
      <c r="B26" s="646">
        <v>390</v>
      </c>
      <c r="C26" s="181"/>
      <c r="D26" s="646">
        <v>390000</v>
      </c>
      <c r="E26" s="644"/>
      <c r="F26" s="644" t="s">
        <v>332</v>
      </c>
      <c r="G26" s="644"/>
      <c r="H26" s="763">
        <v>4.7779999999999996</v>
      </c>
    </row>
    <row r="27" spans="1:9" ht="15">
      <c r="A27" s="646">
        <v>10</v>
      </c>
      <c r="B27" s="646">
        <v>391</v>
      </c>
      <c r="C27" s="181"/>
      <c r="D27" s="646">
        <v>391000</v>
      </c>
      <c r="E27" s="644"/>
      <c r="F27" s="644" t="s">
        <v>333</v>
      </c>
      <c r="G27" s="644"/>
      <c r="H27" s="763">
        <v>0.2</v>
      </c>
    </row>
    <row r="28" spans="1:9" ht="15">
      <c r="A28" s="646">
        <v>11</v>
      </c>
      <c r="B28" s="646">
        <v>391</v>
      </c>
      <c r="C28" s="181"/>
      <c r="D28" s="646">
        <v>391001</v>
      </c>
      <c r="E28" s="644"/>
      <c r="F28" s="644" t="s">
        <v>334</v>
      </c>
      <c r="G28" s="644"/>
      <c r="H28" s="763">
        <v>20</v>
      </c>
    </row>
    <row r="29" spans="1:9" ht="15">
      <c r="A29" s="646">
        <v>12</v>
      </c>
      <c r="B29" s="646">
        <v>392</v>
      </c>
      <c r="C29" s="181"/>
      <c r="D29" s="646">
        <v>392000</v>
      </c>
      <c r="E29" s="644"/>
      <c r="F29" s="644" t="s">
        <v>313</v>
      </c>
      <c r="G29" s="644"/>
      <c r="H29" s="764">
        <v>16.667000000000002</v>
      </c>
    </row>
    <row r="30" spans="1:9" ht="15">
      <c r="A30" s="646">
        <v>13</v>
      </c>
      <c r="B30" s="646">
        <v>393</v>
      </c>
      <c r="C30" s="181"/>
      <c r="D30" s="646">
        <v>393000</v>
      </c>
      <c r="E30" s="644"/>
      <c r="F30" s="644" t="s">
        <v>315</v>
      </c>
      <c r="G30" s="644"/>
      <c r="H30" s="764">
        <v>10</v>
      </c>
    </row>
    <row r="31" spans="1:9" ht="15">
      <c r="A31" s="646">
        <v>14</v>
      </c>
      <c r="B31" s="646">
        <v>394</v>
      </c>
      <c r="C31" s="181"/>
      <c r="D31" s="646">
        <v>394000</v>
      </c>
      <c r="E31" s="644"/>
      <c r="F31" s="644" t="s">
        <v>335</v>
      </c>
      <c r="G31" s="644"/>
      <c r="H31" s="763">
        <v>10</v>
      </c>
    </row>
    <row r="32" spans="1:9" ht="15">
      <c r="A32" s="646">
        <v>15</v>
      </c>
      <c r="B32" s="646">
        <v>395</v>
      </c>
      <c r="C32" s="181"/>
      <c r="D32" s="646">
        <v>395000</v>
      </c>
      <c r="E32" s="644"/>
      <c r="F32" s="644" t="s">
        <v>336</v>
      </c>
      <c r="G32" s="644"/>
      <c r="H32" s="763">
        <v>10</v>
      </c>
    </row>
    <row r="33" spans="1:8" ht="15">
      <c r="A33" s="646">
        <v>16</v>
      </c>
      <c r="B33" s="646">
        <v>396</v>
      </c>
      <c r="C33" s="181"/>
      <c r="D33" s="646">
        <v>396000</v>
      </c>
      <c r="E33" s="644"/>
      <c r="F33" s="644" t="s">
        <v>337</v>
      </c>
      <c r="G33" s="644"/>
      <c r="H33" s="763">
        <v>10</v>
      </c>
    </row>
    <row r="34" spans="1:8" ht="15">
      <c r="A34" s="646">
        <v>17</v>
      </c>
      <c r="B34" s="646">
        <v>397</v>
      </c>
      <c r="C34" s="181"/>
      <c r="D34" s="646">
        <v>397000</v>
      </c>
      <c r="E34" s="644"/>
      <c r="F34" s="644" t="s">
        <v>338</v>
      </c>
      <c r="G34" s="644"/>
      <c r="H34" s="763">
        <v>10</v>
      </c>
    </row>
    <row r="35" spans="1:8" ht="15">
      <c r="A35" s="646">
        <v>18</v>
      </c>
      <c r="B35" s="646">
        <v>397</v>
      </c>
      <c r="C35" s="646"/>
      <c r="D35" s="646">
        <v>397000</v>
      </c>
      <c r="E35" s="644"/>
      <c r="F35" s="644" t="s">
        <v>339</v>
      </c>
      <c r="G35" s="644"/>
      <c r="H35" s="763">
        <v>3.03</v>
      </c>
    </row>
    <row r="36" spans="1:8" ht="15">
      <c r="A36" s="646">
        <v>19</v>
      </c>
      <c r="B36" s="646">
        <v>397</v>
      </c>
      <c r="C36" s="646"/>
      <c r="D36" s="646">
        <v>397001</v>
      </c>
      <c r="E36" s="644"/>
      <c r="F36" s="644" t="s">
        <v>340</v>
      </c>
      <c r="G36" s="644"/>
      <c r="H36" s="763">
        <v>10</v>
      </c>
    </row>
    <row r="37" spans="1:8" ht="15">
      <c r="A37" s="646">
        <v>20</v>
      </c>
      <c r="B37" s="646">
        <v>398</v>
      </c>
      <c r="C37" s="646"/>
      <c r="D37" s="646">
        <v>398000</v>
      </c>
      <c r="E37" s="644"/>
      <c r="F37" s="644" t="s">
        <v>341</v>
      </c>
      <c r="G37" s="644"/>
      <c r="H37" s="763">
        <v>10</v>
      </c>
    </row>
    <row r="38" spans="1:8" ht="15">
      <c r="A38" s="644"/>
      <c r="B38" s="646"/>
      <c r="C38" s="646"/>
      <c r="D38" s="646"/>
      <c r="E38" s="644"/>
      <c r="F38" s="644"/>
      <c r="G38" s="644"/>
      <c r="H38" s="655"/>
    </row>
    <row r="39" spans="1:8" ht="15">
      <c r="A39" s="644"/>
      <c r="B39" s="829" t="s">
        <v>437</v>
      </c>
      <c r="C39" s="829"/>
      <c r="D39" s="829"/>
      <c r="E39" s="829"/>
      <c r="F39" s="829"/>
      <c r="G39" s="644"/>
      <c r="H39" s="645"/>
    </row>
    <row r="40" spans="1:8" ht="15">
      <c r="A40" s="644"/>
      <c r="B40" s="610" t="s">
        <v>16</v>
      </c>
      <c r="C40" s="646"/>
      <c r="D40" s="714" t="s">
        <v>438</v>
      </c>
      <c r="E40" s="715"/>
      <c r="F40" s="715"/>
      <c r="G40" s="644"/>
      <c r="H40" s="645"/>
    </row>
    <row r="41" spans="1:8">
      <c r="B41" s="179"/>
      <c r="C41" s="179"/>
      <c r="D41" s="179"/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P23"/>
  <sheetViews>
    <sheetView zoomScale="80" zoomScaleNormal="80" zoomScaleSheetLayoutView="110" workbookViewId="0">
      <selection activeCell="A12" sqref="A12"/>
    </sheetView>
  </sheetViews>
  <sheetFormatPr defaultRowHeight="15"/>
  <cols>
    <col min="1" max="1" width="5" customWidth="1"/>
    <col min="2" max="2" width="9.77734375" customWidth="1"/>
    <col min="3" max="3" width="12.6640625" customWidth="1"/>
    <col min="9" max="9" width="13.21875" bestFit="1" customWidth="1"/>
  </cols>
  <sheetData>
    <row r="1" spans="1:12">
      <c r="H1" s="1"/>
      <c r="I1" s="328" t="str">
        <f>EKPC!J1</f>
        <v>Attachment H-24A</v>
      </c>
    </row>
    <row r="2" spans="1:12">
      <c r="H2" s="1"/>
      <c r="I2" s="88" t="s">
        <v>546</v>
      </c>
    </row>
    <row r="3" spans="1:12">
      <c r="H3" s="1"/>
      <c r="I3" s="88" t="s">
        <v>381</v>
      </c>
    </row>
    <row r="4" spans="1:12">
      <c r="B4" s="326"/>
      <c r="C4" s="326"/>
      <c r="D4" s="326"/>
      <c r="E4" s="326"/>
      <c r="F4" s="326"/>
      <c r="G4" s="88"/>
      <c r="H4" s="326"/>
      <c r="I4" s="88" t="s">
        <v>619</v>
      </c>
    </row>
    <row r="5" spans="1:12">
      <c r="B5" s="326"/>
      <c r="C5" s="326"/>
      <c r="D5" s="326"/>
      <c r="E5" s="326"/>
      <c r="F5" s="326"/>
      <c r="G5" s="88"/>
      <c r="H5" s="326"/>
      <c r="L5" s="88"/>
    </row>
    <row r="6" spans="1:12">
      <c r="B6" s="17" t="s">
        <v>320</v>
      </c>
      <c r="C6" s="335"/>
      <c r="D6" s="335"/>
      <c r="E6" s="335"/>
      <c r="F6" s="335"/>
      <c r="G6" s="335"/>
      <c r="H6" s="335"/>
      <c r="I6" s="335"/>
    </row>
    <row r="7" spans="1:12">
      <c r="B7" s="833" t="str">
        <f>EKPC!A9</f>
        <v>Utilizing EKPC 2013 Form FF1 Data</v>
      </c>
      <c r="C7" s="833"/>
      <c r="D7" s="833"/>
      <c r="E7" s="833"/>
      <c r="F7" s="833"/>
      <c r="G7" s="833"/>
      <c r="H7" s="833"/>
      <c r="I7" s="833"/>
    </row>
    <row r="8" spans="1:12">
      <c r="B8" s="326"/>
      <c r="C8" s="326"/>
      <c r="D8" s="326"/>
      <c r="E8" s="326"/>
      <c r="F8" s="326"/>
      <c r="G8" s="88"/>
      <c r="H8" s="326"/>
      <c r="I8" s="88"/>
    </row>
    <row r="9" spans="1:12" ht="15.75">
      <c r="A9" s="566"/>
      <c r="B9" s="656" t="s">
        <v>395</v>
      </c>
      <c r="C9" s="335"/>
      <c r="D9" s="335"/>
      <c r="E9" s="335"/>
      <c r="F9" s="335"/>
      <c r="G9" s="335"/>
      <c r="H9" s="335"/>
      <c r="I9" s="335"/>
    </row>
    <row r="10" spans="1:12" ht="15.75">
      <c r="A10" s="566"/>
      <c r="B10" s="656" t="s">
        <v>350</v>
      </c>
      <c r="C10" s="335"/>
      <c r="D10" s="335"/>
      <c r="E10" s="335"/>
      <c r="F10" s="335"/>
      <c r="G10" s="335"/>
      <c r="H10" s="335"/>
      <c r="I10" s="335"/>
    </row>
    <row r="11" spans="1:12" ht="15.75">
      <c r="A11" s="566"/>
      <c r="B11" s="657"/>
      <c r="C11" s="658"/>
      <c r="D11" s="658"/>
      <c r="E11" s="659"/>
      <c r="F11" s="659"/>
      <c r="G11" s="658"/>
      <c r="H11" s="658"/>
      <c r="I11" s="658"/>
    </row>
    <row r="12" spans="1:12" ht="33" customHeight="1">
      <c r="A12" s="660" t="s">
        <v>188</v>
      </c>
      <c r="B12" s="661"/>
      <c r="C12" s="662" t="s">
        <v>351</v>
      </c>
      <c r="D12" s="662"/>
      <c r="E12" s="662" t="s">
        <v>352</v>
      </c>
      <c r="F12" s="662"/>
      <c r="G12" s="663" t="s">
        <v>603</v>
      </c>
      <c r="H12" s="661"/>
      <c r="I12" s="663" t="s">
        <v>604</v>
      </c>
    </row>
    <row r="13" spans="1:12">
      <c r="A13" s="311">
        <v>1</v>
      </c>
      <c r="B13" s="658" t="s">
        <v>149</v>
      </c>
      <c r="C13" s="760">
        <f>30609638+1104770</f>
        <v>31714408</v>
      </c>
      <c r="D13" s="677"/>
      <c r="E13" s="664">
        <f>C13/C16</f>
        <v>0.67311650886885488</v>
      </c>
      <c r="F13" s="664"/>
      <c r="G13" s="716">
        <f>G16*E13</f>
        <v>0</v>
      </c>
      <c r="H13" s="658"/>
      <c r="I13" s="658"/>
    </row>
    <row r="14" spans="1:12">
      <c r="A14" s="311">
        <f>+A13+1</f>
        <v>2</v>
      </c>
      <c r="B14" s="658" t="s">
        <v>22</v>
      </c>
      <c r="C14" s="761">
        <f>16375659-1104770</f>
        <v>15270889</v>
      </c>
      <c r="D14" s="678"/>
      <c r="E14" s="664">
        <f>C14/C16</f>
        <v>0.32411412160062392</v>
      </c>
      <c r="F14" s="664"/>
      <c r="G14" s="716">
        <f>E14*G16</f>
        <v>0</v>
      </c>
      <c r="H14" s="665"/>
      <c r="I14" s="666"/>
    </row>
    <row r="15" spans="1:12" ht="17.25">
      <c r="A15" s="311">
        <f t="shared" ref="A15:A16" si="0">+A14+1</f>
        <v>3</v>
      </c>
      <c r="B15" s="658" t="s">
        <v>150</v>
      </c>
      <c r="C15" s="762">
        <v>130481</v>
      </c>
      <c r="D15" s="679"/>
      <c r="E15" s="667">
        <f>C15/C16</f>
        <v>2.7693695305211772E-3</v>
      </c>
      <c r="F15" s="667"/>
      <c r="G15" s="717">
        <f>E15*G16</f>
        <v>0</v>
      </c>
      <c r="H15" s="658"/>
      <c r="I15" s="658"/>
    </row>
    <row r="16" spans="1:12" ht="18" thickBot="1">
      <c r="A16" s="311">
        <f t="shared" si="0"/>
        <v>4</v>
      </c>
      <c r="B16" s="658" t="s">
        <v>353</v>
      </c>
      <c r="C16" s="668">
        <f>SUM(C13:C15)</f>
        <v>47115778</v>
      </c>
      <c r="D16" s="658"/>
      <c r="E16" s="669">
        <f>SUM(E13:E15)</f>
        <v>1</v>
      </c>
      <c r="F16" s="669"/>
      <c r="G16" s="697">
        <v>0</v>
      </c>
      <c r="H16" s="658"/>
      <c r="I16" s="670">
        <f>G14+C14</f>
        <v>15270889</v>
      </c>
    </row>
    <row r="17" spans="1:16" ht="15.75" thickTop="1">
      <c r="A17" s="566"/>
      <c r="B17" s="666"/>
      <c r="C17" s="666"/>
      <c r="D17" s="666"/>
      <c r="E17" s="666"/>
      <c r="F17" s="666"/>
      <c r="G17" s="666"/>
      <c r="H17" s="666"/>
      <c r="I17" s="666"/>
    </row>
    <row r="18" spans="1:16">
      <c r="A18" s="566"/>
      <c r="B18" s="666"/>
      <c r="C18" s="666"/>
      <c r="D18" s="666"/>
      <c r="E18" s="666"/>
      <c r="F18" s="666"/>
      <c r="G18" s="666"/>
      <c r="H18" s="666"/>
      <c r="I18" s="666"/>
    </row>
    <row r="19" spans="1:16">
      <c r="A19" s="566"/>
      <c r="B19" s="671" t="s">
        <v>144</v>
      </c>
      <c r="C19" s="672"/>
      <c r="D19" s="672"/>
      <c r="E19" s="672"/>
      <c r="F19" s="673"/>
      <c r="G19" s="666"/>
      <c r="H19" s="666"/>
      <c r="I19" s="666"/>
    </row>
    <row r="20" spans="1:16" ht="15.75">
      <c r="A20" s="566"/>
      <c r="B20" s="674" t="s">
        <v>570</v>
      </c>
      <c r="C20" s="675"/>
      <c r="D20" s="675"/>
      <c r="E20" s="675"/>
      <c r="F20" s="676"/>
      <c r="G20" s="674"/>
      <c r="H20" s="674"/>
      <c r="I20" s="674"/>
    </row>
    <row r="21" spans="1:16">
      <c r="A21" s="566"/>
      <c r="B21" s="674" t="s">
        <v>396</v>
      </c>
      <c r="C21" s="567"/>
      <c r="D21" s="567"/>
      <c r="E21" s="567"/>
      <c r="F21" s="567"/>
      <c r="G21" s="567"/>
      <c r="H21" s="567"/>
      <c r="I21" s="567"/>
      <c r="J21" s="350"/>
      <c r="K21" s="350"/>
      <c r="L21" s="350"/>
      <c r="M21" s="350"/>
      <c r="N21" s="350"/>
      <c r="O21" s="350"/>
      <c r="P21" s="350"/>
    </row>
    <row r="22" spans="1:16">
      <c r="A22" s="566"/>
      <c r="B22" s="674" t="str">
        <f>CONCATENATE("(3) To ",EKPC!J1,", Page 2 of 5, Line 27.")</f>
        <v>(3) To Attachment H-24A, Page 2 of 5, Line 27.</v>
      </c>
      <c r="C22" s="567"/>
      <c r="D22" s="564"/>
      <c r="E22" s="567"/>
      <c r="F22" s="567"/>
      <c r="G22" s="566"/>
      <c r="H22" s="566"/>
      <c r="I22" s="566"/>
    </row>
    <row r="23" spans="1:16">
      <c r="B23" s="350"/>
      <c r="C23" s="350"/>
      <c r="D23" s="350"/>
      <c r="E23" s="350"/>
      <c r="F23" s="350"/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4">
    <tabColor rgb="FF00B050"/>
    <pageSetUpPr fitToPage="1"/>
  </sheetPr>
  <dimension ref="A1:E39"/>
  <sheetViews>
    <sheetView tabSelected="1" zoomScale="80" zoomScaleNormal="80" zoomScaleSheetLayoutView="90" workbookViewId="0">
      <selection activeCell="E17" sqref="E17"/>
    </sheetView>
  </sheetViews>
  <sheetFormatPr defaultColWidth="8.77734375" defaultRowHeight="15"/>
  <cols>
    <col min="1" max="1" width="8.77734375" style="1"/>
    <col min="2" max="2" width="37.21875" style="1" bestFit="1" customWidth="1"/>
    <col min="3" max="4" width="22.44140625" style="1" customWidth="1"/>
    <col min="5" max="5" width="23.88671875" style="1" customWidth="1"/>
    <col min="6" max="16384" width="8.77734375" style="1"/>
  </cols>
  <sheetData>
    <row r="1" spans="1:5">
      <c r="E1" s="337" t="str">
        <f>EKPC!J1</f>
        <v>Attachment H-24A</v>
      </c>
    </row>
    <row r="2" spans="1:5">
      <c r="E2" s="168" t="s">
        <v>546</v>
      </c>
    </row>
    <row r="3" spans="1:5">
      <c r="B3"/>
      <c r="C3" s="17"/>
      <c r="D3" s="17"/>
      <c r="E3" s="168" t="s">
        <v>380</v>
      </c>
    </row>
    <row r="4" spans="1:5" ht="18">
      <c r="B4" s="25"/>
      <c r="C4" s="17"/>
      <c r="D4" s="17"/>
      <c r="E4" s="168" t="str">
        <f>EKPC!$J$124</f>
        <v>For the 12 months ended 12/31/2013</v>
      </c>
    </row>
    <row r="5" spans="1:5" ht="18">
      <c r="B5" s="25"/>
      <c r="C5" s="17"/>
      <c r="D5" s="17"/>
      <c r="E5" s="168"/>
    </row>
    <row r="6" spans="1:5" ht="15.75">
      <c r="B6" s="834" t="str">
        <f>EKPC!A11</f>
        <v>East Kentucky Power Cooperative, Inc.</v>
      </c>
      <c r="C6" s="834"/>
      <c r="D6" s="834"/>
      <c r="E6" s="834"/>
    </row>
    <row r="7" spans="1:5" ht="15.75">
      <c r="B7" s="834" t="str">
        <f>EKPC!A9</f>
        <v>Utilizing EKPC 2013 Form FF1 Data</v>
      </c>
      <c r="C7" s="834"/>
      <c r="D7" s="834"/>
      <c r="E7" s="834"/>
    </row>
    <row r="9" spans="1:5">
      <c r="E9" s="168"/>
    </row>
    <row r="10" spans="1:5" ht="15.75">
      <c r="B10" s="16" t="s">
        <v>388</v>
      </c>
      <c r="C10" s="17"/>
      <c r="D10" s="17"/>
      <c r="E10" s="17"/>
    </row>
    <row r="12" spans="1:5">
      <c r="C12" s="143"/>
      <c r="D12" s="143"/>
    </row>
    <row r="13" spans="1:5" ht="34.5">
      <c r="A13" s="446" t="s">
        <v>188</v>
      </c>
      <c r="B13" s="428" t="s">
        <v>471</v>
      </c>
      <c r="C13" s="144" t="s">
        <v>221</v>
      </c>
      <c r="D13" s="145" t="s">
        <v>163</v>
      </c>
      <c r="E13" s="146" t="s">
        <v>382</v>
      </c>
    </row>
    <row r="14" spans="1:5">
      <c r="C14" s="143"/>
      <c r="D14" s="143"/>
      <c r="E14" s="143"/>
    </row>
    <row r="15" spans="1:5" ht="15.75">
      <c r="A15" s="427"/>
      <c r="B15" s="169"/>
      <c r="C15" s="147"/>
      <c r="D15" s="147"/>
      <c r="E15" s="147"/>
    </row>
    <row r="16" spans="1:5">
      <c r="C16" s="147"/>
      <c r="D16" s="147"/>
      <c r="E16" s="147"/>
    </row>
    <row r="17" spans="1:5">
      <c r="A17" s="427" t="s">
        <v>418</v>
      </c>
      <c r="B17" s="1" t="s">
        <v>329</v>
      </c>
      <c r="C17" s="718">
        <v>0</v>
      </c>
      <c r="D17" s="759">
        <v>27462</v>
      </c>
      <c r="E17" s="140">
        <f t="shared" ref="E17:E22" si="0">SUM(C17:D17)</f>
        <v>27462</v>
      </c>
    </row>
    <row r="18" spans="1:5">
      <c r="A18" s="455">
        <f>A17+1</f>
        <v>2</v>
      </c>
      <c r="C18" s="719">
        <v>0</v>
      </c>
      <c r="D18" s="719">
        <v>0</v>
      </c>
      <c r="E18" s="147">
        <f t="shared" si="0"/>
        <v>0</v>
      </c>
    </row>
    <row r="19" spans="1:5">
      <c r="A19" s="455">
        <f t="shared" ref="A19:A23" si="1">A18+1</f>
        <v>3</v>
      </c>
      <c r="C19" s="719">
        <v>0</v>
      </c>
      <c r="D19" s="719">
        <v>0</v>
      </c>
      <c r="E19" s="147">
        <f t="shared" si="0"/>
        <v>0</v>
      </c>
    </row>
    <row r="20" spans="1:5">
      <c r="A20" s="455">
        <f t="shared" si="1"/>
        <v>4</v>
      </c>
      <c r="C20" s="719">
        <v>0</v>
      </c>
      <c r="D20" s="719">
        <v>0</v>
      </c>
      <c r="E20" s="147">
        <f t="shared" si="0"/>
        <v>0</v>
      </c>
    </row>
    <row r="21" spans="1:5">
      <c r="A21" s="455">
        <f t="shared" si="1"/>
        <v>5</v>
      </c>
      <c r="C21" s="719">
        <v>0</v>
      </c>
      <c r="D21" s="719">
        <v>0</v>
      </c>
      <c r="E21" s="147">
        <f t="shared" si="0"/>
        <v>0</v>
      </c>
    </row>
    <row r="22" spans="1:5" ht="17.25">
      <c r="A22" s="455">
        <f t="shared" si="1"/>
        <v>6</v>
      </c>
      <c r="C22" s="720">
        <v>0</v>
      </c>
      <c r="D22" s="720">
        <v>0</v>
      </c>
      <c r="E22" s="148">
        <f t="shared" si="0"/>
        <v>0</v>
      </c>
    </row>
    <row r="23" spans="1:5" ht="17.25">
      <c r="A23" s="455">
        <f t="shared" si="1"/>
        <v>7</v>
      </c>
      <c r="B23" s="27" t="s">
        <v>394</v>
      </c>
      <c r="C23" s="149">
        <f>SUM(C17:C22)</f>
        <v>0</v>
      </c>
      <c r="D23" s="149">
        <f>SUM(D17:D22)</f>
        <v>27462</v>
      </c>
      <c r="E23" s="149">
        <f>SUM(E17:E22)</f>
        <v>27462</v>
      </c>
    </row>
    <row r="27" spans="1:5">
      <c r="B27" s="367" t="s">
        <v>390</v>
      </c>
      <c r="C27" s="327"/>
      <c r="D27" s="327"/>
    </row>
    <row r="28" spans="1:5">
      <c r="B28" s="560" t="s">
        <v>567</v>
      </c>
      <c r="C28" s="7"/>
      <c r="D28" s="372"/>
    </row>
    <row r="29" spans="1:5">
      <c r="B29" s="373"/>
    </row>
    <row r="39" spans="3:3">
      <c r="C39" s="2"/>
    </row>
  </sheetData>
  <mergeCells count="2">
    <mergeCell ref="B6:E6"/>
    <mergeCell ref="B7:E7"/>
  </mergeCells>
  <pageMargins left="1" right="1" top="1" bottom="0.5" header="0.25" footer="0.25"/>
  <pageSetup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tabColor rgb="FF00B050"/>
    <pageSetUpPr fitToPage="1"/>
  </sheetPr>
  <dimension ref="A1:J47"/>
  <sheetViews>
    <sheetView zoomScale="70" zoomScaleNormal="70" zoomScaleSheetLayoutView="80" workbookViewId="0">
      <selection activeCell="A16" sqref="A16"/>
    </sheetView>
  </sheetViews>
  <sheetFormatPr defaultColWidth="7.109375" defaultRowHeight="12.75"/>
  <cols>
    <col min="1" max="1" width="7.109375" style="98"/>
    <col min="2" max="2" width="48.6640625" style="98" customWidth="1"/>
    <col min="3" max="3" width="30.109375" style="98" customWidth="1"/>
    <col min="4" max="4" width="14.77734375" style="98" customWidth="1"/>
    <col min="5" max="6" width="11.6640625" style="98" customWidth="1"/>
    <col min="7" max="7" width="10.109375" style="98" customWidth="1"/>
    <col min="8" max="8" width="19.109375" style="98" customWidth="1"/>
    <col min="9" max="9" width="16.77734375" style="98" customWidth="1"/>
    <col min="10" max="10" width="8.77734375" style="98" bestFit="1" customWidth="1"/>
    <col min="11" max="17" width="25.5546875" style="98" customWidth="1"/>
    <col min="18" max="19" width="25.5546875" style="98" bestFit="1" customWidth="1"/>
    <col min="20" max="20" width="29.21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77734375" style="98" bestFit="1" customWidth="1"/>
    <col min="35" max="35" width="8.21875" style="98" customWidth="1"/>
    <col min="36" max="53" width="16.21875" style="98" bestFit="1" customWidth="1"/>
    <col min="54" max="54" width="16.77734375" style="98" bestFit="1" customWidth="1"/>
    <col min="55" max="55" width="7.77734375" style="98" bestFit="1" customWidth="1"/>
    <col min="56" max="56" width="8.21875" style="98" bestFit="1" customWidth="1"/>
    <col min="57" max="57" width="9.88671875" style="98" bestFit="1" customWidth="1"/>
    <col min="58" max="58" width="6.33203125" style="98" customWidth="1"/>
    <col min="59" max="59" width="9.88671875" style="98" bestFit="1" customWidth="1"/>
    <col min="60" max="60" width="6.33203125" style="98" customWidth="1"/>
    <col min="61" max="61" width="9.88671875" style="98" bestFit="1" customWidth="1"/>
    <col min="62" max="63" width="6.33203125" style="98" customWidth="1"/>
    <col min="64" max="64" width="9.88671875" style="98" bestFit="1" customWidth="1"/>
    <col min="65" max="65" width="6.33203125" style="98" customWidth="1"/>
    <col min="66" max="66" width="9.88671875" style="98" bestFit="1" customWidth="1"/>
    <col min="67" max="67" width="6.33203125" style="98" customWidth="1"/>
    <col min="68" max="68" width="9.88671875" style="98" bestFit="1" customWidth="1"/>
    <col min="69" max="69" width="6.33203125" style="98" customWidth="1"/>
    <col min="70" max="70" width="9.88671875" style="98" bestFit="1" customWidth="1"/>
    <col min="71" max="71" width="8.21875" style="98" bestFit="1" customWidth="1"/>
    <col min="72" max="16384" width="7.109375" style="98"/>
  </cols>
  <sheetData>
    <row r="1" spans="1:6" ht="15">
      <c r="A1" s="28"/>
      <c r="B1" s="1"/>
      <c r="C1" s="1"/>
      <c r="D1" s="1"/>
      <c r="E1" s="337" t="str">
        <f>EKPC!J1</f>
        <v>Attachment H-24A</v>
      </c>
    </row>
    <row r="2" spans="1:6" ht="15">
      <c r="A2" s="28"/>
      <c r="B2" s="1"/>
      <c r="C2" s="1"/>
      <c r="D2" s="1"/>
      <c r="E2" s="168" t="s">
        <v>546</v>
      </c>
    </row>
    <row r="3" spans="1:6" ht="15">
      <c r="A3" s="28"/>
      <c r="B3" s="480"/>
      <c r="C3" s="17"/>
      <c r="D3" s="17"/>
      <c r="E3" s="168" t="s">
        <v>379</v>
      </c>
    </row>
    <row r="4" spans="1:6" ht="15.75">
      <c r="A4" s="28"/>
      <c r="B4" s="16"/>
      <c r="C4" s="17"/>
      <c r="D4" s="17"/>
      <c r="E4" s="168" t="str">
        <f>EKPC!$J$124</f>
        <v>For the 12 months ended 12/31/2013</v>
      </c>
    </row>
    <row r="5" spans="1:6" ht="15.75">
      <c r="A5" s="28"/>
      <c r="B5" s="16"/>
      <c r="C5" s="17"/>
      <c r="D5" s="17"/>
      <c r="E5" s="168"/>
    </row>
    <row r="6" spans="1:6" ht="15.75">
      <c r="A6" s="28"/>
      <c r="B6" s="834" t="str">
        <f>EKPC!A11</f>
        <v>East Kentucky Power Cooperative, Inc.</v>
      </c>
      <c r="C6" s="834"/>
      <c r="D6" s="834"/>
      <c r="E6" s="834"/>
    </row>
    <row r="7" spans="1:6" ht="15.75">
      <c r="A7" s="28"/>
      <c r="B7" s="834" t="str">
        <f>EKPC!A9</f>
        <v>Utilizing EKPC 2013 Form FF1 Data</v>
      </c>
      <c r="C7" s="834"/>
      <c r="D7" s="834"/>
      <c r="E7" s="834"/>
    </row>
    <row r="8" spans="1:6" ht="15">
      <c r="A8" s="28"/>
      <c r="B8" s="28"/>
      <c r="C8" s="28"/>
      <c r="D8" s="683"/>
      <c r="E8" s="28"/>
    </row>
    <row r="9" spans="1:6" ht="15.75">
      <c r="A9" s="28"/>
      <c r="B9" s="835" t="s">
        <v>542</v>
      </c>
      <c r="C9" s="835"/>
      <c r="D9" s="835"/>
      <c r="E9" s="835"/>
      <c r="F9" s="480"/>
    </row>
    <row r="10" spans="1:6" ht="15">
      <c r="A10" s="28"/>
      <c r="B10" s="8"/>
      <c r="C10" s="8"/>
      <c r="D10" s="28"/>
      <c r="E10" s="28"/>
      <c r="F10" s="480"/>
    </row>
    <row r="11" spans="1:6" ht="15.75">
      <c r="A11" s="28"/>
      <c r="B11" s="19"/>
      <c r="C11" s="19"/>
      <c r="D11" s="28"/>
      <c r="E11" s="28"/>
      <c r="F11" s="480"/>
    </row>
    <row r="12" spans="1:6" ht="15">
      <c r="A12" s="28"/>
      <c r="B12" s="18"/>
      <c r="C12" s="18"/>
      <c r="D12" s="28"/>
      <c r="E12" s="28"/>
      <c r="F12" s="480"/>
    </row>
    <row r="13" spans="1:6" ht="20.25">
      <c r="A13" s="684" t="s">
        <v>188</v>
      </c>
      <c r="B13" s="18"/>
      <c r="C13" s="21" t="s">
        <v>244</v>
      </c>
      <c r="D13" s="21" t="s">
        <v>321</v>
      </c>
      <c r="E13" s="28"/>
      <c r="F13" s="480"/>
    </row>
    <row r="14" spans="1:6" ht="15">
      <c r="A14" s="28"/>
      <c r="B14" s="18"/>
      <c r="C14" s="18"/>
      <c r="D14" s="28"/>
      <c r="E14" s="28"/>
      <c r="F14" s="480"/>
    </row>
    <row r="15" spans="1:6" ht="15.75">
      <c r="A15" s="444" t="s">
        <v>478</v>
      </c>
      <c r="B15" s="430" t="s">
        <v>575</v>
      </c>
      <c r="C15" s="429" t="s">
        <v>576</v>
      </c>
      <c r="D15" s="756">
        <v>224902.24</v>
      </c>
      <c r="E15" s="28"/>
      <c r="F15" s="480"/>
    </row>
    <row r="16" spans="1:6" ht="15">
      <c r="A16" s="28"/>
      <c r="B16" s="22"/>
      <c r="C16" s="429"/>
      <c r="D16" s="81"/>
      <c r="E16" s="28"/>
      <c r="F16" s="480"/>
    </row>
    <row r="17" spans="1:7" ht="17.25">
      <c r="A17" s="444" t="s">
        <v>206</v>
      </c>
      <c r="B17" s="23" t="s">
        <v>165</v>
      </c>
      <c r="C17" s="375"/>
      <c r="D17" s="773">
        <v>0</v>
      </c>
      <c r="E17" s="28"/>
      <c r="F17" s="424"/>
    </row>
    <row r="18" spans="1:7" ht="15">
      <c r="A18" s="28"/>
      <c r="B18" s="22"/>
      <c r="C18" s="429" t="s">
        <v>468</v>
      </c>
      <c r="D18" s="81"/>
      <c r="E18" s="28"/>
      <c r="F18" s="480"/>
    </row>
    <row r="19" spans="1:7" ht="17.25">
      <c r="A19" s="444" t="s">
        <v>479</v>
      </c>
      <c r="B19" s="24" t="s">
        <v>476</v>
      </c>
      <c r="C19" s="374"/>
      <c r="D19" s="680">
        <f>D15-D17</f>
        <v>224902.24</v>
      </c>
      <c r="E19" s="28"/>
      <c r="F19" s="480"/>
    </row>
    <row r="20" spans="1:7" ht="15">
      <c r="A20" s="28"/>
      <c r="B20" s="22"/>
      <c r="C20" s="429"/>
      <c r="D20" s="81"/>
      <c r="E20" s="28"/>
      <c r="F20" s="480"/>
    </row>
    <row r="21" spans="1:7" ht="15">
      <c r="A21" s="28"/>
      <c r="B21" s="22"/>
      <c r="C21" s="429"/>
      <c r="D21" s="81"/>
      <c r="E21" s="28"/>
      <c r="F21" s="480"/>
    </row>
    <row r="22" spans="1:7" ht="15.75">
      <c r="A22" s="444" t="s">
        <v>480</v>
      </c>
      <c r="B22" s="431" t="s">
        <v>477</v>
      </c>
      <c r="C22" s="429" t="s">
        <v>467</v>
      </c>
      <c r="D22" s="756">
        <v>1491656</v>
      </c>
      <c r="E22" s="28"/>
      <c r="F22" s="480"/>
      <c r="G22" s="480"/>
    </row>
    <row r="23" spans="1:7" ht="15.75">
      <c r="A23" s="444"/>
      <c r="B23" s="431"/>
      <c r="C23" s="429"/>
      <c r="D23" s="681"/>
      <c r="E23" s="28"/>
      <c r="F23" s="480"/>
      <c r="G23" s="480"/>
    </row>
    <row r="24" spans="1:7" ht="15">
      <c r="A24" s="444" t="s">
        <v>176</v>
      </c>
      <c r="B24" s="410" t="s">
        <v>429</v>
      </c>
      <c r="C24" s="429" t="s">
        <v>470</v>
      </c>
      <c r="D24" s="681">
        <f>-D22*(1-EKPC!J220)</f>
        <v>-1255430.7506999546</v>
      </c>
      <c r="E24" s="480"/>
      <c r="F24" s="480"/>
      <c r="G24" s="480"/>
    </row>
    <row r="25" spans="1:7" ht="15">
      <c r="A25" s="444"/>
      <c r="B25" s="410"/>
      <c r="C25" s="429"/>
      <c r="D25" s="681"/>
      <c r="E25" s="480"/>
      <c r="F25" s="480"/>
      <c r="G25" s="480"/>
    </row>
    <row r="26" spans="1:7" ht="17.25">
      <c r="A26" s="444" t="s">
        <v>177</v>
      </c>
      <c r="B26" s="23" t="s">
        <v>464</v>
      </c>
      <c r="C26" s="429"/>
      <c r="D26" s="680">
        <f>D22+D24</f>
        <v>236225.24930004543</v>
      </c>
      <c r="E26" s="28"/>
    </row>
    <row r="27" spans="1:7" ht="15">
      <c r="A27" s="28"/>
      <c r="B27" s="23"/>
      <c r="C27" s="429"/>
      <c r="D27" s="682"/>
      <c r="E27" s="28"/>
    </row>
    <row r="28" spans="1:7" ht="15">
      <c r="A28" s="28"/>
      <c r="B28" s="23"/>
      <c r="C28" s="23"/>
      <c r="D28" s="82"/>
      <c r="E28" s="28"/>
    </row>
    <row r="29" spans="1:7" ht="15.75">
      <c r="A29" s="445">
        <v>7</v>
      </c>
      <c r="B29" s="431" t="s">
        <v>577</v>
      </c>
      <c r="C29" s="438" t="s">
        <v>484</v>
      </c>
      <c r="D29" s="82"/>
      <c r="E29" s="28"/>
    </row>
    <row r="30" spans="1:7" ht="15">
      <c r="A30" s="445">
        <v>8</v>
      </c>
      <c r="B30" s="23" t="s">
        <v>538</v>
      </c>
      <c r="C30" s="375"/>
      <c r="D30" s="756">
        <f>424542.01</f>
        <v>424542.01</v>
      </c>
      <c r="E30" s="28"/>
      <c r="F30" s="780"/>
    </row>
    <row r="31" spans="1:7" ht="15">
      <c r="A31" s="445">
        <v>9</v>
      </c>
      <c r="B31" s="23" t="s">
        <v>537</v>
      </c>
      <c r="C31" s="375"/>
      <c r="D31" s="775">
        <f>612467.11-(28944.59-18825.25)+504138.31*3/2</f>
        <v>1358555.2349999999</v>
      </c>
      <c r="E31" s="28"/>
      <c r="F31" s="780"/>
    </row>
    <row r="32" spans="1:7" ht="15">
      <c r="A32" s="445">
        <v>10</v>
      </c>
      <c r="B32" s="23" t="s">
        <v>536</v>
      </c>
      <c r="C32" s="375"/>
      <c r="D32" s="756">
        <f>227565.3+266355.51*3/2</f>
        <v>627098.56499999994</v>
      </c>
      <c r="E32" s="28"/>
      <c r="F32" s="780"/>
    </row>
    <row r="33" spans="1:10" ht="15">
      <c r="A33" s="445">
        <v>11</v>
      </c>
      <c r="B33" s="156" t="s">
        <v>556</v>
      </c>
      <c r="C33" s="375"/>
      <c r="D33" s="792">
        <f>29875+(54865.13+22208.9)*3/2</f>
        <v>145486.04499999998</v>
      </c>
      <c r="E33" s="28"/>
      <c r="F33" s="780"/>
    </row>
    <row r="34" spans="1:10" ht="15">
      <c r="A34" s="445"/>
      <c r="B34" s="23"/>
      <c r="C34" s="23"/>
      <c r="D34" s="81"/>
      <c r="E34" s="28"/>
      <c r="F34" s="780"/>
    </row>
    <row r="35" spans="1:10" ht="15.75" thickBot="1">
      <c r="A35" s="445">
        <v>12</v>
      </c>
      <c r="B35" s="28"/>
      <c r="C35" s="28"/>
      <c r="D35" s="698">
        <f>SUM(D30:D34)</f>
        <v>2555681.8549999995</v>
      </c>
      <c r="E35" s="28"/>
      <c r="F35" s="781"/>
      <c r="G35" s="482"/>
      <c r="H35" s="482"/>
      <c r="I35" s="482"/>
      <c r="J35" s="482"/>
    </row>
    <row r="36" spans="1:10" ht="15.75" thickTop="1">
      <c r="A36" s="445"/>
      <c r="B36" s="28"/>
      <c r="C36" s="28"/>
      <c r="D36" s="699"/>
      <c r="E36" s="28"/>
      <c r="F36" s="781"/>
      <c r="G36" s="482"/>
      <c r="H36" s="482"/>
      <c r="I36" s="482"/>
      <c r="J36" s="482"/>
    </row>
    <row r="37" spans="1:10" ht="15.75">
      <c r="A37" s="445">
        <v>14</v>
      </c>
      <c r="B37" s="23" t="s">
        <v>539</v>
      </c>
      <c r="C37" s="23"/>
      <c r="D37" s="776">
        <f>D35/3</f>
        <v>851893.95166666654</v>
      </c>
      <c r="E37" s="685"/>
      <c r="F37" s="780"/>
    </row>
    <row r="38" spans="1:10" ht="19.5" customHeight="1">
      <c r="A38" s="28"/>
      <c r="B38" s="28"/>
      <c r="C38" s="28"/>
      <c r="D38" s="28"/>
      <c r="E38" s="480"/>
      <c r="F38" s="480"/>
      <c r="G38" s="480"/>
    </row>
    <row r="39" spans="1:10" ht="15">
      <c r="A39" s="28"/>
      <c r="B39" s="18"/>
      <c r="C39" s="18"/>
      <c r="D39" s="28"/>
      <c r="E39" s="480"/>
      <c r="F39" s="480"/>
      <c r="G39" s="480"/>
    </row>
    <row r="40" spans="1:10" ht="15">
      <c r="A40" s="28"/>
      <c r="B40" s="605" t="s">
        <v>390</v>
      </c>
      <c r="C40" s="606"/>
      <c r="D40" s="606"/>
      <c r="E40" s="606"/>
    </row>
    <row r="41" spans="1:10" ht="15">
      <c r="A41" s="543"/>
      <c r="B41" s="607" t="str">
        <f>CONCATENATE("(1) To ",EKPC!J1,", Page 3 of 5, Line 5")</f>
        <v>(1) To Attachment H-24A, Page 3 of 5, Line 5</v>
      </c>
      <c r="C41" s="543"/>
      <c r="D41" s="543"/>
      <c r="E41" s="543"/>
      <c r="F41" s="482"/>
    </row>
    <row r="42" spans="1:10" ht="15.75">
      <c r="A42" s="543"/>
      <c r="B42" s="608" t="s">
        <v>558</v>
      </c>
      <c r="C42" s="543"/>
      <c r="D42" s="609"/>
      <c r="E42" s="543"/>
      <c r="F42" s="482"/>
    </row>
    <row r="43" spans="1:10" ht="28.5" customHeight="1">
      <c r="A43" s="543"/>
      <c r="B43" s="836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3" s="836"/>
      <c r="D43" s="836"/>
      <c r="E43" s="836"/>
      <c r="F43" s="482"/>
    </row>
    <row r="44" spans="1:10" ht="15">
      <c r="A44" s="543"/>
      <c r="B44" s="543" t="s">
        <v>559</v>
      </c>
      <c r="C44" s="543"/>
      <c r="D44" s="543"/>
      <c r="E44" s="543"/>
      <c r="F44" s="482"/>
    </row>
    <row r="45" spans="1:10">
      <c r="A45" s="482"/>
      <c r="B45" s="482"/>
      <c r="C45" s="482"/>
      <c r="D45" s="482"/>
      <c r="E45" s="482"/>
      <c r="F45" s="482"/>
    </row>
    <row r="46" spans="1:10">
      <c r="A46" s="482"/>
      <c r="B46" s="482"/>
      <c r="C46" s="482"/>
      <c r="D46" s="482"/>
      <c r="E46" s="482"/>
      <c r="F46" s="482"/>
    </row>
    <row r="47" spans="1:10">
      <c r="A47" s="482"/>
      <c r="B47" s="482"/>
      <c r="C47" s="482"/>
      <c r="D47" s="482"/>
      <c r="E47" s="482"/>
      <c r="F47" s="482"/>
    </row>
  </sheetData>
  <mergeCells count="4">
    <mergeCell ref="B6:E6"/>
    <mergeCell ref="B7:E7"/>
    <mergeCell ref="B9:E9"/>
    <mergeCell ref="B43:E43"/>
  </mergeCells>
  <phoneticPr fontId="20" type="noConversion"/>
  <pageMargins left="1" right="1" top="1" bottom="0.5" header="0.5" footer="0.5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32</vt:i4>
      </vt:variant>
    </vt:vector>
  </HeadingPairs>
  <TitlesOfParts>
    <vt:vector size="46" baseType="lpstr">
      <vt:lpstr>EKPC</vt:lpstr>
      <vt:lpstr>KU Sched 1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'KU Sched 1'!Print_Area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2014-05-16T16:44:46Z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