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4500" yWindow="96" windowWidth="15576" windowHeight="8640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Adj'!$B$1:$D$39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1A'!$A$1:$H$46</definedName>
    <definedName name="_xlnm.Print_Area" localSheetId="2">'Appx B - RTEP'!$K$47:$X$98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Adj'!$A$1:$K$44</definedName>
    <definedName name="_xlnm.Print_Area" localSheetId="8">'Pg 4 of 8 Sch 1 Charges 561'!$A$1:$J$46</definedName>
    <definedName name="_xlnm.Print_Area" localSheetId="9">'Pg 5 of 8 Trans Plant In OATT'!$A$1:$L$25</definedName>
    <definedName name="_xlnm.Print_Area" localSheetId="10">'Pg 6 of 8 Rev Cred Support'!$A$1:$U$54</definedName>
    <definedName name="_xlnm.Print_Area" localSheetId="11">'Pg 7 of 8 Cap Str'!$A$1:$G$35</definedName>
    <definedName name="_xlnm.Print_Area" localSheetId="12">'Pg 8 of 8 Peak Load'!$A$1:$P$32</definedName>
    <definedName name="SCH_1A">'Appx A - Sch 1A'!$A$1:$H$46</definedName>
  </definedNames>
  <calcPr calcId="145621"/>
</workbook>
</file>

<file path=xl/calcChain.xml><?xml version="1.0" encoding="utf-8"?>
<calcChain xmlns="http://schemas.openxmlformats.org/spreadsheetml/2006/main">
  <c r="O12" i="67" l="1"/>
  <c r="P12" i="67" s="1"/>
  <c r="E19" i="68"/>
  <c r="D33" i="19" l="1"/>
  <c r="D31" i="19"/>
  <c r="E219" i="1" l="1"/>
  <c r="E83" i="1"/>
  <c r="E78" i="1"/>
  <c r="G33" i="50"/>
  <c r="D33" i="9" l="1"/>
  <c r="D24" i="9"/>
  <c r="E34" i="20"/>
  <c r="E31" i="20"/>
  <c r="D32" i="19" l="1"/>
  <c r="E21" i="68" l="1"/>
  <c r="D30" i="19" l="1"/>
  <c r="E52" i="68" l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B43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5" i="19"/>
  <c r="D37" i="19" s="1"/>
  <c r="C48" i="41" l="1"/>
  <c r="C47" i="41"/>
  <c r="B25" i="37" l="1"/>
  <c r="B28" i="9"/>
  <c r="B19" i="9"/>
  <c r="B41" i="19"/>
  <c r="C57" i="68"/>
  <c r="C27" i="68"/>
  <c r="C28" i="68"/>
  <c r="E142" i="1" l="1"/>
  <c r="J142" i="1" s="1"/>
  <c r="A268" i="1" l="1"/>
  <c r="A270" i="1"/>
  <c r="C302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C303" i="1"/>
  <c r="B35" i="26"/>
  <c r="E48" i="68" l="1"/>
  <c r="E50" i="68" s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C47" i="68" l="1"/>
  <c r="C17" i="68"/>
  <c r="D29" i="50"/>
  <c r="D27" i="50" l="1"/>
  <c r="C18" i="68"/>
  <c r="C49" i="68"/>
  <c r="C46" i="68"/>
  <c r="C19" i="68"/>
  <c r="C16" i="68"/>
  <c r="J236" i="1" l="1"/>
  <c r="C24" i="26"/>
  <c r="C26" i="26" s="1"/>
  <c r="P1" i="67"/>
  <c r="J235" i="1" l="1"/>
  <c r="E241" i="1" s="1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10" i="67" l="1"/>
  <c r="C16" i="66"/>
  <c r="E15" i="66" s="1"/>
  <c r="G15" i="66" s="1"/>
  <c r="P10" i="67" l="1"/>
  <c r="E14" i="66"/>
  <c r="G14" i="66" s="1"/>
  <c r="I16" i="66" s="1"/>
  <c r="E111" i="1" s="1"/>
  <c r="E13" i="66"/>
  <c r="G13" i="66" s="1"/>
  <c r="O14" i="67" l="1"/>
  <c r="E16" i="66"/>
  <c r="J31" i="1"/>
  <c r="P14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3" i="1" l="1"/>
  <c r="F241" i="1" s="1"/>
  <c r="H241" i="1" l="1"/>
  <c r="J241" i="1" s="1"/>
  <c r="E167" i="1" s="1"/>
  <c r="F242" i="1"/>
  <c r="H242" i="1" l="1"/>
  <c r="J242" i="1" s="1"/>
  <c r="J243" i="1" s="1"/>
  <c r="J245" i="1" s="1"/>
  <c r="D37" i="9" l="1"/>
  <c r="D42" i="9" s="1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6" i="19" s="1"/>
  <c r="E141" i="1" s="1"/>
  <c r="E145" i="1" l="1"/>
  <c r="E110" i="1" s="1"/>
  <c r="E113" i="1" s="1"/>
  <c r="E115" i="1" s="1"/>
  <c r="E176" i="1" s="1"/>
  <c r="J141" i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H86" i="1" l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18" i="68"/>
  <c r="E20" i="68" s="1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<sst xmlns="http://schemas.openxmlformats.org/spreadsheetml/2006/main" count="837" uniqueCount="600">
  <si>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</si>
  <si>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</si>
  <si>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</si>
  <si>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</si>
  <si>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</si>
  <si>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</si>
  <si>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</si>
  <si>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</si>
  <si>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</si>
  <si>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</si>
  <si>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</si>
  <si>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</si>
  <si>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</si>
  <si>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</si>
  <si>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</si>
  <si>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</si>
  <si>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</si>
  <si>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</si>
  <si>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</si>
  <si>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</si>
  <si>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</si>
  <si>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</si>
  <si>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</si>
  <si>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</si>
  <si>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</si>
  <si>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</si>
  <si>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</si>
  <si>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</si>
  <si>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</si>
  <si>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</si>
  <si>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</si>
  <si>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</si>
  <si>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</si>
  <si>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</si>
  <si>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</si>
  <si>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</si>
  <si>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</si>
  <si>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</si>
  <si>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</si>
  <si>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</si>
  <si>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</si>
  <si>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</si>
  <si>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</si>
  <si>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</si>
  <si>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</si>
  <si>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</si>
  <si>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</si>
  <si>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</si>
  <si>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</si>
  <si>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</si>
  <si>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</si>
  <si>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</si>
  <si>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</si>
  <si>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</si>
  <si>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</si>
  <si>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</si>
  <si>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</si>
  <si>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</si>
  <si>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</si>
  <si>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</si>
  <si>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</si>
  <si>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</si>
  <si>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</si>
  <si>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</si>
  <si>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</si>
  <si>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</si>
  <si>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</si>
  <si>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</si>
  <si>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</si>
  <si>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</si>
  <si>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</si>
  <si>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</si>
  <si>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</si>
  <si>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</si>
  <si>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</si>
  <si>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</si>
  <si>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</si>
  <si>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</si>
  <si>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</si>
  <si>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</si>
  <si>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</si>
  <si>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</si>
  <si>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</si>
  <si>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</si>
  <si>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</si>
  <si>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</si>
  <si>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</si>
  <si>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</si>
  <si>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</si>
  <si>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</si>
  <si>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</si>
  <si>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</si>
  <si>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</si>
  <si>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</si>
  <si>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</si>
  <si>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</si>
  <si>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</si>
  <si>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</si>
  <si>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</si>
  <si>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</si>
  <si>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</si>
  <si>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</si>
  <si>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</si>
  <si>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</si>
  <si>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</si>
  <si>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</si>
  <si>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</si>
  <si>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</si>
  <si>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</si>
  <si>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</si>
  <si>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</si>
  <si>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</si>
  <si>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</si>
  <si>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</si>
  <si>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</si>
  <si>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</si>
  <si>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</si>
  <si>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</si>
  <si>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</si>
  <si>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</si>
  <si>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</si>
  <si>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</si>
  <si>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</si>
  <si>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</si>
  <si>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</si>
  <si>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</si>
  <si>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</si>
  <si>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</si>
  <si>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</si>
  <si>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</si>
  <si>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</si>
  <si>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</si>
  <si>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</si>
  <si>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</si>
  <si>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</si>
  <si>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</si>
  <si>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</si>
  <si>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</si>
  <si>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</si>
  <si>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</si>
  <si>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</si>
  <si>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</si>
  <si>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</si>
  <si>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</si>
  <si>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</si>
  <si>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</si>
  <si>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</si>
  <si>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</si>
  <si>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</si>
  <si>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</si>
  <si>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</si>
  <si>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</si>
  <si>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</si>
  <si>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</si>
  <si>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</si>
  <si>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</si>
  <si>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</si>
  <si>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</si>
  <si>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</si>
  <si>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</si>
  <si>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</si>
  <si>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</si>
  <si>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</si>
  <si>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</si>
  <si>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</si>
  <si>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</si>
  <si>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</si>
  <si>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</si>
  <si>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</si>
  <si>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</si>
  <si>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</si>
  <si>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</si>
  <si>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</si>
  <si>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</si>
  <si>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</si>
  <si>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</si>
  <si>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</si>
  <si>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</si>
  <si>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</si>
  <si>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</si>
  <si>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</si>
  <si>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</si>
  <si>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</si>
  <si>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</si>
  <si>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</si>
  <si>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</si>
  <si>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</si>
  <si>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</si>
  <si>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</si>
  <si>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</si>
  <si>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</si>
  <si>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</si>
  <si>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</si>
  <si>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</si>
  <si>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</si>
  <si>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</si>
  <si>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</si>
  <si>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</si>
  <si>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</si>
  <si>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</si>
  <si>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</si>
  <si>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</si>
  <si>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</si>
  <si>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</si>
  <si>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</si>
  <si>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</si>
  <si>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</si>
  <si>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</si>
  <si>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</si>
  <si>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</si>
  <si>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</si>
  <si>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</si>
  <si>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</si>
  <si>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</si>
  <si>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</si>
  <si>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</si>
  <si>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</si>
  <si>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</si>
  <si>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</si>
  <si>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</si>
  <si>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</si>
  <si>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</si>
  <si>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</si>
  <si>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</si>
  <si>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</si>
  <si>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</si>
  <si>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</si>
  <si>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</si>
  <si>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</si>
  <si>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</si>
  <si>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</si>
  <si>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</si>
  <si>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</si>
  <si>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</si>
  <si>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</si>
  <si>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</si>
  <si>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</si>
  <si>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</si>
  <si>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</si>
  <si>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</si>
  <si>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</si>
  <si>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</si>
  <si>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</si>
  <si>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</si>
  <si>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</si>
  <si>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</si>
  <si>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</si>
  <si>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</si>
  <si>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</si>
  <si>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</si>
  <si>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</si>
  <si>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</si>
  <si>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</si>
  <si>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</si>
  <si>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</si>
  <si>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</si>
  <si>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</si>
  <si>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</si>
  <si>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</si>
  <si>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</si>
  <si>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</si>
  <si>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</si>
  <si>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</si>
  <si>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</si>
  <si>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</si>
  <si>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</si>
  <si>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</si>
  <si>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</si>
  <si>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</si>
  <si>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</si>
  <si>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</si>
  <si>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</si>
  <si>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</si>
  <si>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</si>
  <si>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</si>
  <si>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</si>
  <si>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</si>
  <si>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</si>
  <si>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</si>
  <si>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</si>
  <si>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</si>
  <si>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</si>
  <si>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</si>
  <si>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</si>
  <si>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</si>
  <si>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</si>
  <si>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</si>
  <si>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</si>
  <si>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</si>
  <si>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</si>
  <si>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</si>
  <si>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</si>
  <si>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</si>
  <si>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</si>
  <si>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</si>
  <si>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</si>
  <si>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</si>
  <si>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</si>
  <si>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</si>
  <si>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</si>
  <si>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</si>
  <si>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</si>
  <si>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</si>
  <si>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</si>
  <si>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</si>
  <si>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</si>
  <si>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</si>
  <si>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</si>
  <si>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</si>
  <si>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</si>
  <si>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</si>
  <si>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</si>
  <si>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</si>
  <si>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</si>
  <si>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</si>
  <si>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</si>
  <si>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</si>
  <si>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</si>
  <si>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</si>
  <si>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</si>
  <si>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</si>
  <si>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</si>
  <si>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</si>
  <si>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</si>
  <si>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</si>
  <si>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</si>
  <si>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</si>
  <si>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</si>
  <si>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</si>
  <si>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</si>
  <si>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</si>
  <si>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</si>
  <si>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</si>
  <si>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</si>
  <si>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</si>
  <si>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</si>
  <si>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</si>
  <si>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</si>
  <si>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</si>
  <si>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</si>
  <si>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</si>
  <si>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</si>
  <si>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</si>
  <si>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</si>
  <si>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</si>
  <si>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</si>
  <si>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</si>
  <si>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</si>
  <si>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</si>
  <si>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</si>
  <si>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</si>
  <si>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</si>
  <si>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</si>
  <si>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</si>
  <si>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Total EKPC Monthly Transmission System Peak Load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</si>
  <si>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</si>
  <si>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</si>
  <si>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</si>
  <si>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</si>
  <si>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</si>
  <si>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</si>
  <si>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</si>
  <si>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</si>
  <si>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</si>
  <si>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</si>
  <si>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</si>
  <si>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</si>
  <si>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</si>
  <si>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</si>
  <si>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</si>
  <si>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</si>
  <si>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</si>
  <si>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</si>
  <si>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</si>
  <si>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</si>
  <si>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</si>
  <si>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</si>
  <si>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</si>
  <si>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</si>
  <si>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</si>
  <si>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</si>
  <si>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</si>
  <si>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</si>
  <si>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</si>
  <si>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</si>
  <si>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</si>
  <si>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>Reconciliation Adjustment for Transmission Revenue Requirements</t>
  </si>
  <si>
    <t>Reconciliation Adjustment for Schedule 1A Charges</t>
  </si>
  <si>
    <t>(6)</t>
  </si>
  <si>
    <t>(7)</t>
  </si>
  <si>
    <t>(8)</t>
  </si>
  <si>
    <t>6a</t>
  </si>
  <si>
    <t>(line 1 minus line 6 plus line 6a)</t>
  </si>
  <si>
    <t>Number of Months being Trued Up</t>
  </si>
  <si>
    <t xml:space="preserve"> Monthly Interest Rate--Final FERC rate (4)</t>
  </si>
  <si>
    <t xml:space="preserve">ACCOUNT 447 (BUNDLED SALES FOR RESALE) </t>
  </si>
  <si>
    <t>Proprietary Capital (Note 3)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</si>
  <si>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</si>
  <si>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</si>
  <si>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</si>
  <si>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</si>
  <si>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</si>
  <si>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</si>
  <si>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</si>
  <si>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</si>
  <si>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</si>
  <si>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</si>
  <si>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</si>
  <si>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</si>
  <si>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</si>
  <si>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</si>
  <si>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</si>
  <si>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</si>
  <si>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</si>
  <si>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 xml:space="preserve">True Up Principal &amp; Interest Under(Over) Recovery--Preliminary  (5)                   (Line 9 + Line 15) </t>
  </si>
  <si>
    <t xml:space="preserve">True-Up Principal Under(Over) Recovery before Interest                                   (Line 10 - Line 11 ) </t>
  </si>
  <si>
    <t>True-Up Principal Under(Over) Recovery before Interest                                    (Line 12 - Line 13)</t>
  </si>
  <si>
    <t xml:space="preserve">True Up Principal &amp; Interest Under(Over) Recovery--Preliminary  (10)                 (Line 9 + Line 15) 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</si>
  <si>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</si>
  <si>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</si>
  <si>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</si>
  <si>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</si>
  <si>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</si>
  <si>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</si>
  <si>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</si>
  <si>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</si>
  <si>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</si>
  <si>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</si>
  <si>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</si>
  <si>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</si>
  <si>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</si>
  <si>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</si>
  <si>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</si>
  <si>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</si>
  <si>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</si>
  <si>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</si>
  <si>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</si>
  <si>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</si>
  <si>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</si>
  <si>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</si>
  <si>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</si>
  <si>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</si>
  <si>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</si>
  <si>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</si>
  <si>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</si>
  <si>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</si>
  <si>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</si>
  <si>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</si>
  <si>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</si>
  <si>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</si>
  <si>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</si>
  <si>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</si>
  <si>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</si>
  <si>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</si>
  <si>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</si>
  <si>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</si>
  <si>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</si>
  <si>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</si>
  <si>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</si>
  <si>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</si>
  <si>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</si>
  <si>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</si>
  <si>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</si>
  <si>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</si>
  <si>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</si>
  <si>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</si>
  <si>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</si>
  <si>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</si>
  <si>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</si>
  <si>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</si>
  <si>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</si>
  <si>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</si>
  <si>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</si>
  <si>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</si>
  <si>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</si>
  <si>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</si>
  <si>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</si>
  <si>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</si>
  <si>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</si>
  <si>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</si>
  <si>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</si>
  <si>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</si>
  <si>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</si>
  <si>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</si>
  <si>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</si>
  <si>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</si>
  <si>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</si>
  <si>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</si>
  <si>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</si>
  <si>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</si>
  <si>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</si>
  <si>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</si>
  <si>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</si>
  <si>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</si>
  <si>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</si>
  <si>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</si>
  <si>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</si>
  <si>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</si>
  <si>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</si>
  <si>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</si>
  <si>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</si>
  <si>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</si>
  <si>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</si>
  <si>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</si>
  <si>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</si>
  <si>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</si>
  <si>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</si>
  <si>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</si>
  <si>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</si>
  <si>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</si>
  <si>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</si>
  <si>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</si>
  <si>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</si>
  <si>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</si>
  <si>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</si>
  <si>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</si>
  <si>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</si>
  <si>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</si>
  <si>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</si>
  <si>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</si>
  <si>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</si>
  <si>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</si>
  <si>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</si>
  <si>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</si>
  <si>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</si>
  <si>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>True-Up Principal Under(Over) Recovery before Interest                                         (Line 3 - Line 4)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</si>
  <si>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</si>
  <si>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</si>
  <si>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</si>
  <si>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</si>
  <si>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</si>
  <si>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</si>
  <si>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</si>
  <si>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</si>
  <si>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</si>
  <si>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</si>
  <si>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</si>
  <si>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</si>
  <si>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Interest                                                                                                        (Line 5 x Line 6 x Line 7)</t>
  </si>
  <si>
    <t>(2) Regulatory fees from Kentucky Public Service Commission,  EKPC Form FF1, Ref Pg 321, Account 928</t>
  </si>
  <si>
    <t>(4) Represents direct costs associated with EKPC's integration into PJM (transmission-related only) with three year amortization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</si>
  <si>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</si>
  <si>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</si>
  <si>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</si>
  <si>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</si>
  <si>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</si>
  <si>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</si>
  <si>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</si>
  <si>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</si>
  <si>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</si>
  <si>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</si>
  <si>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</si>
  <si>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</si>
  <si>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</si>
  <si>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</si>
  <si>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</si>
  <si>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</si>
  <si>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</si>
  <si>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</si>
  <si>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</si>
  <si>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</si>
  <si>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</si>
  <si>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</si>
  <si>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</si>
  <si>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</si>
  <si>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</si>
  <si>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</si>
  <si>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</si>
  <si>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</si>
  <si>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</si>
  <si>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</si>
  <si>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</si>
  <si>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</si>
  <si>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</si>
  <si>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</si>
  <si>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</si>
  <si>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</si>
  <si>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</si>
  <si>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</si>
  <si>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</si>
  <si>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</si>
  <si>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</si>
  <si>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</si>
  <si>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</si>
  <si>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</si>
  <si>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</si>
  <si>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</si>
  <si>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(1)  Rent from KU for joint use of Rights of Way, Ref Pg 300, Page 2 of 2 (Acct 456) </t>
  </si>
  <si>
    <t xml:space="preserve">Less:  AEP Revenue from retained legacy agreement </t>
  </si>
  <si>
    <t>For the 12 months ended 12/31/2013</t>
  </si>
  <si>
    <t xml:space="preserve"> (1) Costs related to BA activities not included in Schedule 1 Costs</t>
  </si>
  <si>
    <r>
      <t xml:space="preserve">Total Balancing Authority Costs </t>
    </r>
    <r>
      <rPr>
        <b/>
        <sz val="12"/>
        <color rgb="FFFF0000"/>
        <rFont val="Arial"/>
        <family val="2"/>
      </rPr>
      <t>(561.BA)</t>
    </r>
    <r>
      <rPr>
        <sz val="12"/>
        <color rgb="FFFF0000"/>
        <rFont val="Arial"/>
        <family val="2"/>
      </rPr>
      <t xml:space="preserve"> in Adj Transmission Exp</t>
    </r>
  </si>
  <si>
    <t xml:space="preserve"> (1) Reflects the system peak demand (coincident peak) during a 60-minute clock hour.  January 2014 and February 2014 information is sourced from the MV90 system; March 2014-December 2014 information is sourced from EKPC's forecasted demand.</t>
  </si>
  <si>
    <t>EKPC Form FF1 for 2013, Ref Pg 112, Row 23 Bal at End of Year</t>
  </si>
  <si>
    <t xml:space="preserve">EKPC Form FF1 for 2013, Ref Pg 112, Row 15, EOY Balance </t>
  </si>
  <si>
    <t>For the 12 months ended 12/31/2014</t>
  </si>
  <si>
    <t>Utilizing EKPC 2014 Form FF1 Data</t>
  </si>
  <si>
    <t>2014 Requirements Sales for Resale</t>
  </si>
  <si>
    <t>For Rates Effective January 1, 2014</t>
  </si>
  <si>
    <t>Total EKPC Firm Transmission for Others Subtotal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</si>
</sst>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0000FF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 val="singleAccounting"/>
      <sz val="12"/>
      <color rgb="FF0000FF"/>
      <name val="Arial"/>
      <family val="2"/>
    </font>
    <font>
      <u val="doubleAccounting"/>
      <sz val="12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8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3" fillId="0" borderId="0"/>
    <xf numFmtId="43" fontId="104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5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5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42" fontId="6" fillId="13" borderId="2" xfId="0" applyNumberFormat="1" applyFont="1" applyFill="1" applyBorder="1" applyAlignment="1" applyProtection="1">
      <alignment horizontal="right"/>
      <protection locked="0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173" fontId="0" fillId="0" borderId="8" xfId="0" applyBorder="1" applyAlignment="1"/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6" fillId="0" borderId="0" xfId="0" applyNumberFormat="1" applyFont="1"/>
    <xf numFmtId="0" fontId="106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0" xfId="0" applyBorder="1" applyAlignment="1"/>
    <xf numFmtId="173" fontId="0" fillId="0" borderId="6" xfId="0" applyBorder="1" applyAlignment="1" applyProtection="1">
      <protection hidden="1"/>
    </xf>
    <xf numFmtId="173" fontId="0" fillId="0" borderId="6" xfId="0" applyBorder="1" applyAlignment="1"/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20" xfId="0" applyBorder="1" applyAlignment="1"/>
    <xf numFmtId="173" fontId="0" fillId="0" borderId="3" xfId="0" quotePrefix="1" applyBorder="1" applyAlignment="1" applyProtection="1">
      <protection hidden="1"/>
    </xf>
    <xf numFmtId="173" fontId="0" fillId="0" borderId="4" xfId="0" applyBorder="1" applyAlignment="1"/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173" fontId="0" fillId="0" borderId="21" xfId="0" applyBorder="1" applyAlignment="1"/>
    <xf numFmtId="173" fontId="107" fillId="0" borderId="0" xfId="0" applyFont="1" applyAlignment="1"/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9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10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11" fillId="0" borderId="0" xfId="0" applyNumberFormat="1" applyFont="1" applyFill="1" applyAlignment="1"/>
    <xf numFmtId="3" fontId="111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2" fillId="0" borderId="0" xfId="325" applyFont="1" applyFill="1" applyAlignment="1">
      <alignment horizontal="center"/>
    </xf>
    <xf numFmtId="1" fontId="112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14" fontId="0" fillId="0" borderId="3" xfId="0" applyNumberFormat="1" applyBorder="1" applyAlignment="1"/>
    <xf numFmtId="0" fontId="113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0" fillId="0" borderId="3" xfId="0" applyBorder="1" applyAlignment="1"/>
    <xf numFmtId="1" fontId="0" fillId="0" borderId="0" xfId="0" applyNumberFormat="1" applyBorder="1" applyAlignment="1">
      <alignment horizontal="center"/>
    </xf>
    <xf numFmtId="0" fontId="96" fillId="0" borderId="0" xfId="7" applyFont="1" applyFill="1"/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7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10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3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4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4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5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3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0" xfId="0" applyNumberFormat="1" applyFont="1" applyFill="1" applyAlignment="1">
      <alignment wrapText="1"/>
    </xf>
    <xf numFmtId="173" fontId="6" fillId="0" borderId="8" xfId="0" applyFont="1" applyFill="1" applyBorder="1" applyAlignment="1"/>
    <xf numFmtId="0" fontId="113" fillId="0" borderId="0" xfId="329" applyFont="1"/>
    <xf numFmtId="0" fontId="113" fillId="0" borderId="0" xfId="329" applyFont="1" applyFill="1"/>
    <xf numFmtId="0" fontId="113" fillId="0" borderId="0" xfId="329" applyFont="1" applyAlignment="1">
      <alignment horizontal="center"/>
    </xf>
    <xf numFmtId="0" fontId="113" fillId="0" borderId="0" xfId="329" applyFont="1" applyFill="1" applyAlignment="1">
      <alignment horizontal="center"/>
    </xf>
    <xf numFmtId="0" fontId="116" fillId="0" borderId="0" xfId="329" applyFont="1" applyAlignment="1">
      <alignment horizontal="center"/>
    </xf>
    <xf numFmtId="0" fontId="116" fillId="0" borderId="0" xfId="329" applyFont="1" applyFill="1" applyAlignment="1">
      <alignment horizontal="center"/>
    </xf>
    <xf numFmtId="0" fontId="113" fillId="0" borderId="0" xfId="329" quotePrefix="1" applyFont="1" applyFill="1" applyAlignment="1">
      <alignment horizontal="center"/>
    </xf>
    <xf numFmtId="0" fontId="117" fillId="0" borderId="0" xfId="329" applyFont="1" applyAlignment="1">
      <alignment horizontal="centerContinuous"/>
    </xf>
    <xf numFmtId="2" fontId="113" fillId="0" borderId="0" xfId="329" applyNumberFormat="1" applyFont="1" applyFill="1"/>
    <xf numFmtId="276" fontId="113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0" fontId="6" fillId="0" borderId="0" xfId="8" quotePrefix="1" applyFont="1" applyFill="1"/>
    <xf numFmtId="0" fontId="6" fillId="0" borderId="0" xfId="8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4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32" fillId="0" borderId="0" xfId="12" applyNumberFormat="1" applyFont="1" applyFill="1" applyBorder="1" applyAlignment="1"/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6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175" fontId="6" fillId="0" borderId="0" xfId="7" applyNumberFormat="1" applyFont="1" applyFill="1" applyBorder="1"/>
    <xf numFmtId="173" fontId="109" fillId="0" borderId="0" xfId="0" applyFont="1" applyFill="1" applyAlignment="1"/>
    <xf numFmtId="0" fontId="119" fillId="0" borderId="0" xfId="6" applyFont="1"/>
    <xf numFmtId="0" fontId="119" fillId="0" borderId="0" xfId="6" applyFont="1" applyFill="1"/>
    <xf numFmtId="0" fontId="98" fillId="0" borderId="0" xfId="7" applyFont="1" applyFill="1" applyAlignment="1">
      <alignment horizontal="left" vertical="center"/>
    </xf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4" fontId="120" fillId="0" borderId="0" xfId="89" applyNumberFormat="1" applyFont="1" applyFill="1" applyAlignment="1"/>
    <xf numFmtId="174" fontId="120" fillId="0" borderId="0" xfId="1" applyNumberFormat="1" applyFont="1" applyFill="1" applyAlignment="1"/>
    <xf numFmtId="174" fontId="120" fillId="0" borderId="0" xfId="1" quotePrefix="1" applyNumberFormat="1" applyFont="1" applyFill="1" applyAlignment="1">
      <alignment horizontal="center"/>
    </xf>
    <xf numFmtId="42" fontId="32" fillId="0" borderId="0" xfId="7" applyNumberFormat="1" applyFont="1" applyFill="1"/>
    <xf numFmtId="175" fontId="32" fillId="0" borderId="0" xfId="12" applyNumberFormat="1" applyFont="1" applyFill="1" applyBorder="1" applyAlignment="1">
      <alignment horizontal="right"/>
    </xf>
    <xf numFmtId="42" fontId="32" fillId="0" borderId="0" xfId="0" applyNumberFormat="1" applyFont="1" applyFill="1" applyBorder="1" applyAlignment="1"/>
    <xf numFmtId="174" fontId="32" fillId="0" borderId="2" xfId="1" applyNumberFormat="1" applyFont="1" applyFill="1" applyBorder="1" applyProtection="1">
      <protection locked="0"/>
    </xf>
    <xf numFmtId="175" fontId="6" fillId="0" borderId="0" xfId="12" applyNumberFormat="1" applyFont="1" applyFill="1" applyProtection="1">
      <protection locked="0"/>
    </xf>
    <xf numFmtId="42" fontId="32" fillId="0" borderId="0" xfId="7" applyNumberFormat="1" applyFont="1" applyFill="1" applyBorder="1"/>
    <xf numFmtId="41" fontId="32" fillId="0" borderId="0" xfId="7" applyNumberFormat="1" applyFont="1" applyFill="1"/>
    <xf numFmtId="41" fontId="121" fillId="0" borderId="0" xfId="7" applyNumberFormat="1" applyFont="1" applyFill="1"/>
    <xf numFmtId="174" fontId="121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41" fontId="121" fillId="0" borderId="0" xfId="6" applyNumberFormat="1" applyFont="1" applyFill="1"/>
    <xf numFmtId="42" fontId="122" fillId="0" borderId="0" xfId="6" applyNumberFormat="1" applyFont="1" applyFill="1" applyAlignment="1">
      <alignment vertical="center"/>
    </xf>
    <xf numFmtId="42" fontId="32" fillId="0" borderId="6" xfId="7" applyNumberFormat="1" applyFont="1" applyFill="1" applyBorder="1"/>
    <xf numFmtId="175" fontId="32" fillId="0" borderId="0" xfId="327" applyNumberFormat="1" applyFont="1" applyFill="1"/>
    <xf numFmtId="278" fontId="32" fillId="0" borderId="0" xfId="325" applyNumberFormat="1" applyFont="1" applyFill="1" applyBorder="1" applyAlignment="1" applyProtection="1">
      <protection locked="0"/>
    </xf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42" fontId="32" fillId="0" borderId="0" xfId="0" applyNumberFormat="1" applyFont="1" applyFill="1" applyAlignment="1"/>
    <xf numFmtId="37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44" fontId="32" fillId="0" borderId="0" xfId="327" applyFont="1" applyFill="1" applyBorder="1" applyProtection="1">
      <protection locked="0"/>
    </xf>
    <xf numFmtId="37" fontId="32" fillId="0" borderId="6" xfId="0" applyNumberFormat="1" applyFont="1" applyFill="1" applyBorder="1" applyProtection="1"/>
    <xf numFmtId="276" fontId="32" fillId="0" borderId="0" xfId="1" applyNumberFormat="1" applyFont="1" applyFill="1"/>
    <xf numFmtId="276" fontId="32" fillId="0" borderId="0" xfId="1" applyNumberFormat="1" applyFont="1" applyFill="1" applyAlignment="1">
      <alignment horizontal="centerContinuous"/>
    </xf>
    <xf numFmtId="276" fontId="32" fillId="0" borderId="0" xfId="1" applyNumberFormat="1" applyFont="1" applyFill="1" applyAlignment="1">
      <alignment horizontal="right"/>
    </xf>
    <xf numFmtId="0" fontId="113" fillId="0" borderId="0" xfId="329" applyFont="1" applyFill="1" applyAlignment="1">
      <alignment horizontal="left"/>
    </xf>
    <xf numFmtId="164" fontId="32" fillId="0" borderId="0" xfId="372" applyNumberFormat="1" applyFont="1" applyFill="1" applyAlignment="1"/>
    <xf numFmtId="277" fontId="32" fillId="0" borderId="0" xfId="0" applyNumberFormat="1" applyFont="1" applyFill="1" applyAlignment="1"/>
    <xf numFmtId="277" fontId="32" fillId="0" borderId="0" xfId="0" applyNumberFormat="1" applyFont="1" applyFill="1" applyAlignment="1">
      <alignment vertical="center"/>
    </xf>
    <xf numFmtId="173" fontId="32" fillId="0" borderId="0" xfId="0" applyFont="1" applyFill="1" applyAlignment="1"/>
    <xf numFmtId="277" fontId="32" fillId="0" borderId="0" xfId="327" applyNumberFormat="1" applyFont="1" applyFill="1" applyAlignment="1"/>
    <xf numFmtId="174" fontId="32" fillId="0" borderId="0" xfId="13" applyNumberFormat="1" applyFont="1" applyFill="1" applyBorder="1"/>
    <xf numFmtId="176" fontId="32" fillId="0" borderId="6" xfId="7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2" fillId="0" borderId="0" xfId="325" applyFont="1" applyFill="1" applyAlignment="1"/>
    <xf numFmtId="173" fontId="96" fillId="0" borderId="0" xfId="325" applyFont="1" applyFill="1" applyAlignment="1"/>
    <xf numFmtId="173" fontId="107" fillId="0" borderId="0" xfId="0" applyFont="1" applyFill="1" applyAlignment="1"/>
    <xf numFmtId="173" fontId="101" fillId="0" borderId="0" xfId="325" applyFont="1" applyFill="1" applyAlignment="1"/>
    <xf numFmtId="174" fontId="32" fillId="0" borderId="0" xfId="1" applyNumberFormat="1" applyFont="1" applyFill="1"/>
    <xf numFmtId="174" fontId="31" fillId="0" borderId="0" xfId="1" applyNumberFormat="1" applyFont="1" applyAlignment="1"/>
    <xf numFmtId="42" fontId="32" fillId="0" borderId="0" xfId="327" applyNumberFormat="1" applyFont="1" applyFill="1"/>
    <xf numFmtId="41" fontId="121" fillId="0" borderId="0" xfId="8" applyNumberFormat="1" applyFont="1" applyFill="1" applyBorder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43" fontId="6" fillId="0" borderId="0" xfId="1" applyFont="1" applyFill="1" applyBorder="1"/>
    <xf numFmtId="280" fontId="6" fillId="0" borderId="0" xfId="1" applyNumberFormat="1" applyFont="1" applyFill="1" applyBorder="1"/>
    <xf numFmtId="174" fontId="6" fillId="0" borderId="0" xfId="6" applyNumberFormat="1" applyFont="1" applyFill="1" applyBorder="1"/>
    <xf numFmtId="43" fontId="96" fillId="0" borderId="0" xfId="1" applyFont="1" applyFill="1" applyBorder="1"/>
    <xf numFmtId="0" fontId="101" fillId="0" borderId="0" xfId="6" applyFont="1" applyFill="1" applyBorder="1" applyAlignment="1">
      <alignment horizontal="left" vertical="center"/>
    </xf>
    <xf numFmtId="0" fontId="101" fillId="0" borderId="0" xfId="6" applyFont="1" applyFill="1" applyBorder="1"/>
    <xf numFmtId="174" fontId="12" fillId="0" borderId="6" xfId="89" applyNumberFormat="1" applyFont="1" applyFill="1" applyBorder="1" applyAlignment="1"/>
    <xf numFmtId="174" fontId="12" fillId="0" borderId="6" xfId="1" applyNumberFormat="1" applyFont="1" applyFill="1" applyBorder="1"/>
    <xf numFmtId="41" fontId="12" fillId="0" borderId="6" xfId="1" applyNumberFormat="1" applyFont="1" applyFill="1" applyBorder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wrapText="1"/>
    </xf>
    <xf numFmtId="173" fontId="0" fillId="0" borderId="0" xfId="0" applyAlignment="1">
      <alignment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113" fillId="0" borderId="6" xfId="329" applyFont="1" applyBorder="1" applyAlignment="1">
      <alignment horizontal="center"/>
    </xf>
    <xf numFmtId="49" fontId="113" fillId="0" borderId="0" xfId="329" applyNumberFormat="1" applyFont="1" applyAlignment="1">
      <alignment horizontal="center"/>
    </xf>
    <xf numFmtId="0" fontId="113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8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66FFFF"/>
      <color rgb="FFFF3300"/>
      <color rgb="FF00FF00"/>
      <color rgb="FFFFFF99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AC313"/>
  <sheetViews>
    <sheetView showGridLines="0" tabSelected="1" zoomScale="60" zoomScaleNormal="60" zoomScaleSheetLayoutView="70" workbookViewId="0">
      <selection activeCell="I42" sqref="I42"/>
    </sheetView>
  </sheetViews>
  <sheetFormatPr defaultColWidth="8.81640625" defaultRowHeight="15"/>
  <cols>
    <col min="1" max="1" width="6.1796875" style="191" bestFit="1" customWidth="1"/>
    <col min="2" max="2" width="1.453125" style="191" customWidth="1"/>
    <col min="3" max="3" width="62.81640625" style="191" customWidth="1"/>
    <col min="4" max="4" width="25.453125" style="191" customWidth="1"/>
    <col min="5" max="5" width="16.08984375" style="191" customWidth="1"/>
    <col min="6" max="6" width="12" style="191" customWidth="1"/>
    <col min="7" max="7" width="5.6328125" style="191" customWidth="1"/>
    <col min="8" max="8" width="10.6328125" style="191" customWidth="1"/>
    <col min="9" max="9" width="5.81640625" style="191" customWidth="1"/>
    <col min="10" max="10" width="16.36328125" style="191" customWidth="1"/>
    <col min="11" max="11" width="3.453125" style="191" customWidth="1"/>
    <col min="12" max="12" width="11.6328125" style="191" customWidth="1"/>
    <col min="13" max="13" width="1.90625" style="191" customWidth="1"/>
    <col min="14" max="14" width="16.6328125" style="191" customWidth="1"/>
    <col min="15" max="15" width="12.90625" style="191" customWidth="1"/>
    <col min="16" max="16" width="16.81640625" style="191" customWidth="1"/>
    <col min="17" max="17" width="20.81640625" style="191" customWidth="1"/>
    <col min="18" max="19" width="9.81640625" style="191" customWidth="1"/>
    <col min="20" max="16384" width="8.81640625" style="191"/>
  </cols>
  <sheetData>
    <row r="1" spans="1:16" ht="17.399999999999999">
      <c r="A1" s="190"/>
      <c r="C1" s="192"/>
      <c r="D1" s="192"/>
      <c r="E1" s="193"/>
      <c r="F1" s="192"/>
      <c r="G1" s="192"/>
      <c r="H1" s="192"/>
      <c r="I1" s="194"/>
      <c r="J1" s="507" t="s">
        <v>541</v>
      </c>
      <c r="K1" s="223"/>
      <c r="L1" s="570"/>
      <c r="M1" s="587"/>
      <c r="N1" s="575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411</v>
      </c>
      <c r="L2" s="570"/>
      <c r="M2" s="588"/>
      <c r="N2" s="575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70"/>
      <c r="M3" s="588"/>
      <c r="N3" s="575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70"/>
      <c r="M4" s="588"/>
      <c r="N4" s="575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70"/>
      <c r="M5" s="588"/>
      <c r="N5" s="575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70"/>
      <c r="M6" s="575"/>
      <c r="N6" s="575"/>
      <c r="O6" s="196"/>
      <c r="P6" s="196"/>
    </row>
    <row r="7" spans="1:16">
      <c r="C7" s="192" t="s">
        <v>4</v>
      </c>
      <c r="D7" s="192"/>
      <c r="E7" s="193"/>
      <c r="F7" s="192"/>
      <c r="G7" s="192"/>
      <c r="H7" s="192"/>
      <c r="I7" s="194"/>
      <c r="J7" s="587" t="s">
        <v>595</v>
      </c>
      <c r="K7" s="196"/>
      <c r="L7" s="570"/>
      <c r="M7" s="575"/>
      <c r="N7" s="575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82"/>
      <c r="M8" s="575"/>
      <c r="N8" s="575"/>
      <c r="O8" s="196"/>
      <c r="P8" s="196"/>
    </row>
    <row r="9" spans="1:16">
      <c r="A9" s="199" t="s">
        <v>596</v>
      </c>
      <c r="B9" s="197"/>
      <c r="C9" s="417"/>
      <c r="D9" s="418"/>
      <c r="E9" s="419"/>
      <c r="F9" s="418"/>
      <c r="G9" s="418"/>
      <c r="H9" s="418"/>
      <c r="I9" s="417"/>
      <c r="J9" s="417"/>
      <c r="K9" s="196"/>
      <c r="L9" s="567"/>
      <c r="M9" s="575"/>
      <c r="N9" s="575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67"/>
      <c r="M10" s="575"/>
      <c r="N10" s="575"/>
      <c r="O10" s="196"/>
      <c r="P10" s="196"/>
    </row>
    <row r="11" spans="1:16" ht="15.6">
      <c r="A11" s="475" t="s">
        <v>501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67"/>
      <c r="M11" s="575"/>
      <c r="N11" s="575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75"/>
      <c r="M12" s="575"/>
      <c r="N12" s="575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75"/>
      <c r="M13" s="575"/>
      <c r="N13" s="575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75"/>
      <c r="M14" s="575"/>
      <c r="N14" s="575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70262217.585867047</v>
      </c>
      <c r="K15" s="196"/>
      <c r="L15" s="575"/>
      <c r="M15" s="575"/>
      <c r="N15" s="575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75"/>
      <c r="M16" s="575"/>
      <c r="N16" s="575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75"/>
      <c r="M17" s="575"/>
      <c r="N17" s="575"/>
      <c r="O17" s="196"/>
      <c r="P17" s="196"/>
    </row>
    <row r="18" spans="1:17" ht="15.6" thickBot="1">
      <c r="A18" s="201" t="s">
        <v>5</v>
      </c>
      <c r="C18" s="208" t="s">
        <v>497</v>
      </c>
      <c r="D18" s="457" t="s">
        <v>469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75"/>
      <c r="M18" s="575"/>
      <c r="N18" s="575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143239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143239</v>
      </c>
      <c r="K19" s="196"/>
      <c r="L19" s="575"/>
      <c r="M19" s="575"/>
      <c r="N19" s="575"/>
      <c r="O19" s="196"/>
      <c r="P19" s="196"/>
    </row>
    <row r="20" spans="1:17">
      <c r="A20" s="201">
        <v>3</v>
      </c>
      <c r="C20" s="446" t="s">
        <v>498</v>
      </c>
      <c r="D20" s="210" t="s">
        <v>249</v>
      </c>
      <c r="E20" s="322">
        <f>J256</f>
        <v>204964.84999999916</v>
      </c>
      <c r="F20" s="213"/>
      <c r="G20" s="213" t="str">
        <f>G$19</f>
        <v>TP</v>
      </c>
      <c r="H20" s="214">
        <f t="shared" ref="H20:H22" si="0">J$202</f>
        <v>0.9759119815484194</v>
      </c>
      <c r="I20" s="213"/>
      <c r="J20" s="215">
        <f>H20*E20</f>
        <v>200027.65291127373</v>
      </c>
      <c r="K20" s="305"/>
      <c r="L20" s="575"/>
      <c r="M20" s="575"/>
      <c r="N20" s="575"/>
      <c r="O20" s="196"/>
      <c r="P20" s="196"/>
    </row>
    <row r="21" spans="1:17" ht="15.6">
      <c r="A21" s="319">
        <v>4</v>
      </c>
      <c r="B21" s="2"/>
      <c r="C21" s="446" t="s">
        <v>499</v>
      </c>
      <c r="D21" s="463" t="s">
        <v>470</v>
      </c>
      <c r="E21" s="322">
        <f>'Pg 6 of 8 Rev Cred Support'!E44</f>
        <v>165724.5</v>
      </c>
      <c r="F21" s="320"/>
      <c r="G21" s="320" t="str">
        <f t="shared" ref="G21:G23" si="1">G$19</f>
        <v>TP</v>
      </c>
      <c r="H21" s="321">
        <f t="shared" si="0"/>
        <v>0.9759119815484194</v>
      </c>
      <c r="I21" s="320"/>
      <c r="J21" s="322">
        <f>H21*E21</f>
        <v>161732.52518612103</v>
      </c>
      <c r="K21" s="196"/>
      <c r="L21" s="531"/>
      <c r="M21" s="575"/>
      <c r="N21" s="575"/>
      <c r="P21" s="196"/>
    </row>
    <row r="22" spans="1:17">
      <c r="A22" s="201">
        <v>5</v>
      </c>
      <c r="C22" s="310" t="s">
        <v>349</v>
      </c>
      <c r="D22" s="261"/>
      <c r="E22" s="745">
        <v>0</v>
      </c>
      <c r="F22" s="213"/>
      <c r="G22" s="213" t="str">
        <f t="shared" si="1"/>
        <v>TP</v>
      </c>
      <c r="H22" s="214">
        <f t="shared" si="0"/>
        <v>0.9759119815484194</v>
      </c>
      <c r="I22" s="213"/>
      <c r="J22" s="237">
        <f t="shared" ref="J22" si="2">H22*E22</f>
        <v>0</v>
      </c>
      <c r="K22" s="196"/>
      <c r="L22" s="575"/>
      <c r="M22" s="575"/>
      <c r="N22" s="575"/>
      <c r="P22" s="196"/>
    </row>
    <row r="23" spans="1:17">
      <c r="A23" s="201" t="s">
        <v>130</v>
      </c>
      <c r="C23" s="1" t="s">
        <v>384</v>
      </c>
      <c r="D23" s="261"/>
      <c r="E23" s="579">
        <f>'Appx B - RTEP'!X86</f>
        <v>0</v>
      </c>
      <c r="F23" s="213"/>
      <c r="G23" s="213" t="str">
        <f t="shared" si="1"/>
        <v>TP</v>
      </c>
      <c r="H23" s="214">
        <f t="shared" ref="H23" si="3">J$202</f>
        <v>0.9759119815484194</v>
      </c>
      <c r="I23" s="213"/>
      <c r="J23" s="323">
        <f>E23*H23</f>
        <v>0</v>
      </c>
      <c r="K23" s="196"/>
      <c r="L23" s="575"/>
      <c r="M23" s="575"/>
      <c r="N23" s="575"/>
      <c r="P23" s="196"/>
    </row>
    <row r="24" spans="1:17">
      <c r="A24" s="201">
        <v>6</v>
      </c>
      <c r="C24" s="212" t="s">
        <v>319</v>
      </c>
      <c r="D24" s="277"/>
      <c r="E24" s="216" t="s">
        <v>5</v>
      </c>
      <c r="F24" s="210"/>
      <c r="G24" s="210"/>
      <c r="H24" s="214"/>
      <c r="I24" s="210"/>
      <c r="J24" s="213">
        <f>SUM(J19:J22)</f>
        <v>504999.17809739476</v>
      </c>
      <c r="K24" s="196"/>
      <c r="L24" s="575"/>
      <c r="M24" s="575"/>
      <c r="N24" s="575"/>
      <c r="P24" s="196"/>
    </row>
    <row r="25" spans="1:17">
      <c r="A25" s="201" t="s">
        <v>391</v>
      </c>
      <c r="C25" s="212" t="s">
        <v>496</v>
      </c>
      <c r="D25" s="277" t="s">
        <v>471</v>
      </c>
      <c r="E25" s="216"/>
      <c r="F25" s="210"/>
      <c r="G25" s="210"/>
      <c r="H25" s="214"/>
      <c r="I25" s="210"/>
      <c r="J25" s="213">
        <v>0</v>
      </c>
      <c r="K25" s="196"/>
      <c r="L25" s="575"/>
      <c r="M25" s="575"/>
      <c r="N25" s="575"/>
      <c r="P25" s="575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75"/>
      <c r="M26" s="575"/>
      <c r="N26" s="575"/>
      <c r="P26" s="196"/>
    </row>
    <row r="27" spans="1:17">
      <c r="A27" s="201"/>
      <c r="C27" s="212"/>
      <c r="D27" s="196"/>
      <c r="J27" s="210"/>
      <c r="K27" s="196"/>
      <c r="L27" s="575"/>
      <c r="M27" s="575"/>
      <c r="N27" s="575"/>
      <c r="P27" s="196"/>
    </row>
    <row r="28" spans="1:17" ht="16.2" thickBot="1">
      <c r="A28" s="201">
        <v>7</v>
      </c>
      <c r="C28" s="212" t="s">
        <v>13</v>
      </c>
      <c r="D28" s="196" t="s">
        <v>392</v>
      </c>
      <c r="E28" s="216" t="s">
        <v>5</v>
      </c>
      <c r="F28" s="210"/>
      <c r="G28" s="210"/>
      <c r="H28" s="210"/>
      <c r="I28" s="210"/>
      <c r="J28" s="217">
        <f>J15-J24+J25</f>
        <v>69757218.40776965</v>
      </c>
      <c r="K28" s="196"/>
      <c r="L28" s="531"/>
      <c r="M28" s="575"/>
      <c r="N28" s="575"/>
      <c r="O28" s="566"/>
      <c r="P28" s="565"/>
      <c r="Q28" s="564"/>
    </row>
    <row r="29" spans="1:17" ht="15.6" thickTop="1">
      <c r="A29" s="201"/>
      <c r="D29" s="196"/>
      <c r="E29" s="216"/>
      <c r="F29" s="210"/>
      <c r="G29" s="210"/>
      <c r="H29" s="210"/>
      <c r="I29" s="210"/>
      <c r="K29" s="196"/>
      <c r="L29" s="575"/>
      <c r="M29" s="575"/>
      <c r="N29" s="575"/>
      <c r="O29" s="570"/>
      <c r="P29" s="565"/>
      <c r="Q29" s="564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75"/>
      <c r="M30" s="575"/>
      <c r="N30" s="575"/>
      <c r="P30" s="196"/>
    </row>
    <row r="31" spans="1:17" ht="15.6">
      <c r="A31" s="201">
        <v>8</v>
      </c>
      <c r="C31" s="303" t="s">
        <v>494</v>
      </c>
      <c r="D31" s="476" t="s">
        <v>472</v>
      </c>
      <c r="E31" s="304"/>
      <c r="F31" s="305"/>
      <c r="G31" s="305"/>
      <c r="H31" s="306"/>
      <c r="I31" s="305"/>
      <c r="J31" s="699">
        <f>MAX('Pg 8 of 8 Peak Load'!C14:N14)</f>
        <v>3441189.7</v>
      </c>
      <c r="K31" s="196"/>
      <c r="L31" s="531"/>
      <c r="M31" s="575"/>
      <c r="N31" s="575"/>
    </row>
    <row r="32" spans="1:17" ht="15.6">
      <c r="A32" s="201">
        <v>9</v>
      </c>
      <c r="C32" s="303" t="s">
        <v>495</v>
      </c>
      <c r="D32" s="476" t="s">
        <v>473</v>
      </c>
      <c r="E32" s="307"/>
      <c r="F32" s="307"/>
      <c r="G32" s="307"/>
      <c r="H32" s="307"/>
      <c r="I32" s="307"/>
      <c r="J32" s="699">
        <f>'Pg 8 of 8 Peak Load'!P14</f>
        <v>2339333</v>
      </c>
      <c r="K32" s="196"/>
      <c r="L32" s="531"/>
      <c r="M32" s="575"/>
      <c r="N32" s="575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8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/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6">
      <c r="A40" s="201">
        <v>15</v>
      </c>
      <c r="C40" s="212" t="s">
        <v>229</v>
      </c>
      <c r="D40" s="196" t="s">
        <v>251</v>
      </c>
      <c r="E40" s="219">
        <f>IF(J31&gt;0,J28/J31,9)</f>
        <v>20.271250494493124</v>
      </c>
      <c r="F40" s="207"/>
      <c r="G40" s="207"/>
      <c r="H40" s="207"/>
      <c r="I40" s="207"/>
      <c r="J40" s="532"/>
      <c r="K40" s="506"/>
      <c r="L40" s="506"/>
      <c r="M40" s="305"/>
      <c r="N40"/>
      <c r="O40"/>
      <c r="P40"/>
      <c r="Q40"/>
      <c r="R40"/>
    </row>
    <row r="41" spans="1:18" ht="15.6">
      <c r="A41" s="201"/>
      <c r="C41" s="212"/>
      <c r="D41" s="196"/>
      <c r="E41" s="219"/>
      <c r="F41" s="207"/>
      <c r="G41" s="207"/>
      <c r="H41" s="207"/>
      <c r="I41" s="207"/>
      <c r="J41" s="533"/>
      <c r="K41" s="506"/>
      <c r="L41" s="506"/>
      <c r="M41" s="305"/>
      <c r="N41"/>
      <c r="O41"/>
      <c r="P41"/>
      <c r="Q41"/>
      <c r="R41"/>
    </row>
    <row r="42" spans="1:18" ht="15.6">
      <c r="A42" s="201">
        <v>16</v>
      </c>
      <c r="C42" s="212" t="s">
        <v>281</v>
      </c>
      <c r="D42" s="196" t="s">
        <v>282</v>
      </c>
      <c r="E42" s="219">
        <f>IF(J32&gt;0,J28/J32,9)</f>
        <v>29.819276865572217</v>
      </c>
      <c r="F42" s="207"/>
      <c r="G42" s="344"/>
      <c r="H42" s="207"/>
      <c r="I42" s="207"/>
      <c r="J42" s="533"/>
      <c r="K42" s="506"/>
      <c r="L42" s="506"/>
      <c r="M42" s="305"/>
      <c r="N42"/>
      <c r="O42"/>
      <c r="P42"/>
      <c r="Q42"/>
      <c r="R42"/>
    </row>
    <row r="43" spans="1:18" ht="15.6">
      <c r="A43" s="201"/>
      <c r="C43" s="212"/>
      <c r="D43" s="196"/>
      <c r="E43" s="219"/>
      <c r="F43" s="207"/>
      <c r="G43" s="530"/>
      <c r="H43" s="530"/>
      <c r="I43" s="207"/>
      <c r="J43" s="533"/>
      <c r="K43" s="506"/>
      <c r="L43" s="506"/>
      <c r="M43" s="305"/>
      <c r="N43"/>
      <c r="O43"/>
      <c r="P43"/>
      <c r="Q43"/>
      <c r="R43"/>
    </row>
    <row r="44" spans="1:18" ht="15.6">
      <c r="A44" s="201">
        <v>17</v>
      </c>
      <c r="C44" s="212" t="s">
        <v>283</v>
      </c>
      <c r="D44" s="196" t="s">
        <v>284</v>
      </c>
      <c r="E44" s="624">
        <f>ROUND(E40/12,9)</f>
        <v>1.6892708750000001</v>
      </c>
      <c r="F44" s="207"/>
      <c r="G44" s="530"/>
      <c r="H44" s="530"/>
      <c r="I44" s="207"/>
      <c r="J44" s="532"/>
      <c r="K44" s="506"/>
      <c r="L44" s="506"/>
      <c r="M44" s="305"/>
      <c r="N44"/>
      <c r="O44"/>
      <c r="P44"/>
      <c r="Q44"/>
      <c r="R44"/>
    </row>
    <row r="45" spans="1:18">
      <c r="A45" s="201"/>
      <c r="C45" s="212"/>
      <c r="D45" s="196"/>
      <c r="E45" s="624"/>
      <c r="F45" s="207"/>
      <c r="G45" s="530"/>
      <c r="H45" s="530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24">
        <f>ROUND($E$42/12,9)</f>
        <v>2.4849397390000001</v>
      </c>
      <c r="F46" s="207"/>
      <c r="G46" s="530"/>
      <c r="H46" s="530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9"/>
      <c r="F47" s="207"/>
      <c r="G47" s="530"/>
      <c r="H47" s="530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6" t="s">
        <v>500</v>
      </c>
      <c r="F48" s="221"/>
      <c r="G48" s="221"/>
      <c r="I48" s="207"/>
      <c r="J48" s="456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20"/>
      <c r="F49" s="221"/>
      <c r="G49" s="221"/>
      <c r="I49" s="207"/>
      <c r="J49" s="220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9">
        <f>ROUND($E$42/52,9)</f>
        <v>0.57344763200000004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9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9">
        <f>ROUND($E$42/260,9)</f>
        <v>0.114689526</v>
      </c>
      <c r="F52" s="207" t="s">
        <v>294</v>
      </c>
      <c r="G52" s="207"/>
      <c r="H52" s="207"/>
      <c r="I52" s="207"/>
      <c r="J52" s="219">
        <f>ROUND($E$42/365,9)</f>
        <v>8.1696648999999996E-2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9"/>
      <c r="F53" s="207"/>
      <c r="G53" s="207"/>
      <c r="H53" s="207"/>
      <c r="I53" s="207"/>
      <c r="J53" s="219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6" t="s">
        <v>289</v>
      </c>
      <c r="D54" s="455" t="s">
        <v>292</v>
      </c>
      <c r="E54" s="386">
        <f>ROUND(($J$28/$J$32)/4160*1000,4)</f>
        <v>7.1680999999999999</v>
      </c>
      <c r="F54" s="207" t="s">
        <v>295</v>
      </c>
      <c r="G54" s="207"/>
      <c r="H54" s="207"/>
      <c r="I54" s="207"/>
      <c r="J54" s="219">
        <f>ROUND(($J$28/$J$32)/8760*1000,4)</f>
        <v>3.4039999999999999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2"/>
      <c r="E55" s="386"/>
      <c r="F55" s="207"/>
      <c r="G55" s="207"/>
      <c r="H55" s="207"/>
      <c r="I55" s="207"/>
      <c r="J55" s="219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3"/>
      <c r="M56" s="201"/>
      <c r="N56"/>
      <c r="O56"/>
      <c r="P56"/>
      <c r="Q56"/>
      <c r="R56"/>
    </row>
    <row r="57" spans="1:18" ht="17.399999999999999">
      <c r="A57" s="190"/>
      <c r="C57" s="192"/>
      <c r="D57" s="192"/>
      <c r="E57" s="345"/>
      <c r="F57" s="192"/>
      <c r="G57" s="192"/>
      <c r="H57" s="192"/>
      <c r="I57" s="194"/>
      <c r="J57" s="195" t="str">
        <f>J1</f>
        <v>Attachment H-24A</v>
      </c>
      <c r="K57" s="223"/>
      <c r="M57" s="223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410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3" t="str">
        <f>J7</f>
        <v>For the 12 months ended 12/31/2014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2014 Form FF1 Data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6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4" t="s">
        <v>16</v>
      </c>
      <c r="D69" s="224" t="s">
        <v>17</v>
      </c>
      <c r="E69" s="224" t="s">
        <v>18</v>
      </c>
      <c r="F69" s="210" t="s">
        <v>5</v>
      </c>
      <c r="G69" s="210"/>
      <c r="H69" s="225" t="s">
        <v>19</v>
      </c>
      <c r="I69" s="210"/>
      <c r="J69" s="226" t="s">
        <v>20</v>
      </c>
      <c r="K69" s="210"/>
      <c r="L69" s="224"/>
      <c r="M69" s="210"/>
      <c r="N69" s="224"/>
      <c r="O69" s="210"/>
      <c r="P69" s="212"/>
    </row>
    <row r="70" spans="1:16">
      <c r="A70" s="201" t="s">
        <v>6</v>
      </c>
      <c r="C70" s="212"/>
      <c r="D70" s="238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4"/>
      <c r="M70" s="210"/>
      <c r="N70" s="224"/>
      <c r="O70" s="224"/>
      <c r="P70" s="212"/>
    </row>
    <row r="71" spans="1:16" ht="15.6" thickBot="1">
      <c r="A71" s="203" t="s">
        <v>8</v>
      </c>
      <c r="C71" s="243" t="s">
        <v>230</v>
      </c>
      <c r="D71" s="608" t="s">
        <v>23</v>
      </c>
      <c r="E71" s="209" t="s">
        <v>24</v>
      </c>
      <c r="F71" s="246"/>
      <c r="G71" s="211" t="s">
        <v>11</v>
      </c>
      <c r="H71" s="211"/>
      <c r="I71" s="246"/>
      <c r="J71" s="609" t="s">
        <v>274</v>
      </c>
      <c r="K71" s="210"/>
      <c r="L71" s="224"/>
      <c r="M71" s="196"/>
      <c r="N71" s="224"/>
      <c r="O71" s="224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440</v>
      </c>
      <c r="E75" s="744">
        <v>2946586140</v>
      </c>
      <c r="F75" s="210"/>
      <c r="G75" s="210" t="s">
        <v>27</v>
      </c>
      <c r="H75" s="231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423</v>
      </c>
      <c r="E76" s="745">
        <v>569975671</v>
      </c>
      <c r="F76" s="210"/>
      <c r="G76" s="210" t="s">
        <v>12</v>
      </c>
      <c r="H76" s="231">
        <f>J202</f>
        <v>0.9759119815484194</v>
      </c>
      <c r="I76" s="210"/>
      <c r="J76" s="213">
        <f>ROUND(H76*E76,0)</f>
        <v>556246087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424</v>
      </c>
      <c r="E77" s="745">
        <v>205610319</v>
      </c>
      <c r="F77" s="210"/>
      <c r="G77" s="210" t="s">
        <v>27</v>
      </c>
      <c r="H77" s="231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425</v>
      </c>
      <c r="E78" s="745">
        <f>1820988+112316050</f>
        <v>114137038</v>
      </c>
      <c r="F78" s="210"/>
      <c r="G78" s="210" t="s">
        <v>31</v>
      </c>
      <c r="H78" s="231">
        <f>J220</f>
        <v>0.16111794364816168</v>
      </c>
      <c r="I78" s="210"/>
      <c r="J78" s="215">
        <f>ROUND(H78*E78,0)</f>
        <v>18389525</v>
      </c>
      <c r="K78" s="210"/>
      <c r="L78" s="210"/>
      <c r="M78" s="210"/>
      <c r="N78" s="2"/>
      <c r="O78" s="224"/>
      <c r="P78" s="212"/>
    </row>
    <row r="79" spans="1:16" ht="15.6" thickBot="1">
      <c r="A79" s="201">
        <v>5</v>
      </c>
      <c r="C79" s="212" t="s">
        <v>32</v>
      </c>
      <c r="D79" s="307"/>
      <c r="E79" s="746">
        <v>0</v>
      </c>
      <c r="F79" s="210"/>
      <c r="G79" s="210" t="s">
        <v>79</v>
      </c>
      <c r="H79" s="231">
        <f>L225</f>
        <v>0</v>
      </c>
      <c r="I79" s="210"/>
      <c r="J79" s="232">
        <f t="shared" ref="J79" si="4">ROUND(H79*E79,0)</f>
        <v>0</v>
      </c>
      <c r="K79" s="210"/>
      <c r="L79" s="210"/>
      <c r="M79" s="210"/>
      <c r="N79" s="2"/>
      <c r="O79" s="224"/>
      <c r="P79" s="212"/>
    </row>
    <row r="80" spans="1:16">
      <c r="A80" s="201">
        <v>6</v>
      </c>
      <c r="C80" s="192" t="s">
        <v>33</v>
      </c>
      <c r="D80" s="210"/>
      <c r="E80" s="213">
        <f>SUM(E75:E79)</f>
        <v>3836309168</v>
      </c>
      <c r="F80" s="210"/>
      <c r="G80" s="210" t="s">
        <v>34</v>
      </c>
      <c r="H80" s="233">
        <f>IF(J80&gt;0,J80/E80,0)</f>
        <v>0.1497886606202746</v>
      </c>
      <c r="I80" s="210"/>
      <c r="J80" s="213">
        <f>SUM(J75:J79)</f>
        <v>574635612</v>
      </c>
      <c r="K80" s="210"/>
      <c r="L80" s="234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4"/>
      <c r="I81" s="210"/>
      <c r="J81" s="215"/>
      <c r="K81" s="210"/>
      <c r="L81" s="234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44">
        <f>794292700+123540209</f>
        <v>917832909</v>
      </c>
      <c r="F83" s="210"/>
      <c r="G83" s="210" t="str">
        <f>G75</f>
        <v>NA</v>
      </c>
      <c r="H83" s="231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45">
        <v>164197328</v>
      </c>
      <c r="F84" s="210"/>
      <c r="G84" s="210" t="str">
        <f>G76</f>
        <v>TP</v>
      </c>
      <c r="H84" s="231">
        <f>H76</f>
        <v>0.9759119815484194</v>
      </c>
      <c r="I84" s="210"/>
      <c r="J84" s="213">
        <f>ROUND(H84*E84,0)</f>
        <v>160242140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45">
        <v>61863303</v>
      </c>
      <c r="F85" s="210"/>
      <c r="G85" s="210" t="str">
        <f t="shared" ref="G85:H87" si="5">G77</f>
        <v>NA</v>
      </c>
      <c r="H85" s="231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45">
        <v>80331283</v>
      </c>
      <c r="F86" s="210"/>
      <c r="G86" s="210" t="str">
        <f t="shared" si="5"/>
        <v>W/S</v>
      </c>
      <c r="H86" s="231">
        <f t="shared" si="5"/>
        <v>0.16111794364816168</v>
      </c>
      <c r="I86" s="210"/>
      <c r="J86" s="215">
        <f t="shared" ref="J86:J87" si="6">ROUND(H86*E86,0)</f>
        <v>12942811</v>
      </c>
      <c r="K86" s="210"/>
      <c r="L86" s="210"/>
      <c r="M86" s="196"/>
      <c r="N86" s="307"/>
      <c r="O86" s="224"/>
      <c r="P86" s="212"/>
    </row>
    <row r="87" spans="1:16" ht="15.6" thickBot="1">
      <c r="A87" s="201">
        <v>11</v>
      </c>
      <c r="C87" s="212" t="str">
        <f>C79</f>
        <v xml:space="preserve">  Common</v>
      </c>
      <c r="D87" s="307"/>
      <c r="E87" s="746">
        <v>0</v>
      </c>
      <c r="F87" s="210"/>
      <c r="G87" s="210" t="str">
        <f t="shared" si="5"/>
        <v>CE</v>
      </c>
      <c r="H87" s="231">
        <f t="shared" si="5"/>
        <v>0</v>
      </c>
      <c r="I87" s="210"/>
      <c r="J87" s="232">
        <f t="shared" si="6"/>
        <v>0</v>
      </c>
      <c r="K87" s="210"/>
      <c r="L87" s="210"/>
      <c r="M87" s="196"/>
      <c r="N87" s="307"/>
      <c r="O87" s="224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1224224823</v>
      </c>
      <c r="F88" s="210"/>
      <c r="G88" s="210"/>
      <c r="H88" s="210"/>
      <c r="I88" s="210"/>
      <c r="J88" s="213">
        <f>SUM(J83:J87)</f>
        <v>173184951</v>
      </c>
      <c r="K88" s="210"/>
      <c r="L88" s="210"/>
      <c r="M88" s="196"/>
      <c r="N88" s="460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4"/>
      <c r="I89" s="210"/>
      <c r="J89" s="215"/>
      <c r="K89" s="210"/>
      <c r="L89" s="234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2028753231</v>
      </c>
      <c r="F91" s="210"/>
      <c r="G91" s="210"/>
      <c r="H91" s="234"/>
      <c r="I91" s="210"/>
      <c r="J91" s="215" t="s">
        <v>5</v>
      </c>
      <c r="K91" s="210"/>
      <c r="L91" s="234"/>
      <c r="M91" s="196"/>
      <c r="N91" s="307"/>
      <c r="O91" s="210"/>
      <c r="P91" s="212"/>
    </row>
    <row r="92" spans="1:16">
      <c r="A92" s="201">
        <v>14</v>
      </c>
      <c r="C92" s="446" t="s">
        <v>48</v>
      </c>
      <c r="D92" s="210" t="s">
        <v>273</v>
      </c>
      <c r="E92" s="215">
        <f>E76-E84</f>
        <v>405778343</v>
      </c>
      <c r="F92" s="210"/>
      <c r="G92" s="210"/>
      <c r="H92" s="231"/>
      <c r="I92" s="210"/>
      <c r="J92" s="213">
        <f>J76-J84</f>
        <v>396003947</v>
      </c>
      <c r="K92" s="210"/>
      <c r="L92" s="234"/>
      <c r="M92" s="196"/>
      <c r="N92" s="307"/>
      <c r="O92" s="210"/>
      <c r="P92" s="212"/>
    </row>
    <row r="93" spans="1:16" hidden="1">
      <c r="A93" s="201"/>
      <c r="C93" s="425"/>
      <c r="D93" s="210"/>
      <c r="E93" s="215"/>
      <c r="F93" s="210"/>
      <c r="G93" s="210"/>
      <c r="H93" s="231"/>
      <c r="I93" s="210"/>
      <c r="J93" s="213"/>
      <c r="K93" s="210"/>
      <c r="L93" s="234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143747016</v>
      </c>
      <c r="F94" s="210"/>
      <c r="G94" s="210"/>
      <c r="H94" s="234"/>
      <c r="I94" s="210"/>
      <c r="J94" s="215" t="s">
        <v>5</v>
      </c>
      <c r="K94" s="210"/>
      <c r="L94" s="234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33805755</v>
      </c>
      <c r="F95" s="210"/>
      <c r="G95" s="210"/>
      <c r="H95" s="234"/>
      <c r="I95" s="210"/>
      <c r="J95" s="215">
        <f>J78-J86</f>
        <v>5446714</v>
      </c>
      <c r="K95" s="210"/>
      <c r="L95" s="234"/>
      <c r="M95" s="196"/>
      <c r="N95" s="307"/>
      <c r="O95" s="224"/>
      <c r="P95" s="212"/>
    </row>
    <row r="96" spans="1:16" ht="15.6" thickBot="1">
      <c r="A96" s="201">
        <v>17</v>
      </c>
      <c r="C96" s="212" t="str">
        <f>C87</f>
        <v xml:space="preserve">  Common</v>
      </c>
      <c r="D96" s="210" t="s">
        <v>40</v>
      </c>
      <c r="E96" s="232">
        <f>E79-E87</f>
        <v>0</v>
      </c>
      <c r="F96" s="210"/>
      <c r="G96" s="210"/>
      <c r="H96" s="234"/>
      <c r="I96" s="210"/>
      <c r="J96" s="232">
        <f>J79-J87</f>
        <v>0</v>
      </c>
      <c r="K96" s="210"/>
      <c r="L96" s="234"/>
      <c r="M96" s="196"/>
      <c r="N96" s="307"/>
      <c r="O96" s="224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2612084345</v>
      </c>
      <c r="F97" s="210"/>
      <c r="G97" s="210" t="s">
        <v>42</v>
      </c>
      <c r="H97" s="234">
        <f>IF(J97&gt;0,J97/E97,0)</f>
        <v>0.15368977719591975</v>
      </c>
      <c r="I97" s="210"/>
      <c r="J97" s="213">
        <f>SUM(J91:J96)</f>
        <v>401450661</v>
      </c>
      <c r="K97" s="210"/>
      <c r="L97" s="210"/>
      <c r="M97" s="196"/>
      <c r="N97" s="461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4"/>
      <c r="M98" s="196"/>
      <c r="N98" s="307"/>
      <c r="O98" s="210"/>
      <c r="P98" s="212"/>
    </row>
    <row r="99" spans="1:16">
      <c r="A99" s="201"/>
      <c r="C99" s="447" t="s">
        <v>432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62"/>
      <c r="O99" s="210"/>
      <c r="P99" s="212"/>
    </row>
    <row r="100" spans="1:16">
      <c r="A100" s="201">
        <v>19</v>
      </c>
      <c r="C100" s="212" t="s">
        <v>115</v>
      </c>
      <c r="D100" s="307" t="s">
        <v>426</v>
      </c>
      <c r="E100" s="744">
        <v>0</v>
      </c>
      <c r="F100" s="210"/>
      <c r="G100" s="210" t="str">
        <f>G83</f>
        <v>NA</v>
      </c>
      <c r="H100" s="270" t="s">
        <v>131</v>
      </c>
      <c r="I100" s="210"/>
      <c r="J100" s="213">
        <v>0</v>
      </c>
      <c r="K100" s="210"/>
      <c r="L100" s="234"/>
      <c r="M100" s="196"/>
      <c r="N100" s="2"/>
      <c r="O100" s="224"/>
      <c r="P100" s="212"/>
    </row>
    <row r="101" spans="1:16">
      <c r="A101" s="201">
        <v>20</v>
      </c>
      <c r="C101" s="212" t="s">
        <v>116</v>
      </c>
      <c r="D101" s="307" t="s">
        <v>427</v>
      </c>
      <c r="E101" s="579">
        <v>0</v>
      </c>
      <c r="F101" s="210"/>
      <c r="G101" s="210" t="s">
        <v>43</v>
      </c>
      <c r="H101" s="231">
        <f>H97</f>
        <v>0.15368977719591975</v>
      </c>
      <c r="I101" s="210"/>
      <c r="J101" s="215">
        <f>ROUND(H101*E101,0)</f>
        <v>0</v>
      </c>
      <c r="K101" s="210"/>
      <c r="L101" s="234"/>
      <c r="M101" s="196"/>
      <c r="N101" s="2"/>
      <c r="O101" s="224"/>
      <c r="P101" s="212"/>
    </row>
    <row r="102" spans="1:16">
      <c r="A102" s="201">
        <v>21</v>
      </c>
      <c r="C102" s="212" t="s">
        <v>117</v>
      </c>
      <c r="D102" s="307" t="s">
        <v>428</v>
      </c>
      <c r="E102" s="579">
        <v>0</v>
      </c>
      <c r="F102" s="210"/>
      <c r="G102" s="210" t="s">
        <v>43</v>
      </c>
      <c r="H102" s="231">
        <f>H101</f>
        <v>0.15368977719591975</v>
      </c>
      <c r="I102" s="210"/>
      <c r="J102" s="215">
        <f t="shared" ref="J102:J104" si="7">ROUND(H102*E102,0)</f>
        <v>0</v>
      </c>
      <c r="K102" s="210"/>
      <c r="L102" s="234"/>
      <c r="M102" s="196"/>
      <c r="N102" s="2"/>
      <c r="O102" s="224"/>
      <c r="P102" s="212"/>
    </row>
    <row r="103" spans="1:16">
      <c r="A103" s="201">
        <v>22</v>
      </c>
      <c r="C103" s="212" t="s">
        <v>119</v>
      </c>
      <c r="D103" s="307" t="s">
        <v>429</v>
      </c>
      <c r="E103" s="543">
        <v>0</v>
      </c>
      <c r="F103" s="210"/>
      <c r="G103" s="210" t="str">
        <f>G102</f>
        <v>NP</v>
      </c>
      <c r="H103" s="231">
        <f>H102</f>
        <v>0.15368977719591975</v>
      </c>
      <c r="I103" s="210"/>
      <c r="J103" s="215">
        <f t="shared" si="7"/>
        <v>0</v>
      </c>
      <c r="K103" s="210"/>
      <c r="L103" s="234"/>
      <c r="M103" s="196"/>
      <c r="N103" s="2"/>
      <c r="O103" s="224"/>
      <c r="P103" s="212"/>
    </row>
    <row r="104" spans="1:16" ht="15.6" thickBot="1">
      <c r="A104" s="201">
        <v>23</v>
      </c>
      <c r="C104" s="191" t="s">
        <v>118</v>
      </c>
      <c r="D104" s="2" t="s">
        <v>430</v>
      </c>
      <c r="E104" s="541">
        <v>0</v>
      </c>
      <c r="F104" s="210"/>
      <c r="G104" s="210" t="s">
        <v>43</v>
      </c>
      <c r="H104" s="231">
        <f>H102</f>
        <v>0.15368977719591975</v>
      </c>
      <c r="I104" s="210"/>
      <c r="J104" s="232">
        <f t="shared" si="7"/>
        <v>0</v>
      </c>
      <c r="K104" s="210"/>
      <c r="L104" s="234"/>
      <c r="M104" s="196"/>
      <c r="N104" s="2"/>
      <c r="O104" s="224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60"/>
      <c r="O105" s="210"/>
      <c r="P105" s="212"/>
    </row>
    <row r="106" spans="1:16">
      <c r="A106" s="201"/>
      <c r="D106" s="307"/>
      <c r="E106" s="579"/>
      <c r="F106" s="210"/>
      <c r="G106" s="210"/>
      <c r="H106" s="234"/>
      <c r="I106" s="210"/>
      <c r="J106" s="215"/>
      <c r="K106" s="210"/>
      <c r="L106" s="234"/>
      <c r="M106" s="196"/>
      <c r="N106" s="307"/>
      <c r="O106" s="210"/>
      <c r="P106" s="212"/>
    </row>
    <row r="107" spans="1:16">
      <c r="A107" s="201">
        <v>25</v>
      </c>
      <c r="C107" s="236" t="s">
        <v>493</v>
      </c>
      <c r="D107" s="307" t="s">
        <v>504</v>
      </c>
      <c r="E107" s="320">
        <f>'P 2 of 8 Land Held for Future'!C23</f>
        <v>0</v>
      </c>
      <c r="F107" s="210"/>
      <c r="G107" s="210" t="s">
        <v>5</v>
      </c>
      <c r="H107" s="231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79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53" t="s">
        <v>434</v>
      </c>
      <c r="D109" s="210" t="s">
        <v>5</v>
      </c>
      <c r="E109" s="579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46" t="s">
        <v>492</v>
      </c>
      <c r="D110" s="191" t="s">
        <v>505</v>
      </c>
      <c r="E110" s="320">
        <f>ROUND(E145/8,0)</f>
        <v>7967428</v>
      </c>
      <c r="F110" s="210"/>
      <c r="G110" s="210"/>
      <c r="H110" s="234"/>
      <c r="I110" s="210"/>
      <c r="J110" s="215">
        <f>ROUND(J145/8,0)</f>
        <v>3978100</v>
      </c>
      <c r="K110" s="196"/>
      <c r="L110" s="234"/>
      <c r="M110" s="196"/>
      <c r="N110" s="446"/>
      <c r="O110" s="224"/>
      <c r="P110" s="212"/>
    </row>
    <row r="111" spans="1:16">
      <c r="A111" s="201">
        <v>27</v>
      </c>
      <c r="C111" s="453" t="s">
        <v>435</v>
      </c>
      <c r="D111" s="210" t="s">
        <v>431</v>
      </c>
      <c r="E111" s="579">
        <f>'Pg 1 of 8 M&amp;S Alloc'!I16</f>
        <v>20845439</v>
      </c>
      <c r="F111" s="210"/>
      <c r="G111" s="210" t="s">
        <v>44</v>
      </c>
      <c r="H111" s="231">
        <f>J212</f>
        <v>0.90523505384272585</v>
      </c>
      <c r="I111" s="210"/>
      <c r="J111" s="215">
        <f>ROUND(H111*E111,0)</f>
        <v>18870022</v>
      </c>
      <c r="K111" s="210"/>
      <c r="L111" s="234"/>
      <c r="M111" s="196"/>
      <c r="N111" s="463"/>
      <c r="O111" s="224"/>
    </row>
    <row r="112" spans="1:16" ht="15.6" thickBot="1">
      <c r="A112" s="201">
        <v>28</v>
      </c>
      <c r="C112" s="446" t="s">
        <v>491</v>
      </c>
      <c r="D112" s="210" t="s">
        <v>506</v>
      </c>
      <c r="E112" s="746">
        <v>3787143</v>
      </c>
      <c r="F112" s="210"/>
      <c r="G112" s="210" t="s">
        <v>45</v>
      </c>
      <c r="H112" s="231">
        <f>H80</f>
        <v>0.1497886606202746</v>
      </c>
      <c r="I112" s="210"/>
      <c r="J112" s="232">
        <f>ROUND(H112*E112,0)</f>
        <v>567271</v>
      </c>
      <c r="K112" s="210"/>
      <c r="L112" s="234"/>
      <c r="M112" s="196"/>
      <c r="N112" s="463"/>
      <c r="O112" s="224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32600010</v>
      </c>
      <c r="F113" s="196"/>
      <c r="G113" s="196"/>
      <c r="H113" s="196"/>
      <c r="I113" s="196"/>
      <c r="J113" s="213">
        <f>J110+J111+J112</f>
        <v>23415393</v>
      </c>
      <c r="K113" s="196"/>
      <c r="L113" s="196"/>
      <c r="M113" s="196"/>
      <c r="N113" s="235"/>
      <c r="O113" s="210"/>
      <c r="P113" s="212"/>
    </row>
    <row r="114" spans="1:16" ht="15.6" thickBot="1">
      <c r="D114" s="210"/>
      <c r="E114" s="232"/>
      <c r="F114" s="210"/>
      <c r="G114" s="210"/>
      <c r="H114" s="210"/>
      <c r="I114" s="210"/>
      <c r="J114" s="232"/>
      <c r="K114" s="210"/>
      <c r="L114" s="210"/>
      <c r="M114" s="196"/>
      <c r="N114" s="210"/>
      <c r="O114" s="210"/>
      <c r="P114" s="212"/>
    </row>
    <row r="115" spans="1:16" ht="15.6" thickBot="1">
      <c r="A115" s="201">
        <v>30</v>
      </c>
      <c r="C115" s="212" t="s">
        <v>120</v>
      </c>
      <c r="D115" s="210"/>
      <c r="E115" s="239">
        <f>E113+E107+E105+E97</f>
        <v>2644684355</v>
      </c>
      <c r="F115" s="210"/>
      <c r="G115" s="210"/>
      <c r="H115" s="234"/>
      <c r="I115" s="210"/>
      <c r="J115" s="239">
        <f>J113+J107+J105+J97</f>
        <v>424866054</v>
      </c>
      <c r="K115" s="210"/>
      <c r="L115" s="234"/>
      <c r="M115" s="210"/>
      <c r="N115" s="210"/>
      <c r="O115" s="210"/>
      <c r="P115" s="212"/>
    </row>
    <row r="116" spans="1:16" ht="15.6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3"/>
      <c r="M117" s="201"/>
      <c r="N117" s="196"/>
      <c r="O117" s="196"/>
      <c r="P117" s="196"/>
    </row>
    <row r="118" spans="1:16" ht="17.399999999999999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3"/>
      <c r="M118" s="223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409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3" t="str">
        <f>J7</f>
        <v>For the 12 months ended 12/31/2014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40" t="str">
        <f>$A$9</f>
        <v>Utilizing EKPC 2014 Form FF1 Data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6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6">
      <c r="A130" s="201"/>
      <c r="C130" s="224" t="s">
        <v>16</v>
      </c>
      <c r="D130" s="224" t="s">
        <v>17</v>
      </c>
      <c r="E130" s="224" t="s">
        <v>18</v>
      </c>
      <c r="F130" s="210" t="s">
        <v>5</v>
      </c>
      <c r="G130" s="210"/>
      <c r="H130" s="225" t="s">
        <v>19</v>
      </c>
      <c r="I130" s="210"/>
      <c r="J130" s="226" t="s">
        <v>20</v>
      </c>
      <c r="K130" s="210"/>
      <c r="L130" s="227"/>
      <c r="M130" s="194"/>
      <c r="N130" s="194"/>
      <c r="O130" s="210"/>
      <c r="P130" s="212"/>
    </row>
    <row r="131" spans="1:29" ht="15.6">
      <c r="A131" s="241" t="s">
        <v>6</v>
      </c>
      <c r="C131" s="212"/>
      <c r="D131" s="238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7"/>
      <c r="M131" s="210"/>
      <c r="N131" s="201"/>
      <c r="O131" s="210"/>
      <c r="P131" s="212"/>
    </row>
    <row r="132" spans="1:29" ht="15.6">
      <c r="A132" s="203" t="s">
        <v>8</v>
      </c>
      <c r="B132" s="242"/>
      <c r="C132" s="243"/>
      <c r="D132" s="244" t="s">
        <v>23</v>
      </c>
      <c r="E132" s="245" t="s">
        <v>24</v>
      </c>
      <c r="F132" s="246"/>
      <c r="G132" s="247" t="s">
        <v>11</v>
      </c>
      <c r="H132" s="248"/>
      <c r="I132" s="246"/>
      <c r="J132" s="249" t="s">
        <v>274</v>
      </c>
      <c r="K132" s="210"/>
      <c r="L132" s="227"/>
      <c r="M132" s="250"/>
      <c r="N132" s="227"/>
      <c r="O132" s="210"/>
      <c r="P132" s="212"/>
    </row>
    <row r="133" spans="1:29" ht="15.6">
      <c r="C133" s="212"/>
      <c r="D133" s="210"/>
      <c r="E133" s="251"/>
      <c r="F133" s="230"/>
      <c r="G133" s="252"/>
      <c r="I133" s="230"/>
      <c r="J133" s="251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4" t="s">
        <v>441</v>
      </c>
      <c r="E135" s="213">
        <f>'Pg 4 of 8 Sch 1 Charges 561'!D28</f>
        <v>38744556.659999996</v>
      </c>
      <c r="F135" s="210"/>
      <c r="G135" s="210" t="s">
        <v>44</v>
      </c>
      <c r="H135" s="231">
        <f>J212</f>
        <v>0.90523505384272585</v>
      </c>
      <c r="I135" s="210"/>
      <c r="J135" s="213">
        <f>ROUND(H135*E135,0)</f>
        <v>35072931</v>
      </c>
      <c r="K135" s="196"/>
      <c r="L135" s="210"/>
      <c r="M135" s="210"/>
      <c r="N135" s="2"/>
      <c r="O135" s="500"/>
      <c r="P135" s="307"/>
      <c r="Q135" s="2"/>
    </row>
    <row r="136" spans="1:29">
      <c r="A136" s="201">
        <v>2</v>
      </c>
      <c r="C136" s="253" t="s">
        <v>2</v>
      </c>
      <c r="D136" s="454" t="s">
        <v>442</v>
      </c>
      <c r="E136" s="745">
        <v>11389886</v>
      </c>
      <c r="F136" s="210"/>
      <c r="G136" s="210" t="s">
        <v>44</v>
      </c>
      <c r="H136" s="231">
        <f>J$212</f>
        <v>0.90523505384272585</v>
      </c>
      <c r="I136" s="210"/>
      <c r="J136" s="215">
        <f t="shared" ref="J136:J144" si="8">ROUND(H136*E136,0)</f>
        <v>10310524</v>
      </c>
      <c r="K136" s="196"/>
      <c r="L136" s="210"/>
      <c r="M136" s="210"/>
      <c r="N136" s="2"/>
      <c r="O136" s="500"/>
      <c r="P136" s="307"/>
      <c r="Q136" s="2"/>
    </row>
    <row r="137" spans="1:29">
      <c r="A137" s="201">
        <v>3</v>
      </c>
      <c r="C137" s="212" t="s">
        <v>49</v>
      </c>
      <c r="D137" s="454" t="s">
        <v>443</v>
      </c>
      <c r="E137" s="579">
        <f>'Pg 4 of 8 Sch 1 Charges 561'!D19</f>
        <v>37251549</v>
      </c>
      <c r="F137" s="210"/>
      <c r="G137" s="210" t="s">
        <v>31</v>
      </c>
      <c r="H137" s="231">
        <f>$J$220</f>
        <v>0.16111794364816168</v>
      </c>
      <c r="I137" s="210"/>
      <c r="J137" s="215">
        <f t="shared" si="8"/>
        <v>6001893</v>
      </c>
      <c r="K137" s="210"/>
      <c r="L137" s="210"/>
      <c r="M137" s="210"/>
      <c r="N137" s="2"/>
      <c r="O137" s="307"/>
      <c r="P137" s="446"/>
      <c r="Q137" s="2"/>
    </row>
    <row r="138" spans="1:29">
      <c r="A138" s="201">
        <v>4</v>
      </c>
      <c r="C138" s="253" t="s">
        <v>276</v>
      </c>
      <c r="D138" s="307" t="s">
        <v>433</v>
      </c>
      <c r="E138" s="745">
        <v>0</v>
      </c>
      <c r="F138" s="210"/>
      <c r="G138" s="210" t="s">
        <v>31</v>
      </c>
      <c r="H138" s="231">
        <f>$J$220</f>
        <v>0.16111794364816168</v>
      </c>
      <c r="I138" s="210"/>
      <c r="J138" s="215">
        <f t="shared" si="8"/>
        <v>0</v>
      </c>
      <c r="K138" s="210"/>
      <c r="L138" s="210"/>
      <c r="M138" s="210"/>
      <c r="N138" s="2"/>
      <c r="O138" s="500"/>
      <c r="P138" s="446"/>
      <c r="Q138" s="2"/>
    </row>
    <row r="139" spans="1:29">
      <c r="A139" s="201">
        <v>5</v>
      </c>
      <c r="C139" s="303" t="s">
        <v>457</v>
      </c>
      <c r="D139" s="463" t="s">
        <v>474</v>
      </c>
      <c r="E139" s="579">
        <f>'Pg 3 of 8 G&amp;A Adj'!D19</f>
        <v>269287</v>
      </c>
      <c r="F139" s="307"/>
      <c r="G139" s="307" t="s">
        <v>31</v>
      </c>
      <c r="H139" s="380">
        <f>$J$220</f>
        <v>0.16111794364816168</v>
      </c>
      <c r="I139" s="307"/>
      <c r="J139" s="322">
        <f t="shared" si="8"/>
        <v>43387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4" t="s">
        <v>130</v>
      </c>
      <c r="C140" s="477" t="s">
        <v>456</v>
      </c>
      <c r="D140" s="463" t="s">
        <v>474</v>
      </c>
      <c r="E140" s="579">
        <f>'Pg 3 of 8 G&amp;A Adj'!D22</f>
        <v>1727780.41</v>
      </c>
      <c r="F140" s="307"/>
      <c r="G140" s="307"/>
      <c r="H140" s="380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5" t="s">
        <v>455</v>
      </c>
      <c r="C141" s="303" t="s">
        <v>458</v>
      </c>
      <c r="D141" s="463" t="s">
        <v>474</v>
      </c>
      <c r="E141" s="579">
        <f>'Pg 3 of 8 G&amp;A Adj'!D26</f>
        <v>278376.42673477763</v>
      </c>
      <c r="F141" s="307"/>
      <c r="G141" s="391" t="str">
        <f>G135</f>
        <v>TE</v>
      </c>
      <c r="H141" s="380">
        <f>H135</f>
        <v>0.90523505384272585</v>
      </c>
      <c r="I141" s="307"/>
      <c r="J141" s="322">
        <f t="shared" si="8"/>
        <v>251996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8" t="s">
        <v>515</v>
      </c>
      <c r="C142" s="477" t="s">
        <v>516</v>
      </c>
      <c r="D142" s="463" t="s">
        <v>474</v>
      </c>
      <c r="E142" s="579">
        <f>'Pg 3 of 8 G&amp;A Adj'!D37</f>
        <v>851893.95166666654</v>
      </c>
      <c r="F142" s="307"/>
      <c r="G142" s="391"/>
      <c r="H142" s="380"/>
      <c r="I142" s="307"/>
      <c r="J142" s="322">
        <f>E142</f>
        <v>851893.95166666654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45">
        <v>0</v>
      </c>
      <c r="F143" s="210"/>
      <c r="G143" s="210" t="s">
        <v>79</v>
      </c>
      <c r="H143" s="231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6" thickBot="1">
      <c r="A144" s="201">
        <v>7</v>
      </c>
      <c r="C144" s="212" t="s">
        <v>50</v>
      </c>
      <c r="D144" s="210"/>
      <c r="E144" s="541">
        <v>0</v>
      </c>
      <c r="F144" s="210"/>
      <c r="G144" s="210" t="s">
        <v>5</v>
      </c>
      <c r="H144" s="231">
        <v>1</v>
      </c>
      <c r="I144" s="210"/>
      <c r="J144" s="232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63739422.628401443</v>
      </c>
      <c r="F145" s="210"/>
      <c r="G145" s="210"/>
      <c r="H145" s="210"/>
      <c r="I145" s="210"/>
      <c r="J145" s="213">
        <f>J135-J136+J137-J138-J139+J141+J143+J144+J142</f>
        <v>31824802.951666668</v>
      </c>
      <c r="K145" s="210"/>
      <c r="L145" s="210"/>
      <c r="M145" s="210"/>
      <c r="N145" s="235"/>
      <c r="O145" s="210"/>
      <c r="P145" s="212"/>
    </row>
    <row r="146" spans="1:19">
      <c r="A146" s="201"/>
      <c r="D146" s="210"/>
      <c r="E146" s="579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9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322</v>
      </c>
      <c r="E148" s="744">
        <v>8660840</v>
      </c>
      <c r="F148" s="210"/>
      <c r="G148" s="210" t="s">
        <v>12</v>
      </c>
      <c r="H148" s="231">
        <f>J202</f>
        <v>0.9759119815484194</v>
      </c>
      <c r="I148" s="210"/>
      <c r="J148" s="213">
        <f>ROUND(H148*E148,0)</f>
        <v>8452218</v>
      </c>
      <c r="K148" s="210"/>
      <c r="L148" s="234"/>
      <c r="M148" s="210"/>
      <c r="N148" s="210"/>
      <c r="O148" s="224"/>
      <c r="P148" s="210"/>
    </row>
    <row r="149" spans="1:19">
      <c r="A149" s="201">
        <v>10</v>
      </c>
      <c r="C149" s="212" t="s">
        <v>514</v>
      </c>
      <c r="D149" s="210" t="s">
        <v>323</v>
      </c>
      <c r="E149" s="745">
        <v>7272857</v>
      </c>
      <c r="F149" s="210"/>
      <c r="G149" s="210" t="s">
        <v>31</v>
      </c>
      <c r="H149" s="231">
        <f>H137</f>
        <v>0.16111794364816168</v>
      </c>
      <c r="I149" s="210"/>
      <c r="J149" s="215">
        <f t="shared" ref="J149:J150" si="9">ROUND(H149*E149,0)</f>
        <v>1171788</v>
      </c>
      <c r="K149" s="210"/>
      <c r="L149" s="234"/>
      <c r="M149" s="210"/>
      <c r="N149" s="210"/>
      <c r="O149" s="224"/>
      <c r="P149" s="210"/>
    </row>
    <row r="150" spans="1:19" ht="15.6" thickBot="1">
      <c r="A150" s="201">
        <v>11</v>
      </c>
      <c r="C150" s="212" t="str">
        <f>C143</f>
        <v xml:space="preserve">  Common</v>
      </c>
      <c r="D150" s="210" t="s">
        <v>324</v>
      </c>
      <c r="E150" s="746">
        <v>0</v>
      </c>
      <c r="F150" s="210"/>
      <c r="G150" s="210" t="s">
        <v>79</v>
      </c>
      <c r="H150" s="231">
        <f>H143</f>
        <v>0</v>
      </c>
      <c r="I150" s="210"/>
      <c r="J150" s="232">
        <f t="shared" si="9"/>
        <v>0</v>
      </c>
      <c r="K150" s="210"/>
      <c r="L150" s="234"/>
      <c r="M150" s="210"/>
      <c r="N150" s="210"/>
      <c r="O150" s="224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15933697</v>
      </c>
      <c r="F151" s="210"/>
      <c r="G151" s="210"/>
      <c r="H151" s="210"/>
      <c r="I151" s="210"/>
      <c r="J151" s="213">
        <f>SUM(J148:J150)</f>
        <v>9624006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79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490</v>
      </c>
      <c r="D153" s="476"/>
      <c r="E153" s="579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9"/>
      <c r="F154" s="210"/>
      <c r="G154" s="210"/>
      <c r="I154" s="210"/>
      <c r="J154" s="215"/>
      <c r="K154" s="210"/>
      <c r="L154" s="234"/>
      <c r="M154" s="210"/>
      <c r="N154" s="238"/>
      <c r="O154" s="224"/>
      <c r="P154" s="212"/>
    </row>
    <row r="155" spans="1:19" s="2" customFormat="1" ht="15.6">
      <c r="A155" s="319">
        <v>13</v>
      </c>
      <c r="C155" s="499" t="s">
        <v>521</v>
      </c>
      <c r="D155" s="307" t="s">
        <v>475</v>
      </c>
      <c r="E155" s="320">
        <v>0</v>
      </c>
      <c r="F155" s="307"/>
      <c r="G155" s="307" t="s">
        <v>31</v>
      </c>
      <c r="H155" s="380">
        <f>$J$220</f>
        <v>0.16111794364816168</v>
      </c>
      <c r="I155" s="307"/>
      <c r="J155" s="320">
        <f>ROUND(H155*E155,0)</f>
        <v>0</v>
      </c>
      <c r="K155" s="307"/>
      <c r="L155" s="563"/>
      <c r="M155" s="576"/>
      <c r="N155" s="580"/>
      <c r="O155" s="580"/>
      <c r="P155" s="580"/>
      <c r="Q155" s="580"/>
      <c r="R155" s="570"/>
      <c r="S155" s="570"/>
    </row>
    <row r="156" spans="1:19">
      <c r="A156" s="201">
        <v>14</v>
      </c>
      <c r="C156" s="255" t="s">
        <v>277</v>
      </c>
      <c r="D156" s="307" t="s">
        <v>475</v>
      </c>
      <c r="E156" s="579">
        <v>0</v>
      </c>
      <c r="F156" s="210"/>
      <c r="G156" s="210" t="s">
        <v>31</v>
      </c>
      <c r="H156" s="231">
        <f>$J$220</f>
        <v>0.16111794364816168</v>
      </c>
      <c r="I156" s="210"/>
      <c r="J156" s="215">
        <f t="shared" ref="J156" si="10">ROUND(H156*E156,0)</f>
        <v>0</v>
      </c>
      <c r="K156" s="210"/>
      <c r="L156" s="562"/>
      <c r="M156" s="576"/>
      <c r="N156" s="586"/>
      <c r="O156" s="545"/>
      <c r="P156" s="583"/>
      <c r="Q156" s="570"/>
      <c r="R156" s="570"/>
      <c r="S156" s="570"/>
    </row>
    <row r="157" spans="1:19">
      <c r="A157" s="201">
        <v>15</v>
      </c>
      <c r="C157" s="212" t="s">
        <v>54</v>
      </c>
      <c r="D157" s="307" t="s">
        <v>5</v>
      </c>
      <c r="E157" s="579"/>
      <c r="F157" s="210"/>
      <c r="G157" s="210"/>
      <c r="I157" s="210"/>
      <c r="J157" s="215"/>
      <c r="K157" s="210"/>
      <c r="L157" s="234"/>
      <c r="M157" s="210"/>
      <c r="N157" s="238"/>
      <c r="O157" s="224"/>
      <c r="P157" s="212"/>
    </row>
    <row r="158" spans="1:19" s="2" customFormat="1">
      <c r="A158" s="319">
        <v>16</v>
      </c>
      <c r="C158" s="446" t="s">
        <v>522</v>
      </c>
      <c r="D158" s="307" t="s">
        <v>475</v>
      </c>
      <c r="E158" s="579">
        <v>0</v>
      </c>
      <c r="F158" s="307"/>
      <c r="G158" s="307" t="s">
        <v>45</v>
      </c>
      <c r="H158" s="321">
        <f>H80</f>
        <v>0.1497886606202746</v>
      </c>
      <c r="I158" s="307"/>
      <c r="J158" s="322">
        <f t="shared" ref="J158" si="11">ROUND(H158*E158,0)</f>
        <v>0</v>
      </c>
      <c r="K158" s="307"/>
      <c r="L158" s="462"/>
      <c r="M158" s="307"/>
      <c r="N158" s="493"/>
      <c r="O158" s="500"/>
      <c r="P158" s="446"/>
    </row>
    <row r="159" spans="1:19" s="570" customFormat="1">
      <c r="A159" s="577">
        <v>17</v>
      </c>
      <c r="C159" s="583" t="s">
        <v>55</v>
      </c>
      <c r="D159" s="576"/>
      <c r="E159" s="579">
        <v>0</v>
      </c>
      <c r="F159" s="576"/>
      <c r="G159" s="576" t="str">
        <f>G100</f>
        <v>NA</v>
      </c>
      <c r="H159" s="590" t="s">
        <v>27</v>
      </c>
      <c r="I159" s="576"/>
      <c r="J159" s="579">
        <v>0</v>
      </c>
      <c r="K159" s="576"/>
      <c r="L159" s="584"/>
      <c r="M159" s="576"/>
      <c r="N159" s="585"/>
      <c r="O159" s="585"/>
      <c r="P159" s="589"/>
      <c r="Q159" s="583"/>
    </row>
    <row r="160" spans="1:19" s="570" customFormat="1">
      <c r="A160" s="577">
        <v>18</v>
      </c>
      <c r="C160" s="583" t="s">
        <v>56</v>
      </c>
      <c r="D160" s="576"/>
      <c r="E160" s="579">
        <v>0</v>
      </c>
      <c r="F160" s="576"/>
      <c r="G160" s="576" t="str">
        <f>G158</f>
        <v>GP</v>
      </c>
      <c r="H160" s="578">
        <f>H158</f>
        <v>0.1497886606202746</v>
      </c>
      <c r="I160" s="576"/>
      <c r="J160" s="579">
        <f t="shared" ref="J160:J161" si="12">ROUND(H160*E160,0)</f>
        <v>0</v>
      </c>
      <c r="K160" s="576"/>
      <c r="L160" s="584"/>
      <c r="M160" s="576"/>
      <c r="N160" s="585"/>
      <c r="O160" s="585"/>
      <c r="P160" s="589"/>
      <c r="Q160" s="583"/>
    </row>
    <row r="161" spans="1:17" ht="15.6" thickBot="1">
      <c r="A161" s="201">
        <v>19</v>
      </c>
      <c r="C161" s="212" t="s">
        <v>57</v>
      </c>
      <c r="D161" s="210"/>
      <c r="E161" s="746">
        <v>0</v>
      </c>
      <c r="F161" s="210"/>
      <c r="G161" s="210" t="s">
        <v>45</v>
      </c>
      <c r="H161" s="214">
        <f>H158</f>
        <v>0.1497886606202746</v>
      </c>
      <c r="I161" s="210"/>
      <c r="J161" s="232">
        <f t="shared" si="12"/>
        <v>0</v>
      </c>
      <c r="K161" s="210"/>
      <c r="L161" s="234"/>
      <c r="M161" s="210"/>
      <c r="N161" s="238"/>
      <c r="O161" s="238"/>
      <c r="P161" s="224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5"/>
      <c r="O162" s="235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5"/>
      <c r="O163" s="235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489</v>
      </c>
      <c r="D165" s="463" t="s">
        <v>476</v>
      </c>
      <c r="E165" s="210"/>
      <c r="F165" s="210"/>
      <c r="H165" s="256"/>
      <c r="I165" s="210"/>
      <c r="K165" s="210"/>
      <c r="M165" s="210"/>
      <c r="N165" s="210"/>
      <c r="O165" s="210"/>
      <c r="P165" s="224"/>
      <c r="Q165" s="210"/>
    </row>
    <row r="166" spans="1:17">
      <c r="A166" s="201">
        <v>21</v>
      </c>
      <c r="C166" s="257" t="s">
        <v>124</v>
      </c>
      <c r="D166" s="210"/>
      <c r="E166" s="258">
        <v>0</v>
      </c>
      <c r="F166" s="210"/>
      <c r="H166" s="256"/>
      <c r="I166" s="210"/>
      <c r="K166" s="210"/>
      <c r="M166" s="210"/>
      <c r="N166" s="210"/>
      <c r="O166" s="210"/>
      <c r="P166" s="224"/>
      <c r="Q166" s="210"/>
    </row>
    <row r="167" spans="1:17">
      <c r="A167" s="201">
        <v>22</v>
      </c>
      <c r="C167" s="191" t="s">
        <v>125</v>
      </c>
      <c r="D167" s="210"/>
      <c r="E167" s="258">
        <f>IF(E21&gt;0,(E166/(1-E166))*(1-J241/1),0)</f>
        <v>0</v>
      </c>
      <c r="F167" s="210"/>
      <c r="H167" s="256"/>
      <c r="I167" s="210"/>
      <c r="K167" s="210"/>
      <c r="M167" s="210"/>
      <c r="N167" s="210"/>
      <c r="O167" s="210"/>
      <c r="P167" s="224"/>
      <c r="Q167" s="210"/>
    </row>
    <row r="168" spans="1:17">
      <c r="A168" s="201">
        <v>23</v>
      </c>
      <c r="C168" s="257" t="s">
        <v>126</v>
      </c>
      <c r="D168" s="210"/>
      <c r="E168" s="259">
        <f>IF(E166&gt;0,1/(1-E166),0)</f>
        <v>0</v>
      </c>
      <c r="F168" s="210"/>
      <c r="H168" s="256"/>
      <c r="I168" s="210"/>
      <c r="J168" s="215"/>
      <c r="K168" s="210"/>
      <c r="M168" s="210"/>
      <c r="N168" s="210"/>
      <c r="O168" s="210"/>
      <c r="P168" s="224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6"/>
      <c r="I169" s="210"/>
      <c r="J169" s="215"/>
      <c r="K169" s="210"/>
      <c r="M169" s="210"/>
      <c r="N169" s="210"/>
      <c r="O169" s="210"/>
      <c r="P169" s="224"/>
      <c r="Q169" s="210"/>
    </row>
    <row r="170" spans="1:17">
      <c r="A170" s="201"/>
      <c r="C170" s="212"/>
      <c r="D170" s="210"/>
      <c r="E170" s="215"/>
      <c r="F170" s="210"/>
      <c r="H170" s="256"/>
      <c r="I170" s="210"/>
      <c r="J170" s="215"/>
      <c r="K170" s="210"/>
      <c r="M170" s="210"/>
      <c r="N170" s="210"/>
      <c r="O170" s="224"/>
      <c r="P170" s="210"/>
    </row>
    <row r="171" spans="1:17">
      <c r="A171" s="201">
        <v>25</v>
      </c>
      <c r="C171" s="257" t="s">
        <v>265</v>
      </c>
      <c r="D171" s="260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1"/>
      <c r="M171" s="210"/>
      <c r="N171" s="210"/>
      <c r="O171" s="210"/>
      <c r="P171" s="212"/>
    </row>
    <row r="172" spans="1:17" ht="15.6" thickBot="1">
      <c r="A172" s="201">
        <v>26</v>
      </c>
      <c r="C172" s="191" t="s">
        <v>127</v>
      </c>
      <c r="D172" s="260"/>
      <c r="E172" s="232">
        <f>E168*E169</f>
        <v>0</v>
      </c>
      <c r="F172" s="210"/>
      <c r="G172" s="191" t="s">
        <v>43</v>
      </c>
      <c r="H172" s="214">
        <f>H97</f>
        <v>0.15368977719591975</v>
      </c>
      <c r="I172" s="210"/>
      <c r="J172" s="232">
        <f>H172*E172</f>
        <v>0</v>
      </c>
      <c r="K172" s="210"/>
      <c r="L172" s="261"/>
      <c r="M172" s="210"/>
      <c r="N172" s="210"/>
      <c r="O172" s="210"/>
      <c r="P172" s="212"/>
    </row>
    <row r="173" spans="1:17">
      <c r="A173" s="201">
        <v>27</v>
      </c>
      <c r="C173" s="262" t="s">
        <v>121</v>
      </c>
      <c r="D173" s="191" t="s">
        <v>128</v>
      </c>
      <c r="E173" s="263">
        <f>E171+E172</f>
        <v>0</v>
      </c>
      <c r="F173" s="210"/>
      <c r="G173" s="210" t="s">
        <v>5</v>
      </c>
      <c r="H173" s="214" t="s">
        <v>5</v>
      </c>
      <c r="I173" s="210"/>
      <c r="J173" s="263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4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4"/>
      <c r="K175" s="210"/>
      <c r="M175" s="210"/>
      <c r="N175" s="210"/>
      <c r="O175" s="224"/>
      <c r="P175" s="210"/>
    </row>
    <row r="176" spans="1:17">
      <c r="A176" s="201"/>
      <c r="C176" s="262" t="s">
        <v>371</v>
      </c>
      <c r="E176" s="213">
        <f>J243*E115</f>
        <v>179356223.71254838</v>
      </c>
      <c r="F176" s="210"/>
      <c r="G176" s="210" t="s">
        <v>27</v>
      </c>
      <c r="H176" s="256"/>
      <c r="I176" s="210"/>
      <c r="J176" s="213">
        <f>J243*J115</f>
        <v>28813408.634200376</v>
      </c>
      <c r="K176" s="210"/>
      <c r="L176" s="234"/>
      <c r="M176" s="210"/>
      <c r="N176" s="210"/>
      <c r="O176" s="224"/>
      <c r="P176" s="210"/>
    </row>
    <row r="177" spans="1:16">
      <c r="A177" s="201"/>
      <c r="C177" s="212"/>
      <c r="E177" s="237"/>
      <c r="F177" s="210"/>
      <c r="G177" s="210"/>
      <c r="H177" s="256"/>
      <c r="I177" s="210"/>
      <c r="J177" s="237"/>
      <c r="K177" s="210"/>
      <c r="L177" s="234"/>
      <c r="M177" s="210"/>
      <c r="N177" s="210"/>
      <c r="O177" s="224"/>
      <c r="P177" s="210"/>
    </row>
    <row r="178" spans="1:16" ht="15.6" thickBot="1">
      <c r="A178" s="201">
        <v>29</v>
      </c>
      <c r="C178" s="212" t="s">
        <v>264</v>
      </c>
      <c r="D178" s="210"/>
      <c r="E178" s="239">
        <f>E176+E173+E162+E151+E145</f>
        <v>259029343.34094983</v>
      </c>
      <c r="F178" s="265"/>
      <c r="G178" s="265"/>
      <c r="H178" s="265"/>
      <c r="I178" s="265"/>
      <c r="J178" s="239">
        <f>J176+J173+J162+J151+J145</f>
        <v>70262217.585867047</v>
      </c>
      <c r="K178" s="196"/>
      <c r="L178" s="196"/>
      <c r="M178" s="196"/>
      <c r="N178" s="196"/>
      <c r="O178" s="196"/>
      <c r="P178" s="212"/>
    </row>
    <row r="179" spans="1:16" ht="15.6" thickTop="1">
      <c r="A179" s="201"/>
      <c r="C179" s="212"/>
      <c r="D179" s="210"/>
      <c r="E179" s="265"/>
      <c r="F179" s="210"/>
      <c r="G179" s="210"/>
      <c r="H179" s="210"/>
      <c r="I179" s="210"/>
      <c r="J179" s="265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5"/>
      <c r="F180" s="210"/>
      <c r="G180" s="210"/>
      <c r="H180" s="210"/>
      <c r="I180" s="210"/>
      <c r="J180" s="265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3"/>
      <c r="M181" s="201"/>
      <c r="N181" s="196"/>
      <c r="O181" s="196"/>
      <c r="P181" s="196"/>
    </row>
    <row r="182" spans="1:16" ht="17.399999999999999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3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408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3" t="str">
        <f>J7</f>
        <v>For the 12 months ended 12/31/2014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40" t="str">
        <f>$A$9</f>
        <v>Utilizing EKPC 2014 Form FF1 Data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6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6">
      <c r="A193" s="266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6">
      <c r="A194" s="201" t="s">
        <v>6</v>
      </c>
      <c r="C194" s="228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6">
      <c r="A195" s="203" t="s">
        <v>8</v>
      </c>
      <c r="B195" s="242"/>
      <c r="C195" s="267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569975671</v>
      </c>
      <c r="K197" s="210"/>
      <c r="L197" s="210"/>
      <c r="M197" s="210"/>
      <c r="N197" s="196"/>
      <c r="O197" s="210"/>
      <c r="P197" s="212"/>
    </row>
    <row r="198" spans="1:24" ht="15.6">
      <c r="A198" s="201">
        <v>2</v>
      </c>
      <c r="C198" s="447" t="s">
        <v>436</v>
      </c>
      <c r="J198" s="215">
        <v>0</v>
      </c>
      <c r="K198" s="210"/>
      <c r="L198" s="210"/>
      <c r="M198" s="210"/>
      <c r="N198" s="305"/>
      <c r="O198" s="307"/>
      <c r="P198" s="506"/>
      <c r="Q198" s="2"/>
      <c r="R198" s="2"/>
      <c r="S198" s="2"/>
      <c r="T198" s="2"/>
      <c r="U198" s="2"/>
      <c r="V198" s="2"/>
    </row>
    <row r="199" spans="1:24" ht="16.2" thickBot="1">
      <c r="A199" s="201">
        <v>3</v>
      </c>
      <c r="C199" s="478" t="s">
        <v>488</v>
      </c>
      <c r="D199" s="534" t="s">
        <v>529</v>
      </c>
      <c r="E199" s="535"/>
      <c r="F199" s="210"/>
      <c r="G199" s="210"/>
      <c r="H199" s="238"/>
      <c r="I199" s="210"/>
      <c r="J199" s="232">
        <f>'Pg 5 of 8 Trans Plant In OATT'!C21</f>
        <v>13729584.48</v>
      </c>
      <c r="K199" s="210"/>
      <c r="M199" s="210"/>
      <c r="N199" s="307"/>
      <c r="O199" s="305"/>
      <c r="P199" s="506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8"/>
      <c r="I200" s="210"/>
      <c r="J200" s="215">
        <f>J197-J198-J199</f>
        <v>556246086.51999998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8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9"/>
      <c r="F202" s="269"/>
      <c r="G202" s="269"/>
      <c r="H202" s="226"/>
      <c r="I202" s="210" t="s">
        <v>64</v>
      </c>
      <c r="J202" s="270">
        <f>IF(J197&gt;0,J200/J197,0)</f>
        <v>0.9759119815484194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6">
      <c r="A204" s="201"/>
      <c r="C204" s="228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4"/>
      <c r="I206" s="196"/>
      <c r="J206" s="215">
        <f>E135</f>
        <v>38744556.659999996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6" thickBot="1">
      <c r="A207" s="201">
        <v>7</v>
      </c>
      <c r="C207" s="478" t="s">
        <v>487</v>
      </c>
      <c r="D207" s="534" t="s">
        <v>477</v>
      </c>
      <c r="E207" s="268"/>
      <c r="F207" s="268"/>
      <c r="G207" s="210"/>
      <c r="H207" s="210"/>
      <c r="I207" s="210"/>
      <c r="J207" s="232">
        <f>'Pg 4 of 8 Sch 1 Charges 561'!D42</f>
        <v>2805935.66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9"/>
      <c r="F208" s="269"/>
      <c r="G208" s="269"/>
      <c r="H208" s="226"/>
      <c r="I208" s="269"/>
      <c r="J208" s="215">
        <f>J206-J207</f>
        <v>35938621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1">
        <f>IF(J206&gt;0,J208/J206,0)</f>
        <v>0.92757858388667913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1">
        <f>J202</f>
        <v>0.9759119815484194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2">
        <f>J211*J210</f>
        <v>0.90523505384272585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8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6">
      <c r="A214" s="201" t="s">
        <v>5</v>
      </c>
      <c r="C214" s="228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6" thickBot="1">
      <c r="A215" s="201" t="s">
        <v>5</v>
      </c>
      <c r="C215" s="212"/>
      <c r="D215" s="268" t="s">
        <v>66</v>
      </c>
      <c r="E215" s="273" t="s">
        <v>67</v>
      </c>
      <c r="F215" s="273" t="s">
        <v>12</v>
      </c>
      <c r="G215" s="210"/>
      <c r="H215" s="273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45">
        <v>31792310</v>
      </c>
      <c r="F216" s="274">
        <v>0</v>
      </c>
      <c r="G216" s="274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45">
        <v>8733168</v>
      </c>
      <c r="F217" s="274">
        <f>J202</f>
        <v>0.9759119815484194</v>
      </c>
      <c r="G217" s="274"/>
      <c r="H217" s="215">
        <f>E217*F217</f>
        <v>8522803.2880752459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45">
        <v>821306</v>
      </c>
      <c r="F218" s="274">
        <v>0</v>
      </c>
      <c r="G218" s="274"/>
      <c r="H218" s="215">
        <f>E218*F218</f>
        <v>0</v>
      </c>
      <c r="I218" s="210"/>
      <c r="J218" s="275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6" thickBot="1">
      <c r="A219" s="201">
        <v>15</v>
      </c>
      <c r="C219" s="212" t="s">
        <v>71</v>
      </c>
      <c r="D219" s="210" t="s">
        <v>325</v>
      </c>
      <c r="E219" s="746">
        <f>1145176+11393+10394562</f>
        <v>11551131</v>
      </c>
      <c r="F219" s="274">
        <v>0</v>
      </c>
      <c r="G219" s="274"/>
      <c r="H219" s="232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52897915</v>
      </c>
      <c r="F220" s="210"/>
      <c r="G220" s="210"/>
      <c r="H220" s="215">
        <f>SUM(H216:H219)</f>
        <v>8522803.2880752459</v>
      </c>
      <c r="I220" s="224" t="s">
        <v>73</v>
      </c>
      <c r="J220" s="231">
        <f>IF(H220&gt;0,H220/E220,0)</f>
        <v>0.16111794364816168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/>
      <c r="N221" s="210"/>
      <c r="O221" s="210"/>
      <c r="P221" s="212"/>
    </row>
    <row r="222" spans="1:24" ht="15.6">
      <c r="A222" s="201"/>
      <c r="C222" s="228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8" t="s">
        <v>86</v>
      </c>
      <c r="F223" s="210"/>
      <c r="G223" s="210"/>
      <c r="H223" s="238" t="s">
        <v>74</v>
      </c>
      <c r="I223" s="256" t="s">
        <v>5</v>
      </c>
      <c r="J223" s="234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10"/>
      <c r="H224" s="201" t="s">
        <v>77</v>
      </c>
      <c r="I224" s="276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10"/>
      <c r="H225" s="214">
        <f>IF(E227&gt;0,E224/E227,0)</f>
        <v>1</v>
      </c>
      <c r="I225" s="238" t="s">
        <v>81</v>
      </c>
      <c r="J225" s="214">
        <f>J220</f>
        <v>0.16111794364816168</v>
      </c>
      <c r="K225"/>
      <c r="L225"/>
      <c r="M225" s="210"/>
      <c r="N225" s="210"/>
      <c r="O225" s="210"/>
      <c r="P225" s="212"/>
    </row>
    <row r="226" spans="1:18" ht="15.6" thickBot="1">
      <c r="A226" s="201">
        <v>19</v>
      </c>
      <c r="C226" s="278" t="s">
        <v>82</v>
      </c>
      <c r="D226" s="268" t="s">
        <v>147</v>
      </c>
      <c r="E226" s="343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2" thickBot="1">
      <c r="A229" s="201"/>
      <c r="B229" s="194"/>
      <c r="C229" s="279" t="s">
        <v>83</v>
      </c>
      <c r="D229" s="210"/>
      <c r="E229" s="210"/>
      <c r="F229" s="210"/>
      <c r="G229" s="210"/>
      <c r="H229" s="210"/>
      <c r="I229" s="210"/>
      <c r="J229" s="273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326</v>
      </c>
      <c r="E230" s="210"/>
      <c r="F230" s="210"/>
      <c r="G230" s="210"/>
      <c r="H230" s="210"/>
      <c r="I230" s="210"/>
      <c r="J230" s="324">
        <f>'Pg 7 of 8 Cap Str'!C18</f>
        <v>116148416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6">
      <c r="A234" s="201"/>
      <c r="B234" s="194"/>
      <c r="C234" s="279" t="s">
        <v>479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448</v>
      </c>
      <c r="D235" s="2" t="s">
        <v>528</v>
      </c>
      <c r="J235" s="479">
        <f>'Pg 7 of 8 Cap Str'!C24</f>
        <v>2568987228</v>
      </c>
      <c r="K235"/>
      <c r="L235"/>
      <c r="M235" s="307"/>
      <c r="N235" s="307"/>
      <c r="O235" s="307"/>
      <c r="P235" s="446"/>
      <c r="Q235" s="2"/>
      <c r="R235" s="2"/>
    </row>
    <row r="236" spans="1:18">
      <c r="A236" s="201">
        <v>24</v>
      </c>
      <c r="B236" s="194"/>
      <c r="C236" s="307" t="s">
        <v>483</v>
      </c>
      <c r="D236" s="2" t="s">
        <v>480</v>
      </c>
      <c r="E236" s="194"/>
      <c r="F236" s="210"/>
      <c r="G236" s="210"/>
      <c r="H236" s="210"/>
      <c r="I236" s="210"/>
      <c r="J236" s="215">
        <f>'Pg 7 of 8 Cap Str'!C25</f>
        <v>482553159</v>
      </c>
      <c r="K236"/>
      <c r="L236"/>
      <c r="M236" s="307"/>
      <c r="N236" s="307"/>
      <c r="O236" s="307"/>
      <c r="P236" s="446"/>
      <c r="Q236" s="2"/>
      <c r="R236" s="2"/>
    </row>
    <row r="237" spans="1:18" ht="15.6" thickBot="1">
      <c r="A237" s="201">
        <v>25</v>
      </c>
      <c r="B237" s="194"/>
      <c r="C237" s="307" t="s">
        <v>481</v>
      </c>
      <c r="D237" s="2" t="s">
        <v>482</v>
      </c>
      <c r="E237" s="210"/>
      <c r="F237" s="210"/>
      <c r="G237" s="210"/>
      <c r="H237" s="210"/>
      <c r="I237" s="210"/>
      <c r="J237" s="232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535</v>
      </c>
      <c r="E238" s="306" t="s">
        <v>85</v>
      </c>
      <c r="F238" s="306"/>
      <c r="G238" s="306"/>
      <c r="H238" s="306"/>
      <c r="I238" s="194"/>
      <c r="J238" s="357">
        <f>J235+J236+J237</f>
        <v>3051540387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93"/>
      <c r="I239" s="210"/>
      <c r="J239" s="210"/>
      <c r="K239"/>
      <c r="L239"/>
      <c r="M239" s="210"/>
      <c r="N239" s="210"/>
      <c r="O239" s="210"/>
      <c r="P239" s="212"/>
    </row>
    <row r="240" spans="1:18" ht="15.6" thickBot="1">
      <c r="A240" s="201"/>
      <c r="C240" s="212"/>
      <c r="D240" s="2"/>
      <c r="E240" s="536" t="s">
        <v>67</v>
      </c>
      <c r="F240" s="536" t="s">
        <v>86</v>
      </c>
      <c r="G240" s="307"/>
      <c r="H240" s="536" t="s">
        <v>531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437</v>
      </c>
      <c r="D241" s="537" t="s">
        <v>486</v>
      </c>
      <c r="E241" s="322">
        <f>J235</f>
        <v>2568987228</v>
      </c>
      <c r="F241" s="538">
        <f>E241/E243</f>
        <v>0.84186571442549285</v>
      </c>
      <c r="G241" s="539"/>
      <c r="H241" s="540">
        <f>'Pg 7 of 8 Cap Str'!E24</f>
        <v>4.5211752995137897E-2</v>
      </c>
      <c r="J241" s="358">
        <f>F241*H241</f>
        <v>3.8062224735680682E-2</v>
      </c>
      <c r="K241"/>
      <c r="L241"/>
      <c r="M241" s="210"/>
      <c r="N241" s="307"/>
      <c r="O241" s="210"/>
      <c r="P241" s="212"/>
    </row>
    <row r="242" spans="1:23" ht="16.2" thickBot="1">
      <c r="A242" s="201">
        <v>28</v>
      </c>
      <c r="C242" s="210" t="s">
        <v>327</v>
      </c>
      <c r="D242" s="476" t="s">
        <v>478</v>
      </c>
      <c r="E242" s="541">
        <f>J236</f>
        <v>482553159</v>
      </c>
      <c r="F242" s="538">
        <f>E242/E243</f>
        <v>0.15813428557450712</v>
      </c>
      <c r="G242" s="539"/>
      <c r="H242" s="542">
        <f>'Pg 7 of 8 Cap Str'!E25</f>
        <v>0.18816542313340703</v>
      </c>
      <c r="J242" s="359">
        <f>F242*H242</f>
        <v>2.9755404757026156E-2</v>
      </c>
      <c r="K242"/>
      <c r="L242"/>
      <c r="M242" s="210"/>
      <c r="N242" s="210"/>
      <c r="O242" s="210"/>
      <c r="P242" s="212"/>
    </row>
    <row r="243" spans="1:23" ht="15.6">
      <c r="A243" s="201">
        <v>29</v>
      </c>
      <c r="C243" s="212" t="s">
        <v>369</v>
      </c>
      <c r="D243" s="476"/>
      <c r="E243" s="543">
        <f>E241+E242</f>
        <v>3051540387</v>
      </c>
      <c r="F243" s="538"/>
      <c r="G243" s="539"/>
      <c r="H243" s="606" t="s">
        <v>577</v>
      </c>
      <c r="J243" s="361">
        <f>J241+J242</f>
        <v>6.7817629492706838E-2</v>
      </c>
      <c r="K243"/>
      <c r="L243"/>
      <c r="M243" s="210"/>
      <c r="N243" s="210"/>
      <c r="O243" s="210"/>
      <c r="P243" s="212"/>
    </row>
    <row r="244" spans="1:23">
      <c r="D244" s="476"/>
      <c r="E244" s="2"/>
      <c r="F244" s="2"/>
      <c r="G244" s="2"/>
      <c r="H244" s="2"/>
      <c r="M244" s="210"/>
      <c r="N244" s="210"/>
      <c r="O244" s="210"/>
      <c r="P244" s="212"/>
    </row>
    <row r="245" spans="1:23" ht="15.6">
      <c r="A245" s="201">
        <v>30</v>
      </c>
      <c r="C245" s="191" t="s">
        <v>485</v>
      </c>
      <c r="D245" s="476" t="s">
        <v>532</v>
      </c>
      <c r="E245" s="322"/>
      <c r="F245" s="307" t="s">
        <v>5</v>
      </c>
      <c r="G245" s="307"/>
      <c r="H245" s="544" t="s">
        <v>370</v>
      </c>
      <c r="I245" s="229"/>
      <c r="J245" s="360">
        <f>J243/H241</f>
        <v>1.4999999999999998</v>
      </c>
      <c r="M245" s="210"/>
      <c r="N245" s="210"/>
      <c r="O245" s="210"/>
      <c r="P245" s="212"/>
    </row>
    <row r="246" spans="1:23" ht="15.6">
      <c r="C246" s="279"/>
      <c r="D246" s="476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6">
      <c r="A247" s="201"/>
      <c r="C247" s="279" t="s">
        <v>88</v>
      </c>
      <c r="D247" s="193"/>
      <c r="E247" s="194"/>
      <c r="F247" s="194"/>
      <c r="G247" s="194"/>
      <c r="H247" s="194"/>
      <c r="I247" s="194"/>
      <c r="J247" s="241"/>
      <c r="K247" s="194"/>
      <c r="L247" s="194"/>
      <c r="M247" s="210"/>
      <c r="N247" s="238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80"/>
      <c r="K248" s="241"/>
      <c r="O248" s="210"/>
      <c r="P248" s="212"/>
    </row>
    <row r="249" spans="1:23">
      <c r="A249" s="201"/>
      <c r="C249" s="236" t="s">
        <v>395</v>
      </c>
      <c r="D249" s="193"/>
      <c r="E249" s="194" t="s">
        <v>89</v>
      </c>
      <c r="F249" s="194"/>
      <c r="G249" s="194"/>
      <c r="H249" s="194" t="s">
        <v>5</v>
      </c>
      <c r="J249" s="625"/>
      <c r="K249" s="280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328</v>
      </c>
      <c r="D250" s="193"/>
      <c r="E250" s="194"/>
      <c r="G250" s="194"/>
      <c r="H250" s="2"/>
      <c r="J250" s="747">
        <v>0</v>
      </c>
      <c r="K250" s="281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6" thickBot="1">
      <c r="A251" s="201">
        <v>32</v>
      </c>
      <c r="C251" s="282" t="s">
        <v>266</v>
      </c>
      <c r="D251" s="458"/>
      <c r="E251" s="282"/>
      <c r="F251" s="283"/>
      <c r="G251" s="283"/>
      <c r="H251" s="283"/>
      <c r="I251" s="194"/>
      <c r="J251" s="748">
        <f>J249-J250</f>
        <v>0</v>
      </c>
      <c r="K251" s="284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45"/>
      <c r="E252" s="2"/>
      <c r="F252" s="306"/>
      <c r="G252" s="194"/>
      <c r="H252" s="194"/>
      <c r="I252" s="194"/>
      <c r="J252" s="286">
        <f>J250-J251</f>
        <v>0</v>
      </c>
      <c r="K252" s="281"/>
      <c r="O252" s="210"/>
      <c r="P252" s="212"/>
    </row>
    <row r="253" spans="1:23">
      <c r="A253" s="201"/>
      <c r="C253" s="191" t="s">
        <v>5</v>
      </c>
      <c r="D253" s="545"/>
      <c r="E253" s="2"/>
      <c r="F253" s="306"/>
      <c r="G253" s="194"/>
      <c r="H253" s="285"/>
      <c r="I253" s="194"/>
      <c r="K253" s="280"/>
      <c r="L253" s="287"/>
      <c r="M253" s="210"/>
      <c r="N253" s="238"/>
      <c r="O253" s="210"/>
      <c r="P253" s="212"/>
    </row>
    <row r="254" spans="1:23">
      <c r="A254" s="201">
        <v>34</v>
      </c>
      <c r="C254" s="236" t="s">
        <v>484</v>
      </c>
      <c r="D254" s="545" t="s">
        <v>533</v>
      </c>
      <c r="E254" s="2"/>
      <c r="F254" s="306"/>
      <c r="G254" s="194"/>
      <c r="H254" s="288"/>
      <c r="I254" s="194"/>
      <c r="J254" s="480">
        <f>ROUND('Pg 6 of 8 Rev Cred Support'!E24,0)</f>
        <v>143239</v>
      </c>
      <c r="K254" s="280"/>
      <c r="L254" s="287"/>
      <c r="M254" s="210"/>
      <c r="N254" s="238"/>
      <c r="O254" s="210"/>
      <c r="P254" s="261"/>
    </row>
    <row r="255" spans="1:23">
      <c r="A255" s="201"/>
      <c r="D255" s="306"/>
      <c r="E255" s="306"/>
      <c r="F255" s="306"/>
      <c r="G255" s="194"/>
      <c r="H255" s="194"/>
      <c r="I255" s="194"/>
      <c r="J255" s="286"/>
      <c r="K255" s="280"/>
      <c r="L255" s="492"/>
      <c r="M255" s="307"/>
      <c r="N255" s="493"/>
      <c r="O255" s="307"/>
      <c r="P255" s="238"/>
    </row>
    <row r="256" spans="1:23">
      <c r="A256" s="201">
        <v>35</v>
      </c>
      <c r="C256" s="447" t="s">
        <v>438</v>
      </c>
      <c r="D256" s="306" t="s">
        <v>534</v>
      </c>
      <c r="E256" s="306"/>
      <c r="F256" s="306"/>
      <c r="G256" s="194"/>
      <c r="H256" s="194"/>
      <c r="I256" s="194"/>
      <c r="J256" s="480">
        <f>'Pg 6 of 8 Rev Cred Support'!E46</f>
        <v>204964.84999999916</v>
      </c>
      <c r="L256" s="494"/>
      <c r="M256" s="307"/>
      <c r="N256" s="463"/>
      <c r="O256" s="305"/>
      <c r="P256" s="238"/>
    </row>
    <row r="257" spans="1:16">
      <c r="A257" s="201"/>
      <c r="C257" s="192"/>
      <c r="D257" s="337"/>
      <c r="E257" s="546"/>
      <c r="F257" s="337"/>
      <c r="G257" s="192"/>
      <c r="H257" s="192"/>
      <c r="I257" s="194"/>
      <c r="K257" s="201"/>
      <c r="L257" s="495"/>
      <c r="M257" s="319"/>
      <c r="N257" s="305"/>
      <c r="O257" s="305"/>
      <c r="P257" s="196"/>
    </row>
    <row r="258" spans="1:16">
      <c r="C258" s="192"/>
      <c r="D258" s="337"/>
      <c r="E258" s="546"/>
      <c r="F258" s="337"/>
      <c r="G258" s="192"/>
      <c r="H258" s="192"/>
      <c r="I258" s="194"/>
      <c r="L258" s="2"/>
      <c r="M258" s="496"/>
      <c r="N258" s="305"/>
      <c r="O258" s="305"/>
      <c r="P258" s="196"/>
    </row>
    <row r="259" spans="1:16">
      <c r="C259" s="192"/>
      <c r="D259" s="337"/>
      <c r="E259" s="546"/>
      <c r="F259" s="337"/>
      <c r="G259" s="192"/>
      <c r="H259" s="192"/>
      <c r="I259" s="194"/>
      <c r="L259" s="2"/>
      <c r="M259" s="496"/>
      <c r="N259" s="305"/>
      <c r="O259" s="305"/>
      <c r="P259" s="196"/>
    </row>
    <row r="260" spans="1:16" ht="17.399999999999999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3"/>
      <c r="M260" s="223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407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3" t="str">
        <f>$J$7</f>
        <v>For the 12 months ended 12/31/2014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785" t="str">
        <f>$A$8</f>
        <v>Rate Formula Template</v>
      </c>
      <c r="B267" s="785"/>
      <c r="C267" s="785"/>
      <c r="D267" s="785"/>
      <c r="E267" s="785"/>
      <c r="F267" s="785"/>
      <c r="G267" s="785"/>
      <c r="H267" s="785"/>
      <c r="I267" s="785"/>
      <c r="J267" s="785"/>
      <c r="K267" s="194"/>
      <c r="L267" s="197"/>
      <c r="M267" s="196"/>
      <c r="N267" s="196"/>
      <c r="O267" s="196"/>
      <c r="P267" s="196"/>
    </row>
    <row r="268" spans="1:16">
      <c r="A268" s="240" t="str">
        <f>$A$9</f>
        <v>Utilizing EKPC 2014 Form FF1 Data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784" t="str">
        <f>$A$11</f>
        <v>East Kentucky Power Cooperative, Inc.</v>
      </c>
      <c r="B270" s="784"/>
      <c r="C270" s="784"/>
      <c r="D270" s="784"/>
      <c r="E270" s="784"/>
      <c r="F270" s="784"/>
      <c r="G270" s="784"/>
      <c r="H270" s="784"/>
      <c r="I270" s="784"/>
      <c r="J270" s="784"/>
      <c r="K270" s="194"/>
      <c r="L270" s="200"/>
      <c r="M270" s="194"/>
      <c r="N270" s="201"/>
      <c r="O270" s="196"/>
      <c r="P270" s="196"/>
    </row>
    <row r="271" spans="1:16" ht="15.6">
      <c r="A271" s="475"/>
      <c r="B271" s="194"/>
      <c r="C271" s="289"/>
      <c r="D271" s="201"/>
      <c r="E271" s="210"/>
      <c r="F271" s="210"/>
      <c r="G271" s="210"/>
      <c r="H271" s="210"/>
      <c r="I271" s="194"/>
      <c r="J271" s="210"/>
      <c r="K271" s="194"/>
      <c r="L271" s="290"/>
      <c r="M271" s="194"/>
      <c r="N271" s="201"/>
      <c r="O271" s="196"/>
      <c r="P271" s="196"/>
    </row>
    <row r="272" spans="1:16" ht="20.399999999999999">
      <c r="A272" s="201"/>
      <c r="B272" s="194"/>
      <c r="C272" s="279" t="s">
        <v>91</v>
      </c>
      <c r="D272" s="227"/>
      <c r="E272" s="210"/>
      <c r="F272" s="210"/>
      <c r="G272" s="210"/>
      <c r="H272" s="210"/>
      <c r="I272" s="194"/>
      <c r="J272" s="210"/>
      <c r="K272" s="194"/>
      <c r="L272" s="210"/>
      <c r="M272" s="291"/>
      <c r="N272" s="292"/>
      <c r="O272" s="196"/>
      <c r="P272" s="196"/>
    </row>
    <row r="273" spans="1:20" ht="20.399999999999999">
      <c r="A273" s="201" t="s">
        <v>93</v>
      </c>
      <c r="B273" s="194"/>
      <c r="C273" s="279" t="s">
        <v>92</v>
      </c>
      <c r="D273" s="250"/>
      <c r="E273" s="210"/>
      <c r="F273" s="210"/>
      <c r="G273" s="210"/>
      <c r="H273" s="210"/>
      <c r="I273" s="194"/>
      <c r="J273" s="210"/>
      <c r="K273" s="194"/>
      <c r="L273" s="210"/>
      <c r="M273" s="291"/>
      <c r="N273" s="292"/>
      <c r="O273" s="196"/>
      <c r="P273" s="196"/>
    </row>
    <row r="274" spans="1:20" ht="20.399999999999999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1"/>
      <c r="N274" s="293"/>
      <c r="O274" s="196"/>
      <c r="P274" s="196"/>
    </row>
    <row r="275" spans="1:20" ht="20.25" customHeight="1">
      <c r="A275" s="376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78"/>
      <c r="N275" s="293"/>
      <c r="O275" s="196"/>
      <c r="P275" s="196"/>
    </row>
    <row r="276" spans="1:20" ht="20.25" customHeight="1">
      <c r="A276" s="376"/>
      <c r="B276" s="2"/>
      <c r="C276" s="305" t="s">
        <v>248</v>
      </c>
      <c r="D276" s="340"/>
      <c r="E276" s="305"/>
      <c r="F276" s="305"/>
      <c r="G276" s="307"/>
      <c r="H276" s="307"/>
      <c r="I276" s="306"/>
      <c r="J276" s="307"/>
      <c r="K276" s="306"/>
      <c r="L276" s="307"/>
      <c r="M276" s="378"/>
      <c r="N276" s="293"/>
      <c r="O276" s="196"/>
      <c r="P276" s="196"/>
    </row>
    <row r="277" spans="1:20" ht="20.25" customHeight="1">
      <c r="A277" s="376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78"/>
      <c r="N277" s="293"/>
      <c r="O277" s="196"/>
      <c r="P277" s="196"/>
    </row>
    <row r="278" spans="1:20" ht="20.25" customHeight="1">
      <c r="A278" s="376"/>
      <c r="B278" s="2"/>
      <c r="C278" s="305" t="s">
        <v>406</v>
      </c>
      <c r="D278" s="305"/>
      <c r="E278" s="340"/>
      <c r="F278" s="305"/>
      <c r="G278" s="307"/>
      <c r="H278" s="307"/>
      <c r="I278" s="306"/>
      <c r="J278" s="307"/>
      <c r="K278" s="306"/>
      <c r="L278" s="307"/>
      <c r="M278" s="378"/>
      <c r="N278" s="293"/>
      <c r="O278" s="196"/>
      <c r="P278" s="196"/>
    </row>
    <row r="279" spans="1:20" ht="20.25" customHeight="1">
      <c r="A279" s="376" t="s">
        <v>96</v>
      </c>
      <c r="B279" s="306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78"/>
      <c r="N279" s="293"/>
      <c r="O279" s="196"/>
      <c r="P279" s="196"/>
    </row>
    <row r="280" spans="1:20" ht="20.25" customHeight="1">
      <c r="A280" s="376" t="s">
        <v>97</v>
      </c>
      <c r="B280" s="306"/>
      <c r="C280" s="337" t="s">
        <v>542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78"/>
      <c r="N280" s="293"/>
      <c r="O280" s="196"/>
      <c r="P280" s="196"/>
    </row>
    <row r="281" spans="1:20" ht="20.25" customHeight="1">
      <c r="A281" s="376" t="s">
        <v>98</v>
      </c>
      <c r="B281" s="306"/>
      <c r="C281" s="594" t="s">
        <v>559</v>
      </c>
      <c r="D281" s="592"/>
      <c r="E281" s="593"/>
      <c r="F281" s="593"/>
      <c r="G281" s="307"/>
      <c r="H281" s="307"/>
      <c r="I281" s="306"/>
      <c r="J281" s="307"/>
      <c r="K281" s="306"/>
      <c r="L281" s="307"/>
      <c r="M281" s="378"/>
      <c r="N281" s="547"/>
      <c r="O281" s="305"/>
      <c r="P281" s="305"/>
      <c r="Q281" s="2"/>
      <c r="R281" s="2"/>
      <c r="S281" s="2"/>
      <c r="T281" s="2"/>
    </row>
    <row r="282" spans="1:20" ht="20.25" customHeight="1">
      <c r="A282" s="376"/>
      <c r="B282" s="306"/>
      <c r="C282" s="594" t="s">
        <v>381</v>
      </c>
      <c r="D282" s="592"/>
      <c r="E282" s="593"/>
      <c r="F282" s="593"/>
      <c r="G282" s="307"/>
      <c r="H282" s="307"/>
      <c r="I282" s="306"/>
      <c r="J282" s="307"/>
      <c r="K282" s="306"/>
      <c r="L282" s="307"/>
      <c r="M282" s="378"/>
      <c r="N282" s="497"/>
      <c r="O282" s="305"/>
      <c r="P282" s="305"/>
      <c r="Q282" s="2"/>
      <c r="R282" s="2"/>
      <c r="S282" s="2"/>
      <c r="T282" s="2"/>
    </row>
    <row r="283" spans="1:20" ht="20.25" customHeight="1">
      <c r="A283" s="376"/>
      <c r="B283" s="306"/>
      <c r="C283" s="594" t="s">
        <v>560</v>
      </c>
      <c r="D283" s="592"/>
      <c r="E283" s="593"/>
      <c r="F283" s="593"/>
      <c r="G283" s="307"/>
      <c r="H283" s="307"/>
      <c r="I283" s="306"/>
      <c r="J283" s="307"/>
      <c r="K283" s="306"/>
      <c r="L283" s="307"/>
      <c r="M283" s="378"/>
      <c r="N283" s="497"/>
      <c r="O283" s="305"/>
      <c r="P283" s="305"/>
      <c r="Q283" s="2"/>
      <c r="R283" s="2"/>
      <c r="S283" s="2"/>
      <c r="T283" s="2"/>
    </row>
    <row r="284" spans="1:20" ht="20.25" customHeight="1">
      <c r="A284" s="376" t="s">
        <v>99</v>
      </c>
      <c r="B284" s="306"/>
      <c r="C284" s="594" t="s">
        <v>561</v>
      </c>
      <c r="D284" s="592"/>
      <c r="E284" s="593"/>
      <c r="F284" s="593"/>
      <c r="G284" s="307"/>
      <c r="H284" s="307"/>
      <c r="I284" s="306"/>
      <c r="J284" s="307"/>
      <c r="K284" s="306"/>
      <c r="L284" s="307"/>
      <c r="M284" s="378"/>
      <c r="N284" s="293"/>
      <c r="O284" s="196"/>
      <c r="P284" s="196"/>
    </row>
    <row r="285" spans="1:20" ht="20.25" customHeight="1">
      <c r="A285" s="376"/>
      <c r="B285" s="306"/>
      <c r="C285" s="594" t="s">
        <v>381</v>
      </c>
      <c r="D285" s="592"/>
      <c r="E285" s="593"/>
      <c r="F285" s="593"/>
      <c r="G285" s="307"/>
      <c r="H285" s="307"/>
      <c r="I285" s="306"/>
      <c r="J285" s="307"/>
      <c r="K285" s="306"/>
      <c r="L285" s="307"/>
      <c r="M285" s="378"/>
      <c r="N285" s="293"/>
      <c r="O285" s="196"/>
      <c r="P285" s="196"/>
    </row>
    <row r="286" spans="1:20" ht="20.25" customHeight="1">
      <c r="A286" s="376"/>
      <c r="B286" s="306"/>
      <c r="C286" s="594" t="s">
        <v>562</v>
      </c>
      <c r="D286" s="592"/>
      <c r="E286" s="593"/>
      <c r="F286" s="593"/>
      <c r="G286" s="307"/>
      <c r="H286" s="307"/>
      <c r="I286" s="306"/>
      <c r="J286" s="307"/>
      <c r="K286" s="306"/>
      <c r="L286" s="307"/>
      <c r="M286" s="378"/>
      <c r="N286" s="293"/>
      <c r="O286" s="196"/>
      <c r="P286" s="196"/>
    </row>
    <row r="287" spans="1:20" ht="20.25" customHeight="1">
      <c r="A287" s="376" t="s">
        <v>100</v>
      </c>
      <c r="B287" s="306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7"/>
      <c r="F287" s="307"/>
      <c r="G287" s="307"/>
      <c r="H287" s="307"/>
      <c r="I287" s="306"/>
      <c r="J287" s="307"/>
      <c r="K287" s="306"/>
      <c r="L287" s="307"/>
      <c r="M287" s="378"/>
      <c r="N287" s="293"/>
      <c r="O287" s="196"/>
      <c r="P287" s="196"/>
    </row>
    <row r="288" spans="1:20" ht="20.25" customHeight="1">
      <c r="A288" s="376" t="s">
        <v>101</v>
      </c>
      <c r="B288" s="2"/>
      <c r="C288" s="338" t="s">
        <v>536</v>
      </c>
      <c r="D288" s="338"/>
      <c r="E288" s="307"/>
      <c r="F288" s="307"/>
      <c r="G288" s="307"/>
      <c r="H288" s="307"/>
      <c r="I288" s="306"/>
      <c r="J288" s="307"/>
      <c r="K288" s="306"/>
      <c r="L288" s="307"/>
      <c r="M288" s="378"/>
      <c r="N288" s="293"/>
      <c r="O288" s="196"/>
      <c r="P288" s="196"/>
    </row>
    <row r="289" spans="1:22" ht="20.25" customHeight="1">
      <c r="A289" s="376"/>
      <c r="B289" s="306"/>
      <c r="C289" s="338" t="s">
        <v>543</v>
      </c>
      <c r="D289" s="2"/>
      <c r="E289" s="2"/>
      <c r="F289" s="307"/>
      <c r="G289" s="307"/>
      <c r="H289" s="2"/>
      <c r="I289" s="338"/>
      <c r="J289" s="338"/>
      <c r="K289" s="306"/>
      <c r="L289" s="307"/>
      <c r="M289" s="378"/>
      <c r="N289" s="293"/>
      <c r="O289" s="196"/>
      <c r="P289" s="196"/>
    </row>
    <row r="290" spans="1:22" ht="20.25" customHeight="1">
      <c r="A290" s="501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1"/>
      <c r="N290" s="293"/>
      <c r="O290" s="196"/>
      <c r="P290" s="196"/>
    </row>
    <row r="291" spans="1:22" ht="20.25" customHeight="1">
      <c r="A291" s="501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1"/>
      <c r="N291" s="293"/>
      <c r="O291" s="196"/>
      <c r="P291" s="196"/>
    </row>
    <row r="292" spans="1:22" ht="35.25" customHeight="1">
      <c r="A292" s="501"/>
      <c r="B292" s="194"/>
      <c r="C292" s="786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786"/>
      <c r="E292" s="786"/>
      <c r="F292" s="786"/>
      <c r="G292" s="786"/>
      <c r="H292" s="786"/>
      <c r="I292" s="786"/>
      <c r="J292" s="786"/>
      <c r="K292" s="306"/>
      <c r="L292" s="307"/>
      <c r="M292" s="481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501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81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501" t="s">
        <v>103</v>
      </c>
      <c r="B294" s="194"/>
      <c r="C294" s="306" t="s">
        <v>510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81"/>
      <c r="N294" s="379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501"/>
      <c r="B295" s="194"/>
      <c r="C295" s="306" t="s">
        <v>511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81"/>
      <c r="N295" s="379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76" t="s">
        <v>104</v>
      </c>
      <c r="B296" s="306"/>
      <c r="C296" s="306" t="s">
        <v>524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501" t="s">
        <v>105</v>
      </c>
      <c r="B297" s="194"/>
      <c r="C297" s="306" t="s">
        <v>509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1"/>
      <c r="N297" s="293"/>
      <c r="O297" s="196"/>
      <c r="P297" s="196"/>
    </row>
    <row r="298" spans="1:22" ht="20.25" customHeight="1">
      <c r="A298" s="501"/>
      <c r="B298" s="194"/>
      <c r="C298" s="306" t="s">
        <v>512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1"/>
      <c r="N298" s="294"/>
      <c r="O298" s="196"/>
      <c r="P298" s="196"/>
    </row>
    <row r="299" spans="1:22" ht="20.25" customHeight="1">
      <c r="A299" s="501"/>
      <c r="B299" s="194"/>
      <c r="C299" s="306" t="s">
        <v>513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1"/>
      <c r="N299" s="294"/>
      <c r="O299" s="196"/>
      <c r="P299" s="196"/>
    </row>
    <row r="300" spans="1:22" ht="20.25" customHeight="1">
      <c r="A300" s="501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501" t="s">
        <v>107</v>
      </c>
      <c r="B301" s="194"/>
      <c r="C301" s="306" t="s">
        <v>405</v>
      </c>
      <c r="D301" s="306"/>
      <c r="E301" s="338"/>
      <c r="F301" s="306"/>
      <c r="G301" s="306"/>
      <c r="H301" s="306"/>
      <c r="I301" s="306"/>
      <c r="J301" s="338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501" t="s">
        <v>108</v>
      </c>
      <c r="B302" s="194"/>
      <c r="C302" s="337" t="str">
        <f>CONCATENATE('Pg 7 of 8 Cap Str'!I30,TEXT('Pg 7 of 8 Cap Str'!J28,"#.00"))</f>
        <v>.00</v>
      </c>
      <c r="D302" s="306"/>
      <c r="E302" s="2"/>
      <c r="F302" s="338"/>
      <c r="G302" s="338"/>
      <c r="H302" s="338"/>
      <c r="I302" s="338"/>
      <c r="J302" s="338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501" t="s">
        <v>109</v>
      </c>
      <c r="B303" s="194"/>
      <c r="C303" s="337">
        <f>'Pg 7 of 8 Cap Str'!I31</f>
        <v>0</v>
      </c>
      <c r="D303" s="306"/>
      <c r="E303" s="2"/>
      <c r="F303" s="338"/>
      <c r="G303" s="338"/>
      <c r="H303" s="338"/>
      <c r="I303" s="338"/>
      <c r="J303" s="338"/>
      <c r="K303" s="306"/>
      <c r="L303" s="194"/>
      <c r="M303" s="291"/>
      <c r="N303" s="292"/>
      <c r="O303" s="196"/>
      <c r="P303" s="196"/>
    </row>
    <row r="304" spans="1:22" ht="20.25" customHeight="1">
      <c r="A304" s="501" t="s">
        <v>110</v>
      </c>
      <c r="B304" s="194"/>
      <c r="C304" s="306" t="s">
        <v>113</v>
      </c>
      <c r="D304" s="2"/>
      <c r="E304" s="2"/>
      <c r="F304" s="338"/>
      <c r="G304" s="482"/>
      <c r="H304" s="338"/>
      <c r="I304" s="338"/>
      <c r="J304" s="306"/>
      <c r="K304" s="306"/>
      <c r="L304" s="194"/>
      <c r="M304" s="291"/>
      <c r="N304" s="497"/>
      <c r="O304" s="196"/>
      <c r="P304" s="196"/>
    </row>
    <row r="305" spans="1:18" ht="20.25" customHeight="1">
      <c r="A305" s="511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78"/>
      <c r="N305" s="497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399999999999999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1"/>
      <c r="N308" s="292"/>
      <c r="O308" s="196"/>
      <c r="P308" s="196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1"/>
      <c r="N309" s="292"/>
      <c r="O309" s="196"/>
      <c r="P309" s="196"/>
    </row>
    <row r="310" spans="1:18" ht="20.399999999999999">
      <c r="F310" s="306"/>
      <c r="G310" s="306"/>
      <c r="H310" s="306"/>
      <c r="I310" s="194"/>
      <c r="J310" s="194"/>
      <c r="K310" s="194"/>
      <c r="L310" s="194"/>
      <c r="M310" s="291"/>
      <c r="N310" s="497"/>
      <c r="O310" s="196"/>
      <c r="P310" s="196"/>
    </row>
    <row r="311" spans="1:18" ht="20.399999999999999">
      <c r="D311" s="306"/>
      <c r="E311" s="306"/>
      <c r="F311" s="306"/>
      <c r="G311" s="306"/>
      <c r="H311" s="306"/>
      <c r="I311" s="194"/>
      <c r="J311" s="194"/>
      <c r="K311" s="194"/>
      <c r="L311" s="194"/>
      <c r="M311" s="291"/>
      <c r="N311" s="292"/>
      <c r="O311" s="196"/>
      <c r="P311" s="196"/>
    </row>
    <row r="312" spans="1:18" ht="20.399999999999999">
      <c r="F312" s="306"/>
      <c r="G312" s="306"/>
      <c r="H312" s="306"/>
      <c r="I312" s="194"/>
      <c r="J312" s="194"/>
      <c r="K312" s="194"/>
      <c r="L312" s="194"/>
      <c r="M312" s="291"/>
      <c r="N312" s="292"/>
      <c r="O312" s="196"/>
      <c r="P312" s="196"/>
    </row>
    <row r="313" spans="1:18" ht="20.399999999999999">
      <c r="F313" s="306"/>
      <c r="G313" s="306"/>
      <c r="H313" s="306"/>
      <c r="I313" s="194"/>
      <c r="J313" s="194"/>
      <c r="K313" s="194"/>
      <c r="L313" s="194"/>
      <c r="M313" s="291"/>
      <c r="N313" s="292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3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Z955"/>
  <sheetViews>
    <sheetView zoomScale="70" zoomScaleNormal="70" zoomScaleSheetLayoutView="70" workbookViewId="0">
      <selection activeCell="T20" sqref="T20"/>
    </sheetView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0" width="18.90625" style="99" bestFit="1" customWidth="1"/>
    <col min="11" max="11" width="11.90625" style="99" bestFit="1" customWidth="1"/>
    <col min="12" max="16384" width="9.36328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12/31/2014</v>
      </c>
      <c r="H5" s="108"/>
      <c r="J5" s="136"/>
    </row>
    <row r="6" spans="1:10" ht="15.6">
      <c r="A6" s="297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6">
      <c r="A8" s="135" t="str">
        <f>EKPC!A9</f>
        <v>Utilizing EKPC 2014 Form FF1 Data</v>
      </c>
      <c r="B8" s="135"/>
      <c r="C8" s="135"/>
      <c r="D8" s="135"/>
      <c r="E8" s="135"/>
      <c r="F8" s="135"/>
      <c r="G8" s="135"/>
      <c r="H8" s="128"/>
      <c r="I8" s="134"/>
    </row>
    <row r="9" spans="1:10" ht="15.6">
      <c r="A9" s="133" t="s">
        <v>598</v>
      </c>
      <c r="B9" s="133"/>
      <c r="C9" s="133"/>
      <c r="D9" s="133"/>
      <c r="E9" s="133"/>
      <c r="F9" s="133"/>
      <c r="G9" s="490"/>
      <c r="H9" s="128"/>
      <c r="I9" s="132"/>
    </row>
    <row r="10" spans="1:10" ht="15.6">
      <c r="B10" s="119"/>
      <c r="C10" s="118"/>
      <c r="D10" s="115"/>
      <c r="H10" s="128"/>
    </row>
    <row r="11" spans="1:10" ht="15.6">
      <c r="A11" s="556" t="s">
        <v>246</v>
      </c>
      <c r="B11" s="556"/>
      <c r="C11" s="556"/>
      <c r="D11" s="556"/>
      <c r="E11" s="556"/>
      <c r="F11" s="556"/>
      <c r="G11" s="556"/>
      <c r="H11" s="128"/>
      <c r="I11" s="131"/>
    </row>
    <row r="12" spans="1:10" ht="15.6">
      <c r="A12" s="130"/>
      <c r="B12" s="119"/>
      <c r="C12" s="118"/>
      <c r="D12" s="115"/>
      <c r="H12" s="128"/>
    </row>
    <row r="13" spans="1:10" ht="15.6">
      <c r="B13" s="119"/>
      <c r="C13" s="118"/>
      <c r="D13" s="115"/>
      <c r="E13" s="115"/>
      <c r="F13" s="129"/>
      <c r="G13" s="121"/>
      <c r="H13" s="128"/>
    </row>
    <row r="14" spans="1:10" ht="15.6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6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24"/>
      <c r="K17" s="524"/>
      <c r="L17" s="524"/>
      <c r="M17" s="524"/>
      <c r="N17" s="524"/>
    </row>
    <row r="18" spans="1:26">
      <c r="B18" s="119">
        <v>1</v>
      </c>
      <c r="C18" s="118"/>
      <c r="D18" s="124" t="s">
        <v>236</v>
      </c>
      <c r="E18" s="555" t="s">
        <v>530</v>
      </c>
      <c r="F18" s="117"/>
      <c r="G18" s="505">
        <f>'Pg 4 of 8 Sch 1 Charges 561'!D42</f>
        <v>2805935.66</v>
      </c>
      <c r="H18" s="126"/>
      <c r="J18" s="525"/>
      <c r="K18" s="526"/>
      <c r="L18" s="489"/>
      <c r="M18" s="489"/>
      <c r="N18" s="489"/>
      <c r="O18" s="101"/>
      <c r="P18" s="101"/>
      <c r="Q18" s="101"/>
    </row>
    <row r="19" spans="1:26">
      <c r="B19" s="119"/>
      <c r="C19" s="118"/>
      <c r="D19" s="124" t="s">
        <v>566</v>
      </c>
      <c r="E19" s="487"/>
      <c r="F19" s="488"/>
      <c r="G19" s="504">
        <f>G35/G34*G18</f>
        <v>50284.776550080896</v>
      </c>
      <c r="H19" s="126"/>
      <c r="J19" s="525"/>
      <c r="K19" s="489"/>
      <c r="L19" s="489"/>
      <c r="M19" s="489"/>
      <c r="N19" s="489"/>
      <c r="O19" s="101"/>
      <c r="P19" s="101"/>
      <c r="Q19" s="101"/>
    </row>
    <row r="20" spans="1:26">
      <c r="B20" s="119"/>
      <c r="C20" s="118"/>
      <c r="D20" s="124" t="s">
        <v>502</v>
      </c>
      <c r="E20" s="469"/>
      <c r="F20" s="117"/>
      <c r="G20" s="504">
        <f>G18-G19</f>
        <v>2755650.8834499191</v>
      </c>
      <c r="H20" s="126"/>
      <c r="J20" s="527"/>
      <c r="K20" s="489"/>
      <c r="L20" s="489"/>
      <c r="M20" s="489"/>
      <c r="N20" s="489"/>
      <c r="O20" s="101"/>
      <c r="P20" s="101"/>
      <c r="Q20" s="101"/>
    </row>
    <row r="21" spans="1:26">
      <c r="B21" s="119"/>
      <c r="C21" s="118"/>
      <c r="D21" s="124"/>
      <c r="E21" s="469"/>
      <c r="F21" s="117"/>
      <c r="G21" s="392"/>
      <c r="H21" s="126"/>
      <c r="J21" s="489"/>
      <c r="K21" s="489"/>
      <c r="L21" s="489"/>
      <c r="M21" s="489"/>
      <c r="N21" s="489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2"/>
      <c r="H22" s="125"/>
    </row>
    <row r="23" spans="1:26" ht="15.6">
      <c r="B23" s="119">
        <v>2</v>
      </c>
      <c r="C23" s="118"/>
      <c r="D23" s="124" t="s">
        <v>452</v>
      </c>
      <c r="E23" s="117" t="s">
        <v>451</v>
      </c>
      <c r="F23" s="108"/>
      <c r="G23" s="741">
        <v>0</v>
      </c>
      <c r="H23"/>
      <c r="J23" s="765"/>
      <c r="K23" s="101"/>
      <c r="L23" s="101"/>
      <c r="M23" s="101"/>
      <c r="N23" s="101"/>
      <c r="O23" s="101"/>
      <c r="P23" s="101"/>
    </row>
    <row r="24" spans="1:26" ht="15.6">
      <c r="B24" s="119"/>
      <c r="C24" s="118"/>
      <c r="D24" s="124"/>
      <c r="E24" s="115"/>
      <c r="F24" s="117"/>
      <c r="G24" s="393"/>
      <c r="H24" s="125"/>
      <c r="J24" s="765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20" t="s">
        <v>235</v>
      </c>
      <c r="E25" s="421"/>
      <c r="F25" s="422"/>
      <c r="G25" s="504">
        <f>G20-G23</f>
        <v>2755650.8834499191</v>
      </c>
      <c r="H25" s="125"/>
    </row>
    <row r="26" spans="1:26">
      <c r="B26" s="119"/>
      <c r="C26" s="118"/>
      <c r="D26" s="124"/>
      <c r="E26" s="115"/>
      <c r="F26" s="117"/>
      <c r="G26" s="392"/>
      <c r="H26" s="123"/>
    </row>
    <row r="27" spans="1:26">
      <c r="B27" s="119">
        <v>4</v>
      </c>
      <c r="C27" s="118"/>
      <c r="D27" s="124" t="str">
        <f>CONCATENATE("Less: True Up Under/(Over) Recovery for 12 months ended  ",'Appx C - True Up'!I11)</f>
        <v xml:space="preserve">Less: True Up Under/(Over) Recovery for 12 months ended  </v>
      </c>
      <c r="E27" s="118" t="s">
        <v>450</v>
      </c>
      <c r="F27" s="117"/>
      <c r="G27" s="392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2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Up'!I13)</f>
        <v xml:space="preserve">Schedule 1A Recovery Amount for 12 Months ended </v>
      </c>
      <c r="E29" s="115"/>
      <c r="F29" s="117"/>
      <c r="G29" s="503">
        <f>G25+G27</f>
        <v>2755650.8834499191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710" t="s">
        <v>597</v>
      </c>
      <c r="E32" s="118" t="s">
        <v>453</v>
      </c>
      <c r="F32" s="117"/>
      <c r="G32" s="742">
        <v>13119594</v>
      </c>
      <c r="H32" s="106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54" t="s">
        <v>391</v>
      </c>
      <c r="C33" s="118"/>
      <c r="D33" s="109" t="s">
        <v>571</v>
      </c>
      <c r="E33" s="138" t="s">
        <v>467</v>
      </c>
      <c r="F33" s="117"/>
      <c r="G33" s="743">
        <f>805511-693931</f>
        <v>111580</v>
      </c>
      <c r="H33" s="10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54" t="s">
        <v>563</v>
      </c>
      <c r="C34" s="118"/>
      <c r="D34" s="109" t="s">
        <v>549</v>
      </c>
      <c r="E34" s="118" t="s">
        <v>574</v>
      </c>
      <c r="F34" s="117"/>
      <c r="G34" s="601">
        <f>G32+G33</f>
        <v>13231174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54" t="s">
        <v>564</v>
      </c>
      <c r="C35" s="118"/>
      <c r="D35" s="109" t="s">
        <v>580</v>
      </c>
      <c r="E35" s="118" t="s">
        <v>578</v>
      </c>
      <c r="F35" s="117"/>
      <c r="G35" s="742">
        <v>237114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2" thickBot="1">
      <c r="B36" s="554" t="s">
        <v>565</v>
      </c>
      <c r="C36" s="118"/>
      <c r="D36" s="109" t="s">
        <v>550</v>
      </c>
      <c r="E36" s="118"/>
      <c r="F36" s="117"/>
      <c r="G36" s="602">
        <f>G34-G35</f>
        <v>12994060</v>
      </c>
      <c r="H36" s="106" t="s">
        <v>232</v>
      </c>
      <c r="J36" s="766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80"/>
      <c r="Y36"/>
      <c r="Z36"/>
    </row>
    <row r="37" spans="1:26" ht="15.6">
      <c r="B37" s="111"/>
      <c r="C37" s="118"/>
      <c r="D37" s="109"/>
      <c r="E37" s="118"/>
      <c r="F37" s="117"/>
      <c r="G37" s="401"/>
      <c r="H37" s="106"/>
      <c r="J37" s="767"/>
      <c r="K37" s="580"/>
      <c r="L37" s="580"/>
      <c r="M37" s="580"/>
      <c r="N37" s="580"/>
      <c r="O37" s="580"/>
      <c r="P37" s="101"/>
      <c r="Q37" s="101"/>
      <c r="R37" s="101"/>
      <c r="S37" s="101"/>
      <c r="T37" s="101"/>
      <c r="U37" s="101"/>
      <c r="V37" s="101"/>
      <c r="W37" s="101"/>
      <c r="X37" s="580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6">
      <c r="A39" s="101"/>
      <c r="B39" s="111">
        <f>+B32+1</f>
        <v>7</v>
      </c>
      <c r="C39" s="110"/>
      <c r="D39" s="109" t="s">
        <v>449</v>
      </c>
      <c r="E39" s="114" t="str">
        <f>"(Line "&amp;B25&amp;" / Line "&amp;B32&amp;")"</f>
        <v>(Line 3 / Line 6)</v>
      </c>
      <c r="F39" s="107"/>
      <c r="G39" s="112">
        <f>+G29/G36</f>
        <v>0.21207004457805481</v>
      </c>
      <c r="H39" s="113" t="s">
        <v>231</v>
      </c>
      <c r="J39" s="768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4" t="s">
        <v>144</v>
      </c>
      <c r="C43" s="365"/>
      <c r="D43" s="366"/>
      <c r="E43" s="706"/>
      <c r="F43" s="706"/>
      <c r="G43" s="707"/>
      <c r="H43" s="706"/>
      <c r="I43" s="103"/>
      <c r="J43" s="103"/>
    </row>
    <row r="44" spans="1:26" ht="30" customHeight="1">
      <c r="B44" s="616" t="s">
        <v>16</v>
      </c>
      <c r="C44" s="110"/>
      <c r="D44" s="787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787"/>
      <c r="F44" s="787"/>
      <c r="G44" s="787"/>
      <c r="H44" s="787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399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28"/>
      <c r="J45" s="711"/>
      <c r="K45" s="101"/>
      <c r="L45" s="101"/>
      <c r="M45" s="101"/>
      <c r="N45" s="101"/>
      <c r="O45" s="101"/>
    </row>
    <row r="46" spans="1:26" ht="15" customHeight="1">
      <c r="B46" s="399" t="s">
        <v>18</v>
      </c>
      <c r="C46" s="106"/>
      <c r="D46" s="787" t="s">
        <v>572</v>
      </c>
      <c r="E46" s="786"/>
      <c r="F46" s="786"/>
      <c r="G46" s="786"/>
      <c r="H46" s="110"/>
      <c r="I46" s="529"/>
      <c r="J46" s="103"/>
      <c r="K46" s="101"/>
      <c r="L46" s="101"/>
      <c r="M46" s="101"/>
      <c r="N46" s="101"/>
      <c r="O46" s="101"/>
    </row>
    <row r="47" spans="1:26">
      <c r="B47" s="399" t="s">
        <v>19</v>
      </c>
      <c r="C47" s="106"/>
      <c r="D47" s="101" t="s">
        <v>575</v>
      </c>
      <c r="E47" s="110"/>
      <c r="F47" s="110"/>
      <c r="G47" s="110"/>
      <c r="H47" s="110"/>
      <c r="I47" s="528"/>
      <c r="J47" s="103"/>
      <c r="K47" s="101"/>
      <c r="L47" s="101"/>
      <c r="M47" s="101"/>
      <c r="N47" s="101"/>
      <c r="O47" s="101"/>
    </row>
    <row r="48" spans="1:26">
      <c r="B48" s="399" t="s">
        <v>20</v>
      </c>
      <c r="C48" s="103"/>
      <c r="D48" s="101" t="s">
        <v>576</v>
      </c>
      <c r="E48" s="103"/>
      <c r="F48" s="103"/>
      <c r="G48" s="103"/>
      <c r="H48" s="103"/>
      <c r="I48" s="103"/>
      <c r="J48" s="103"/>
    </row>
    <row r="49" spans="2:10">
      <c r="B49" s="399" t="s">
        <v>388</v>
      </c>
      <c r="C49" s="103"/>
      <c r="D49" s="101" t="s">
        <v>579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71" orientation="landscape" horizontalDpi="1200" verticalDpi="1200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AW296"/>
  <sheetViews>
    <sheetView topLeftCell="A49" zoomScale="70" zoomScaleNormal="70" workbookViewId="0">
      <selection activeCell="G27" sqref="G27"/>
    </sheetView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12/31/2014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792" t="str">
        <f>EKPC!A11</f>
        <v>East Kentucky Power Cooperative, Inc.</v>
      </c>
      <c r="B9" s="792"/>
      <c r="C9" s="792"/>
      <c r="D9" s="792"/>
      <c r="E9" s="792"/>
      <c r="F9" s="792"/>
      <c r="G9" s="792"/>
      <c r="H9" s="792"/>
      <c r="I9" s="79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23">
        <f>EKPC!J76</f>
        <v>556246087</v>
      </c>
      <c r="J19" s="548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3" t="str">
        <f>CONCATENATE(EKPC!J1,", p 2, line 14 col 5 (Note B)")</f>
        <v>Attachment H-24A, p 2, line 14 col 5 (Note B)</v>
      </c>
      <c r="F20" s="43"/>
      <c r="G20" s="423">
        <f>EKPC!J92</f>
        <v>396003947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23">
        <f>EKPC!J145</f>
        <v>31824802.951666668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5.7213531376566193E-2</v>
      </c>
      <c r="I24" s="45">
        <f>G24</f>
        <v>5.7213531376566193E-2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23">
        <f>EKPC!J149+EKPC!J150</f>
        <v>1171788</v>
      </c>
      <c r="J27" s="548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2.1065999876418006E-3</v>
      </c>
      <c r="I28" s="45">
        <f>G28</f>
        <v>2.1065999876418006E-3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23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5.9320131364207995E-2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23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23">
        <f>EKPC!J176</f>
        <v>28813408.634200376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7.2760407699169666E-2</v>
      </c>
      <c r="I42" s="45">
        <f>G42</f>
        <v>7.2760407699169666E-2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7.2760407699169666E-2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61" t="s">
        <v>93</v>
      </c>
      <c r="B46" s="471"/>
      <c r="C46" s="471"/>
      <c r="D46" s="471"/>
      <c r="E46" s="471"/>
      <c r="F46" s="471"/>
      <c r="G46" s="471"/>
      <c r="H46" s="471"/>
      <c r="I46" s="471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60" t="s">
        <v>95</v>
      </c>
      <c r="B47" s="571"/>
      <c r="C47" s="793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793"/>
      <c r="E47" s="793"/>
      <c r="F47" s="793"/>
      <c r="G47" s="793"/>
      <c r="H47" s="793"/>
      <c r="I47" s="793"/>
      <c r="J47" s="522"/>
      <c r="K47" s="512"/>
      <c r="L47" s="512"/>
      <c r="M47" s="512"/>
      <c r="N47" s="512"/>
    </row>
    <row r="48" spans="1:49" ht="30" customHeight="1">
      <c r="A48" s="560" t="s">
        <v>96</v>
      </c>
      <c r="B48" s="571"/>
      <c r="C48" s="78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788"/>
      <c r="E48" s="788"/>
      <c r="F48" s="788"/>
      <c r="G48" s="788"/>
      <c r="H48" s="788"/>
      <c r="I48" s="788"/>
      <c r="J48" s="522"/>
      <c r="K48" s="512"/>
      <c r="L48" s="512"/>
      <c r="M48" s="512"/>
      <c r="N48" s="512"/>
    </row>
    <row r="49" spans="1:49" ht="29.25" customHeight="1">
      <c r="A49" s="560" t="s">
        <v>97</v>
      </c>
      <c r="B49" s="571"/>
      <c r="C49" s="788" t="s">
        <v>208</v>
      </c>
      <c r="D49" s="788"/>
      <c r="E49" s="788"/>
      <c r="F49" s="788"/>
      <c r="G49" s="788"/>
      <c r="H49" s="788"/>
      <c r="I49" s="788"/>
      <c r="J49" s="523"/>
      <c r="K49" s="513"/>
      <c r="L49" s="513"/>
      <c r="M49" s="513"/>
      <c r="N49" s="513"/>
    </row>
    <row r="50" spans="1:49">
      <c r="A50" s="560" t="s">
        <v>98</v>
      </c>
      <c r="B50" s="571"/>
      <c r="C50" s="788" t="s">
        <v>209</v>
      </c>
      <c r="D50" s="788"/>
      <c r="E50" s="788"/>
      <c r="F50" s="788"/>
      <c r="G50" s="788"/>
      <c r="H50" s="788"/>
      <c r="I50" s="788"/>
      <c r="J50" s="523"/>
      <c r="K50" s="513"/>
      <c r="L50" s="513"/>
      <c r="M50" s="513"/>
      <c r="N50" s="513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60" t="s">
        <v>99</v>
      </c>
      <c r="B51" s="571"/>
      <c r="C51" s="788" t="s">
        <v>544</v>
      </c>
      <c r="D51" s="788"/>
      <c r="E51" s="788"/>
      <c r="F51" s="788"/>
      <c r="G51" s="788"/>
      <c r="H51" s="788"/>
      <c r="I51" s="788"/>
      <c r="J51" s="522"/>
      <c r="K51" s="626"/>
      <c r="L51" s="626"/>
      <c r="M51" s="626"/>
      <c r="N51" s="626"/>
      <c r="O51" s="9"/>
      <c r="P51" s="9"/>
      <c r="Q51" s="13"/>
      <c r="R51" s="9"/>
      <c r="S51" s="9"/>
      <c r="T51" s="9"/>
      <c r="U51" s="9"/>
      <c r="V51" s="9"/>
      <c r="W51" s="13"/>
      <c r="X51" s="3" t="s">
        <v>541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60" t="s">
        <v>100</v>
      </c>
      <c r="B52" s="571"/>
      <c r="C52" s="788" t="s">
        <v>210</v>
      </c>
      <c r="D52" s="788"/>
      <c r="E52" s="788"/>
      <c r="F52" s="788"/>
      <c r="G52" s="788"/>
      <c r="H52" s="788"/>
      <c r="I52" s="788"/>
      <c r="J52" s="522"/>
      <c r="K52" s="626"/>
      <c r="L52" s="626"/>
      <c r="M52" s="626"/>
      <c r="N52" s="626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60" t="s">
        <v>101</v>
      </c>
      <c r="B53" s="571"/>
      <c r="C53" s="788" t="s">
        <v>547</v>
      </c>
      <c r="D53" s="788"/>
      <c r="E53" s="788"/>
      <c r="F53" s="788"/>
      <c r="G53" s="788"/>
      <c r="H53" s="788"/>
      <c r="I53" s="788"/>
      <c r="J53" s="522"/>
      <c r="K53" s="626"/>
      <c r="L53" s="626"/>
      <c r="M53" s="626"/>
      <c r="N53" s="626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60" t="s">
        <v>102</v>
      </c>
      <c r="B54" s="571"/>
      <c r="C54" s="788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788"/>
      <c r="E54" s="788"/>
      <c r="F54" s="788"/>
      <c r="G54" s="788"/>
      <c r="H54" s="788"/>
      <c r="I54" s="788"/>
      <c r="J54" s="521"/>
      <c r="K54" s="626"/>
      <c r="L54" s="626"/>
      <c r="M54" s="626"/>
      <c r="N54" s="626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12/31/2014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27" t="s">
        <v>188</v>
      </c>
      <c r="L61" s="628"/>
      <c r="M61" s="628" t="s">
        <v>164</v>
      </c>
      <c r="N61" s="629" t="s">
        <v>269</v>
      </c>
      <c r="O61" s="61" t="s">
        <v>189</v>
      </c>
      <c r="P61" s="61" t="s">
        <v>181</v>
      </c>
      <c r="Q61" s="630" t="s">
        <v>190</v>
      </c>
      <c r="R61" s="61" t="s">
        <v>191</v>
      </c>
      <c r="S61" s="61" t="s">
        <v>187</v>
      </c>
      <c r="T61" s="630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32" t="s">
        <v>1</v>
      </c>
      <c r="L64" s="9"/>
      <c r="M64" s="9"/>
      <c r="N64" s="9"/>
      <c r="O64" s="704">
        <v>0</v>
      </c>
      <c r="P64" s="56">
        <f>$I$34</f>
        <v>5.9320131364207995E-2</v>
      </c>
      <c r="Q64" s="631">
        <f>O64*P64</f>
        <v>0</v>
      </c>
      <c r="R64" s="705">
        <v>0</v>
      </c>
      <c r="S64" s="56">
        <f>$I$44</f>
        <v>7.2760407699169666E-2</v>
      </c>
      <c r="T64" s="631">
        <f>R64*S64</f>
        <v>0</v>
      </c>
      <c r="U64" s="75">
        <v>0</v>
      </c>
      <c r="V64" s="631">
        <f>Q64+T64+U64</f>
        <v>0</v>
      </c>
      <c r="W64" s="705">
        <v>0</v>
      </c>
      <c r="X64" s="631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32" t="s">
        <v>204</v>
      </c>
      <c r="L65" s="9"/>
      <c r="M65" s="9"/>
      <c r="N65" s="9"/>
      <c r="O65" s="704">
        <v>0</v>
      </c>
      <c r="P65" s="56">
        <f>$I$34</f>
        <v>5.9320131364207995E-2</v>
      </c>
      <c r="Q65" s="631">
        <f>O65*P65</f>
        <v>0</v>
      </c>
      <c r="R65" s="705">
        <v>0</v>
      </c>
      <c r="S65" s="56">
        <f>$I$44</f>
        <v>7.2760407699169666E-2</v>
      </c>
      <c r="T65" s="631">
        <f>R65*S65</f>
        <v>0</v>
      </c>
      <c r="U65" s="75">
        <v>0</v>
      </c>
      <c r="V65" s="631">
        <f>Q65+T65+U65</f>
        <v>0</v>
      </c>
      <c r="W65" s="705">
        <v>0</v>
      </c>
      <c r="X65" s="631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32" t="s">
        <v>205</v>
      </c>
      <c r="L66" s="9"/>
      <c r="M66" s="9"/>
      <c r="N66" s="9"/>
      <c r="O66" s="704">
        <v>0</v>
      </c>
      <c r="P66" s="56">
        <f>$I$34</f>
        <v>5.9320131364207995E-2</v>
      </c>
      <c r="Q66" s="631">
        <f>O66*P66</f>
        <v>0</v>
      </c>
      <c r="R66" s="705">
        <v>0</v>
      </c>
      <c r="S66" s="56">
        <f>$I$44</f>
        <v>7.2760407699169666E-2</v>
      </c>
      <c r="T66" s="631">
        <f>R66*S66</f>
        <v>0</v>
      </c>
      <c r="U66" s="75">
        <v>0</v>
      </c>
      <c r="V66" s="631">
        <f>Q66+T66+U66</f>
        <v>0</v>
      </c>
      <c r="W66" s="705">
        <v>0</v>
      </c>
      <c r="X66" s="631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32"/>
      <c r="L67" s="9"/>
      <c r="M67" s="9"/>
      <c r="N67" s="9"/>
      <c r="O67" s="9"/>
      <c r="P67" s="9"/>
      <c r="Q67" s="631"/>
      <c r="R67" s="9"/>
      <c r="S67" s="9"/>
      <c r="T67" s="631"/>
      <c r="U67" s="9"/>
      <c r="V67" s="631"/>
      <c r="W67" s="9"/>
      <c r="X67" s="631"/>
      <c r="Y67" s="73"/>
      <c r="Z67" s="73"/>
      <c r="AA67" s="73"/>
      <c r="AB67" s="73"/>
      <c r="AC67" s="73"/>
      <c r="AD67" s="73"/>
      <c r="AE67" s="73"/>
    </row>
    <row r="68" spans="11:31">
      <c r="K68" s="632"/>
      <c r="L68" s="9"/>
      <c r="M68" s="9"/>
      <c r="N68" s="9"/>
      <c r="O68" s="9"/>
      <c r="P68" s="9"/>
      <c r="Q68" s="631"/>
      <c r="R68" s="9"/>
      <c r="S68" s="9"/>
      <c r="T68" s="631"/>
      <c r="U68" s="9"/>
      <c r="V68" s="631"/>
      <c r="W68" s="9"/>
      <c r="X68" s="631"/>
      <c r="Y68" s="73"/>
      <c r="Z68" s="73"/>
      <c r="AA68" s="73"/>
      <c r="AB68" s="73"/>
      <c r="AC68" s="73"/>
      <c r="AD68" s="73"/>
      <c r="AE68" s="73"/>
    </row>
    <row r="69" spans="11:31">
      <c r="K69" s="632"/>
      <c r="L69" s="9"/>
      <c r="M69" s="9"/>
      <c r="N69" s="9"/>
      <c r="O69" s="9"/>
      <c r="P69" s="9"/>
      <c r="Q69" s="631"/>
      <c r="R69" s="9"/>
      <c r="S69" s="9"/>
      <c r="T69" s="631"/>
      <c r="U69" s="9"/>
      <c r="V69" s="631"/>
      <c r="W69" s="9"/>
      <c r="X69" s="631"/>
      <c r="Y69" s="73"/>
      <c r="Z69" s="73"/>
      <c r="AA69" s="73"/>
      <c r="AB69" s="73"/>
      <c r="AC69" s="73"/>
      <c r="AD69" s="73"/>
      <c r="AE69" s="73"/>
    </row>
    <row r="70" spans="11:31">
      <c r="K70" s="632"/>
      <c r="L70" s="9"/>
      <c r="M70" s="9"/>
      <c r="N70" s="9"/>
      <c r="O70" s="9"/>
      <c r="P70" s="9"/>
      <c r="Q70" s="631"/>
      <c r="R70" s="9"/>
      <c r="S70" s="9"/>
      <c r="T70" s="631"/>
      <c r="U70" s="9"/>
      <c r="V70" s="631"/>
      <c r="W70" s="9"/>
      <c r="X70" s="631"/>
      <c r="Y70" s="73"/>
      <c r="Z70" s="73"/>
      <c r="AA70" s="73"/>
      <c r="AB70" s="73"/>
      <c r="AC70" s="73"/>
      <c r="AD70" s="73"/>
      <c r="AE70" s="73"/>
    </row>
    <row r="71" spans="11:31">
      <c r="K71" s="632"/>
      <c r="L71" s="9"/>
      <c r="M71" s="9"/>
      <c r="N71" s="9"/>
      <c r="O71" s="9"/>
      <c r="P71" s="9"/>
      <c r="Q71" s="631"/>
      <c r="R71" s="9"/>
      <c r="S71" s="9"/>
      <c r="T71" s="631"/>
      <c r="U71" s="9"/>
      <c r="V71" s="631"/>
      <c r="W71" s="9"/>
      <c r="X71" s="631"/>
      <c r="Y71" s="73"/>
      <c r="Z71" s="73"/>
      <c r="AA71" s="73"/>
      <c r="AB71" s="73"/>
      <c r="AC71" s="73"/>
      <c r="AD71" s="73"/>
      <c r="AE71" s="73"/>
    </row>
    <row r="72" spans="11:31">
      <c r="K72" s="632"/>
      <c r="L72" s="9"/>
      <c r="M72" s="7"/>
      <c r="N72" s="7"/>
      <c r="O72" s="7"/>
      <c r="P72" s="7"/>
      <c r="Q72" s="633"/>
      <c r="R72" s="7"/>
      <c r="S72" s="7"/>
      <c r="T72" s="633"/>
      <c r="U72" s="7"/>
      <c r="V72" s="633"/>
      <c r="W72" s="7"/>
      <c r="X72" s="633"/>
      <c r="Y72" s="73"/>
      <c r="Z72" s="73"/>
      <c r="AA72" s="73"/>
      <c r="AB72" s="73"/>
      <c r="AC72" s="73"/>
      <c r="AD72" s="73"/>
      <c r="AE72" s="73"/>
    </row>
    <row r="73" spans="11:31">
      <c r="K73" s="632"/>
      <c r="L73" s="9"/>
      <c r="M73" s="7"/>
      <c r="N73" s="7"/>
      <c r="O73" s="7"/>
      <c r="P73" s="7"/>
      <c r="Q73" s="633"/>
      <c r="R73" s="7"/>
      <c r="S73" s="7"/>
      <c r="T73" s="633"/>
      <c r="U73" s="7"/>
      <c r="V73" s="633"/>
      <c r="W73" s="7"/>
      <c r="X73" s="633"/>
      <c r="Y73" s="73"/>
      <c r="Z73" s="73"/>
      <c r="AA73" s="73"/>
      <c r="AB73" s="73"/>
      <c r="AC73" s="73"/>
      <c r="AD73" s="73"/>
      <c r="AE73" s="73"/>
    </row>
    <row r="74" spans="11:31">
      <c r="K74" s="632"/>
      <c r="L74" s="9"/>
      <c r="M74" s="7"/>
      <c r="N74" s="7"/>
      <c r="O74" s="7"/>
      <c r="P74" s="7"/>
      <c r="Q74" s="633"/>
      <c r="R74" s="7"/>
      <c r="S74" s="7"/>
      <c r="T74" s="633"/>
      <c r="U74" s="7"/>
      <c r="V74" s="633"/>
      <c r="W74" s="7"/>
      <c r="X74" s="633"/>
      <c r="Y74" s="73"/>
      <c r="Z74" s="73"/>
      <c r="AA74" s="73"/>
      <c r="AB74" s="73"/>
      <c r="AC74" s="73"/>
      <c r="AD74" s="73"/>
      <c r="AE74" s="73"/>
    </row>
    <row r="75" spans="11:31">
      <c r="K75" s="632"/>
      <c r="L75" s="9"/>
      <c r="M75" s="7"/>
      <c r="N75" s="7"/>
      <c r="O75" s="7"/>
      <c r="P75" s="7"/>
      <c r="Q75" s="633"/>
      <c r="R75" s="7"/>
      <c r="S75" s="7"/>
      <c r="T75" s="633"/>
      <c r="U75" s="7"/>
      <c r="V75" s="633"/>
      <c r="W75" s="7"/>
      <c r="X75" s="633"/>
      <c r="Y75" s="73"/>
      <c r="Z75" s="73"/>
      <c r="AA75" s="73"/>
      <c r="AB75" s="73"/>
      <c r="AC75" s="73"/>
      <c r="AD75" s="73"/>
      <c r="AE75" s="73"/>
    </row>
    <row r="76" spans="11:31">
      <c r="K76" s="632"/>
      <c r="L76" s="9"/>
      <c r="M76" s="7"/>
      <c r="N76" s="7"/>
      <c r="O76" s="7"/>
      <c r="P76" s="7"/>
      <c r="Q76" s="633"/>
      <c r="R76" s="7"/>
      <c r="S76" s="7"/>
      <c r="T76" s="633"/>
      <c r="U76" s="7"/>
      <c r="V76" s="633"/>
      <c r="W76" s="7"/>
      <c r="X76" s="633"/>
      <c r="Y76" s="73"/>
      <c r="Z76" s="73"/>
      <c r="AA76" s="73"/>
      <c r="AB76" s="73"/>
      <c r="AC76" s="73"/>
      <c r="AD76" s="73"/>
      <c r="AE76" s="73"/>
    </row>
    <row r="77" spans="11:31">
      <c r="K77" s="632"/>
      <c r="L77" s="9"/>
      <c r="M77" s="7"/>
      <c r="N77" s="7"/>
      <c r="O77" s="7"/>
      <c r="P77" s="7"/>
      <c r="Q77" s="633"/>
      <c r="R77" s="7"/>
      <c r="S77" s="7"/>
      <c r="T77" s="633"/>
      <c r="U77" s="7"/>
      <c r="V77" s="633"/>
      <c r="W77" s="7"/>
      <c r="X77" s="633"/>
      <c r="Y77" s="73"/>
      <c r="Z77" s="73"/>
      <c r="AA77" s="73"/>
      <c r="AB77" s="73"/>
      <c r="AC77" s="73"/>
      <c r="AD77" s="73"/>
      <c r="AE77" s="73"/>
    </row>
    <row r="78" spans="11:31">
      <c r="K78" s="632"/>
      <c r="L78" s="9"/>
      <c r="M78" s="7"/>
      <c r="N78" s="7"/>
      <c r="O78" s="7"/>
      <c r="P78" s="7"/>
      <c r="Q78" s="633"/>
      <c r="R78" s="7"/>
      <c r="S78" s="7"/>
      <c r="T78" s="633"/>
      <c r="U78" s="7"/>
      <c r="V78" s="633"/>
      <c r="W78" s="7"/>
      <c r="X78" s="633"/>
      <c r="Y78" s="73"/>
      <c r="Z78" s="73"/>
      <c r="AA78" s="73"/>
      <c r="AB78" s="73"/>
      <c r="AC78" s="73"/>
      <c r="AD78" s="73"/>
      <c r="AE78" s="73"/>
    </row>
    <row r="79" spans="11:31">
      <c r="K79" s="632"/>
      <c r="L79" s="9"/>
      <c r="M79" s="7"/>
      <c r="N79" s="7"/>
      <c r="O79" s="7"/>
      <c r="P79" s="7"/>
      <c r="Q79" s="633"/>
      <c r="R79" s="7"/>
      <c r="S79" s="7"/>
      <c r="T79" s="633"/>
      <c r="U79" s="7"/>
      <c r="V79" s="633"/>
      <c r="W79" s="7"/>
      <c r="X79" s="633"/>
      <c r="Y79" s="73"/>
      <c r="Z79" s="73"/>
      <c r="AA79" s="73"/>
      <c r="AB79" s="73"/>
      <c r="AC79" s="73"/>
      <c r="AD79" s="73"/>
      <c r="AE79" s="73"/>
    </row>
    <row r="80" spans="11:31">
      <c r="K80" s="632"/>
      <c r="L80" s="9"/>
      <c r="M80" s="7"/>
      <c r="N80" s="7"/>
      <c r="O80" s="7"/>
      <c r="P80" s="7"/>
      <c r="Q80" s="633"/>
      <c r="R80" s="7"/>
      <c r="S80" s="7"/>
      <c r="T80" s="633"/>
      <c r="U80" s="7"/>
      <c r="V80" s="633"/>
      <c r="W80" s="7"/>
      <c r="X80" s="633"/>
      <c r="Y80" s="73"/>
      <c r="Z80" s="73"/>
      <c r="AA80" s="73"/>
      <c r="AB80" s="73"/>
      <c r="AC80" s="73"/>
      <c r="AD80" s="73"/>
      <c r="AE80" s="73"/>
    </row>
    <row r="81" spans="11:31">
      <c r="K81" s="632"/>
      <c r="L81" s="9"/>
      <c r="M81" s="7"/>
      <c r="N81" s="7"/>
      <c r="O81" s="7"/>
      <c r="P81" s="7"/>
      <c r="Q81" s="633"/>
      <c r="R81" s="7"/>
      <c r="S81" s="7"/>
      <c r="T81" s="633"/>
      <c r="U81" s="7"/>
      <c r="V81" s="633"/>
      <c r="W81" s="7"/>
      <c r="X81" s="633"/>
      <c r="Y81" s="73"/>
      <c r="Z81" s="73"/>
      <c r="AA81" s="73"/>
      <c r="AB81" s="73"/>
      <c r="AC81" s="73"/>
      <c r="AD81" s="73"/>
      <c r="AE81" s="73"/>
    </row>
    <row r="82" spans="11:31">
      <c r="K82" s="632"/>
      <c r="L82" s="9"/>
      <c r="M82" s="7"/>
      <c r="N82" s="7"/>
      <c r="O82" s="7"/>
      <c r="P82" s="7"/>
      <c r="Q82" s="633"/>
      <c r="R82" s="7"/>
      <c r="S82" s="7"/>
      <c r="T82" s="633"/>
      <c r="U82" s="7"/>
      <c r="V82" s="633"/>
      <c r="W82" s="7"/>
      <c r="X82" s="633"/>
      <c r="Y82" s="73"/>
      <c r="Z82" s="73"/>
      <c r="AA82" s="73"/>
      <c r="AB82" s="73"/>
      <c r="AC82" s="73"/>
      <c r="AD82" s="73"/>
      <c r="AE82" s="73"/>
    </row>
    <row r="83" spans="11:31">
      <c r="K83" s="634"/>
      <c r="L83" s="635"/>
      <c r="M83" s="636"/>
      <c r="N83" s="636"/>
      <c r="O83" s="636"/>
      <c r="P83" s="636"/>
      <c r="Q83" s="637"/>
      <c r="R83" s="636"/>
      <c r="S83" s="636"/>
      <c r="T83" s="637"/>
      <c r="U83" s="636"/>
      <c r="V83" s="637"/>
      <c r="W83" s="636"/>
      <c r="X83" s="637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8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790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789"/>
      <c r="O91" s="789"/>
      <c r="P91" s="789"/>
      <c r="Q91" s="789"/>
      <c r="R91" s="789"/>
      <c r="S91" s="789"/>
      <c r="T91" s="789"/>
      <c r="U91" s="789"/>
      <c r="V91" s="789"/>
      <c r="W91" s="789"/>
      <c r="X91" s="789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789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789"/>
      <c r="O92" s="789"/>
      <c r="P92" s="789"/>
      <c r="Q92" s="789"/>
      <c r="R92" s="789"/>
      <c r="S92" s="789"/>
      <c r="T92" s="789"/>
      <c r="U92" s="789"/>
      <c r="V92" s="789"/>
      <c r="W92" s="789"/>
      <c r="X92" s="789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9" t="s">
        <v>97</v>
      </c>
      <c r="L93" s="9"/>
      <c r="M93" s="791" t="s">
        <v>208</v>
      </c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3"/>
      <c r="Z93" s="73"/>
      <c r="AA93" s="73"/>
      <c r="AB93" s="73"/>
      <c r="AC93" s="73"/>
      <c r="AD93" s="73"/>
      <c r="AE93" s="73"/>
    </row>
    <row r="94" spans="11:31">
      <c r="K94" s="639" t="s">
        <v>98</v>
      </c>
      <c r="L94" s="9"/>
      <c r="M94" s="791" t="s">
        <v>209</v>
      </c>
      <c r="N94" s="791"/>
      <c r="O94" s="791"/>
      <c r="P94" s="791"/>
      <c r="Q94" s="791"/>
      <c r="R94" s="791"/>
      <c r="S94" s="791"/>
      <c r="T94" s="791"/>
      <c r="U94" s="791"/>
      <c r="V94" s="791"/>
      <c r="W94" s="791"/>
      <c r="X94" s="791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789" t="s">
        <v>544</v>
      </c>
      <c r="N95" s="789"/>
      <c r="O95" s="789"/>
      <c r="P95" s="789"/>
      <c r="Q95" s="789"/>
      <c r="R95" s="789"/>
      <c r="S95" s="789"/>
      <c r="T95" s="789"/>
      <c r="U95" s="789"/>
      <c r="V95" s="789"/>
      <c r="W95" s="789"/>
      <c r="X95" s="789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789" t="s">
        <v>210</v>
      </c>
      <c r="N96" s="789"/>
      <c r="O96" s="789"/>
      <c r="P96" s="789"/>
      <c r="Q96" s="789"/>
      <c r="R96" s="789"/>
      <c r="S96" s="789"/>
      <c r="T96" s="789"/>
      <c r="U96" s="789"/>
      <c r="V96" s="789"/>
      <c r="W96" s="789"/>
      <c r="X96" s="789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789" t="s">
        <v>211</v>
      </c>
      <c r="N97" s="789"/>
      <c r="O97" s="789"/>
      <c r="P97" s="789"/>
      <c r="Q97" s="789"/>
      <c r="R97" s="789"/>
      <c r="S97" s="789"/>
      <c r="T97" s="789"/>
      <c r="U97" s="789"/>
      <c r="V97" s="789"/>
      <c r="W97" s="789"/>
      <c r="X97" s="789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789" t="s">
        <v>267</v>
      </c>
      <c r="N98" s="789"/>
      <c r="O98" s="789"/>
      <c r="P98" s="789"/>
      <c r="Q98" s="789"/>
      <c r="R98" s="789"/>
      <c r="S98" s="789"/>
      <c r="T98" s="789"/>
      <c r="U98" s="789"/>
      <c r="V98" s="789"/>
      <c r="W98" s="789"/>
      <c r="X98" s="789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5" orientation="landscape" horizontalDpi="300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"/>
  <sheetViews>
    <sheetView view="pageBreakPreview" topLeftCell="A37" zoomScale="80" zoomScaleNormal="70" zoomScaleSheetLayoutView="80" workbookViewId="0"/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2.81640625" customWidth="1"/>
    <col min="8" max="8" width="23.90625" bestFit="1" customWidth="1"/>
    <col min="9" max="9" width="9" bestFit="1" customWidth="1"/>
  </cols>
  <sheetData>
    <row r="1" spans="1:16">
      <c r="A1" s="30"/>
      <c r="B1" s="30"/>
      <c r="C1" s="30"/>
      <c r="D1" s="30"/>
      <c r="E1" s="3" t="str">
        <f>EKPC!J1</f>
        <v>Attachment H-24A</v>
      </c>
      <c r="G1" s="30"/>
    </row>
    <row r="2" spans="1:16">
      <c r="A2" s="30"/>
      <c r="B2" s="30"/>
      <c r="C2" s="30"/>
      <c r="D2" s="30"/>
      <c r="E2" s="3" t="s">
        <v>385</v>
      </c>
      <c r="G2" s="30"/>
    </row>
    <row r="3" spans="1:16">
      <c r="A3" s="30"/>
      <c r="B3" s="30"/>
      <c r="C3" s="30"/>
      <c r="D3" s="30"/>
      <c r="E3" s="167" t="s">
        <v>151</v>
      </c>
      <c r="G3" s="30"/>
      <c r="H3" s="406"/>
      <c r="I3" s="407"/>
      <c r="J3" s="407"/>
      <c r="K3" s="382"/>
      <c r="L3" s="382"/>
      <c r="M3" s="382"/>
      <c r="N3" s="382"/>
      <c r="O3" s="382"/>
      <c r="P3" s="408"/>
    </row>
    <row r="4" spans="1:16">
      <c r="A4" s="30"/>
      <c r="B4" s="30"/>
      <c r="C4" s="30"/>
      <c r="D4" s="30"/>
      <c r="E4" s="31" t="str">
        <f>EKPC!J7</f>
        <v>For the 12 months ended 12/31/2014</v>
      </c>
      <c r="G4" s="30"/>
      <c r="H4" s="409"/>
      <c r="I4" s="402"/>
      <c r="J4" s="402"/>
      <c r="K4" s="403"/>
      <c r="L4" s="403"/>
      <c r="M4" s="403"/>
      <c r="N4" s="403"/>
      <c r="O4" s="403"/>
      <c r="P4" s="410"/>
    </row>
    <row r="5" spans="1:16">
      <c r="A5" s="84" t="s">
        <v>212</v>
      </c>
      <c r="B5" s="94"/>
      <c r="C5" s="94"/>
      <c r="D5" s="84"/>
      <c r="E5" s="84"/>
      <c r="F5" s="84"/>
      <c r="G5" s="30"/>
      <c r="H5" s="411"/>
      <c r="I5" s="402"/>
      <c r="J5" s="402"/>
      <c r="K5" s="403"/>
      <c r="L5" s="403"/>
      <c r="M5" s="403"/>
      <c r="N5" s="403"/>
      <c r="O5" s="403"/>
      <c r="P5" s="410"/>
    </row>
    <row r="6" spans="1:16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  <c r="H6" s="411"/>
      <c r="I6" s="402"/>
      <c r="J6" s="402"/>
      <c r="K6" s="403"/>
      <c r="L6" s="403"/>
      <c r="M6" s="403"/>
      <c r="N6" s="403"/>
      <c r="O6" s="403"/>
      <c r="P6" s="410"/>
    </row>
    <row r="7" spans="1:16">
      <c r="A7" s="86"/>
      <c r="B7" s="94"/>
      <c r="C7" s="94"/>
      <c r="D7" s="86"/>
      <c r="E7" s="86"/>
      <c r="F7" s="86"/>
      <c r="G7" s="30"/>
      <c r="H7" s="411"/>
      <c r="I7" s="402"/>
      <c r="J7" s="402"/>
      <c r="K7" s="403"/>
      <c r="L7" s="403"/>
      <c r="M7" s="403"/>
      <c r="N7" s="403"/>
      <c r="O7" s="403"/>
      <c r="P7" s="410"/>
    </row>
    <row r="8" spans="1:16">
      <c r="A8" s="792" t="str">
        <f>EKPC!A11</f>
        <v>East Kentucky Power Cooperative, Inc.</v>
      </c>
      <c r="B8" s="792"/>
      <c r="C8" s="792"/>
      <c r="D8" s="792"/>
      <c r="E8" s="792"/>
      <c r="F8" s="792"/>
      <c r="G8" s="30"/>
      <c r="H8" s="411"/>
      <c r="I8" s="402"/>
      <c r="J8" s="402"/>
      <c r="K8" s="403"/>
      <c r="L8" s="403"/>
      <c r="M8" s="403"/>
      <c r="N8" s="403"/>
      <c r="O8" s="403"/>
      <c r="P8" s="410"/>
    </row>
    <row r="9" spans="1:16">
      <c r="A9" s="509" t="s">
        <v>581</v>
      </c>
      <c r="B9" s="94"/>
      <c r="C9" s="94"/>
      <c r="D9" s="86"/>
      <c r="E9" s="86"/>
      <c r="F9" s="86"/>
      <c r="G9" s="30"/>
      <c r="H9" s="411"/>
      <c r="I9" s="402"/>
      <c r="J9" s="402"/>
      <c r="K9" s="403"/>
      <c r="L9" s="403"/>
      <c r="M9" s="403"/>
      <c r="N9" s="403"/>
      <c r="O9" s="403"/>
      <c r="P9" s="410"/>
    </row>
    <row r="10" spans="1:16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412"/>
      <c r="I10" s="402"/>
      <c r="J10" s="402"/>
      <c r="K10" s="515"/>
      <c r="L10" s="403"/>
      <c r="M10" s="403"/>
      <c r="N10" s="403"/>
      <c r="O10" s="403"/>
      <c r="P10" s="410"/>
    </row>
    <row r="11" spans="1:16">
      <c r="A11" s="142" t="s">
        <v>6</v>
      </c>
      <c r="B11" s="9"/>
      <c r="C11" s="10"/>
      <c r="D11" s="10"/>
      <c r="E11" s="9"/>
      <c r="F11" s="12"/>
      <c r="G11" s="30"/>
      <c r="H11" s="412"/>
      <c r="I11" s="402"/>
      <c r="J11" s="402"/>
      <c r="K11" s="515"/>
      <c r="L11" s="403"/>
      <c r="M11" s="403"/>
      <c r="N11" s="403"/>
      <c r="O11" s="403"/>
      <c r="P11" s="410"/>
    </row>
    <row r="12" spans="1:16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412"/>
      <c r="I12" s="402"/>
      <c r="J12" s="402"/>
      <c r="K12" s="515"/>
      <c r="L12" s="403"/>
      <c r="M12" s="403"/>
      <c r="N12" s="403"/>
      <c r="O12" s="403"/>
      <c r="P12" s="410"/>
    </row>
    <row r="13" spans="1:16">
      <c r="A13" s="1"/>
      <c r="B13" s="1"/>
      <c r="C13" s="1"/>
      <c r="D13" s="1"/>
      <c r="E13" s="1"/>
      <c r="F13" s="30"/>
      <c r="G13" s="30"/>
      <c r="H13" s="514"/>
      <c r="L13" s="403"/>
      <c r="M13" s="403"/>
      <c r="N13" s="403"/>
      <c r="O13" s="403"/>
      <c r="P13" s="410"/>
    </row>
    <row r="14" spans="1:16" ht="15.6">
      <c r="A14" s="1"/>
      <c r="B14" s="1"/>
      <c r="C14" s="424" t="s">
        <v>386</v>
      </c>
      <c r="D14" s="1"/>
      <c r="E14" s="1"/>
      <c r="F14" s="381"/>
      <c r="G14" s="30"/>
      <c r="H14" s="508"/>
      <c r="I14" s="402"/>
      <c r="J14" s="402"/>
      <c r="L14" s="403"/>
      <c r="M14" s="403"/>
      <c r="N14" s="403"/>
      <c r="O14" s="403"/>
      <c r="P14" s="410"/>
    </row>
    <row r="15" spans="1:16">
      <c r="A15" s="1"/>
      <c r="B15" s="1"/>
      <c r="C15" s="1"/>
      <c r="D15" s="1"/>
      <c r="E15" s="1"/>
      <c r="H15" s="411"/>
      <c r="I15" s="402"/>
      <c r="J15" s="402"/>
      <c r="K15" s="403"/>
      <c r="L15" s="403"/>
      <c r="M15" s="403"/>
      <c r="N15" s="403"/>
      <c r="O15" s="403"/>
      <c r="P15" s="410"/>
    </row>
    <row r="16" spans="1:16">
      <c r="A16" s="11">
        <f>1</f>
        <v>1</v>
      </c>
      <c r="B16" s="570"/>
      <c r="C16" s="607" t="str">
        <f>CONCATENATE(H3,I11,H4,I10," (1)")</f>
        <v xml:space="preserve"> (1)</v>
      </c>
      <c r="D16" s="570"/>
      <c r="E16" s="755">
        <v>69757218</v>
      </c>
      <c r="F16" s="580"/>
      <c r="H16" s="413"/>
      <c r="I16" s="404"/>
      <c r="J16" s="404"/>
      <c r="K16" s="405"/>
      <c r="L16" s="405"/>
      <c r="M16" s="405"/>
      <c r="N16" s="405"/>
      <c r="O16" s="405"/>
      <c r="P16" s="414"/>
    </row>
    <row r="17" spans="1:12" ht="33.75" customHeight="1">
      <c r="A17" s="640">
        <f t="shared" ref="A17:A24" si="0">+A16+1</f>
        <v>2</v>
      </c>
      <c r="B17" s="570"/>
      <c r="C17" s="607" t="str">
        <f>CONCATENATE(H5,I10," (2)")</f>
        <v xml:space="preserve"> (2)</v>
      </c>
      <c r="D17" s="570"/>
      <c r="E17" s="755">
        <v>0</v>
      </c>
      <c r="F17" s="580"/>
      <c r="H17" s="415"/>
      <c r="I17" s="415"/>
      <c r="J17" s="415"/>
      <c r="K17" s="415"/>
      <c r="L17" s="415"/>
    </row>
    <row r="18" spans="1:12">
      <c r="A18" s="640">
        <f t="shared" si="0"/>
        <v>3</v>
      </c>
      <c r="B18" s="570"/>
      <c r="C18" s="607" t="str">
        <f>CONCATENATE("Transmission revenue requirements for the 12 months ended",I11,"               (Line 1 - Line 2 )")</f>
        <v>Transmission revenue requirements for the 12 months ended               (Line 1 - Line 2 )</v>
      </c>
      <c r="D18" s="570"/>
      <c r="E18" s="396">
        <f>E16-E17</f>
        <v>69757218</v>
      </c>
      <c r="F18" s="580"/>
    </row>
    <row r="19" spans="1:12">
      <c r="A19" s="640">
        <f t="shared" si="0"/>
        <v>4</v>
      </c>
      <c r="B19" s="570"/>
      <c r="C19" s="607" t="str">
        <f>CONCATENATE(H6,I11," (3)")</f>
        <v xml:space="preserve"> (3)</v>
      </c>
      <c r="D19" s="570"/>
      <c r="E19" s="754">
        <f>61469050.76+7980592.7+895547.25+114103.46+(5075961-4528667)</f>
        <v>71006588.169999987</v>
      </c>
      <c r="F19" s="580"/>
      <c r="H19" s="426"/>
      <c r="I19" s="426"/>
      <c r="J19" s="426"/>
    </row>
    <row r="20" spans="1:12" ht="30">
      <c r="A20" s="640">
        <f t="shared" si="0"/>
        <v>5</v>
      </c>
      <c r="B20" s="570"/>
      <c r="C20" s="607" t="s">
        <v>525</v>
      </c>
      <c r="D20" s="570"/>
      <c r="E20" s="396">
        <f>E18-E19</f>
        <v>-1249370.1699999869</v>
      </c>
      <c r="F20" s="580"/>
    </row>
    <row r="21" spans="1:12">
      <c r="A21" s="640">
        <f t="shared" si="0"/>
        <v>6</v>
      </c>
      <c r="B21" s="570"/>
      <c r="C21" s="607" t="s">
        <v>394</v>
      </c>
      <c r="D21" s="570"/>
      <c r="E21" s="753">
        <f>0.0325/12</f>
        <v>2.7083333333333334E-3</v>
      </c>
      <c r="F21" s="580"/>
    </row>
    <row r="22" spans="1:12">
      <c r="A22" s="640">
        <f t="shared" si="0"/>
        <v>7</v>
      </c>
      <c r="B22" s="570"/>
      <c r="C22" s="607" t="s">
        <v>393</v>
      </c>
      <c r="D22" s="570"/>
      <c r="E22" s="743">
        <v>24</v>
      </c>
      <c r="F22" s="580"/>
    </row>
    <row r="23" spans="1:12" ht="30">
      <c r="A23" s="640">
        <f t="shared" si="0"/>
        <v>8</v>
      </c>
      <c r="B23" s="570"/>
      <c r="C23" s="607" t="s">
        <v>538</v>
      </c>
      <c r="D23" s="570"/>
      <c r="E23" s="641">
        <f>E20*E21*E22</f>
        <v>-81209.061049999145</v>
      </c>
      <c r="F23" s="580"/>
    </row>
    <row r="24" spans="1:12" ht="15" customHeight="1" thickBot="1">
      <c r="A24" s="640">
        <f t="shared" si="0"/>
        <v>9</v>
      </c>
      <c r="B24" s="570"/>
      <c r="C24" s="607" t="s">
        <v>414</v>
      </c>
      <c r="D24" s="570"/>
      <c r="E24" s="642">
        <f>E20+E23</f>
        <v>-1330579.2310499861</v>
      </c>
      <c r="F24" s="580"/>
    </row>
    <row r="25" spans="1:12" ht="15.6" thickTop="1">
      <c r="A25" s="640"/>
      <c r="B25" s="570"/>
      <c r="C25" s="607"/>
      <c r="D25" s="570"/>
      <c r="E25" s="643"/>
      <c r="F25" s="580"/>
    </row>
    <row r="26" spans="1:12">
      <c r="A26" s="640"/>
      <c r="B26" s="796" t="s">
        <v>144</v>
      </c>
      <c r="C26" s="796"/>
      <c r="D26" s="635"/>
      <c r="E26" s="635"/>
      <c r="F26" s="580"/>
    </row>
    <row r="27" spans="1:12">
      <c r="A27" s="640"/>
      <c r="B27" s="616" t="s">
        <v>16</v>
      </c>
      <c r="C27" s="787" t="str">
        <f>CONCATENATE("Revenue requirement from Page 1 of 5, line 7 of ",EKPC!J1,"  for the referenced year.")</f>
        <v>Revenue requirement from Page 1 of 5, line 7 of Attachment H-24A  for the referenced year.</v>
      </c>
      <c r="D27" s="797"/>
      <c r="E27" s="797"/>
      <c r="F27" s="580"/>
    </row>
    <row r="28" spans="1:12" ht="15.6">
      <c r="A28" s="640"/>
      <c r="B28" s="399" t="s">
        <v>17</v>
      </c>
      <c r="C28" s="570" t="str">
        <f>CONCATENATE("EKPC ",EKPC!J1,", page 1 of 5, Line 6a for the referenced recovery year")</f>
        <v>EKPC Attachment H-24A, page 1 of 5, Line 6a for the referenced recovery year</v>
      </c>
      <c r="D28" s="570"/>
      <c r="E28" s="570"/>
      <c r="F28" s="580"/>
      <c r="H28" s="774"/>
      <c r="I28" s="773"/>
      <c r="J28" s="773"/>
      <c r="K28" s="773"/>
      <c r="L28" s="773"/>
    </row>
    <row r="29" spans="1:12">
      <c r="A29" s="640"/>
      <c r="B29" s="644" t="s">
        <v>18</v>
      </c>
      <c r="C29" s="787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787"/>
      <c r="E29" s="787"/>
      <c r="F29" s="580"/>
    </row>
    <row r="30" spans="1:12" ht="15.6">
      <c r="A30" s="640"/>
      <c r="B30" s="644" t="s">
        <v>19</v>
      </c>
      <c r="C30" s="570" t="s">
        <v>413</v>
      </c>
      <c r="D30" s="570"/>
      <c r="E30" s="570"/>
      <c r="F30" s="580"/>
    </row>
    <row r="31" spans="1:12">
      <c r="A31" s="640"/>
      <c r="B31" s="644" t="s">
        <v>20</v>
      </c>
      <c r="C31" s="607" t="str">
        <f>CONCATENATE("Goes to  ",EKPC!J1,", page 1 of 5, line 6a")</f>
        <v>Goes to  Attachment H-24A, page 1 of 5, line 6a</v>
      </c>
      <c r="D31" s="570"/>
      <c r="E31" s="570"/>
      <c r="F31" s="580"/>
    </row>
    <row r="32" spans="1:12">
      <c r="A32" s="30"/>
      <c r="B32" s="30"/>
      <c r="C32" s="30"/>
      <c r="D32" s="30"/>
      <c r="E32" s="588" t="str">
        <f>E1</f>
        <v>Attachment H-24A</v>
      </c>
      <c r="F32" s="580"/>
    </row>
    <row r="33" spans="1:6">
      <c r="A33" s="30"/>
      <c r="B33" s="30"/>
      <c r="C33" s="30"/>
      <c r="D33" s="30"/>
      <c r="E33" s="588" t="s">
        <v>385</v>
      </c>
      <c r="F33" s="580"/>
    </row>
    <row r="34" spans="1:6">
      <c r="A34" s="30"/>
      <c r="B34" s="30"/>
      <c r="C34" s="30"/>
      <c r="D34" s="30"/>
      <c r="E34" s="167" t="s">
        <v>161</v>
      </c>
      <c r="F34" s="580"/>
    </row>
    <row r="35" spans="1:6">
      <c r="A35" s="30"/>
      <c r="B35" s="30"/>
      <c r="C35" s="30"/>
      <c r="D35" s="30"/>
      <c r="E35" s="31" t="str">
        <f>E4</f>
        <v>For the 12 months ended 12/31/2014</v>
      </c>
      <c r="F35" s="580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792" t="str">
        <f>A8</f>
        <v>East Kentucky Power Cooperative, Inc.</v>
      </c>
      <c r="B39" s="792"/>
      <c r="C39" s="792"/>
      <c r="D39" s="792"/>
      <c r="E39" s="792"/>
      <c r="F39" s="792"/>
    </row>
    <row r="40" spans="1:6">
      <c r="A40" s="645" t="s">
        <v>582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70"/>
      <c r="B44" s="570"/>
      <c r="C44" s="570"/>
      <c r="D44" s="570"/>
      <c r="E44" s="570"/>
      <c r="F44" s="30"/>
    </row>
    <row r="45" spans="1:6" ht="15.6">
      <c r="A45" s="570"/>
      <c r="B45" s="570"/>
      <c r="C45" s="646" t="s">
        <v>387</v>
      </c>
      <c r="D45" s="570"/>
      <c r="E45" s="570"/>
      <c r="F45" s="580"/>
    </row>
    <row r="46" spans="1:6">
      <c r="A46" s="640">
        <f>+A24+1</f>
        <v>10</v>
      </c>
      <c r="B46" s="570"/>
      <c r="C46" s="647" t="str">
        <f>CONCATENATE(H15,I11,H4,I10," (6)")</f>
        <v xml:space="preserve"> (6)</v>
      </c>
      <c r="D46" s="570"/>
      <c r="E46" s="754">
        <v>2755650.8834499191</v>
      </c>
      <c r="F46" s="580"/>
    </row>
    <row r="47" spans="1:6">
      <c r="A47" s="640">
        <f t="shared" ref="A47:A54" si="1">+A46+1</f>
        <v>11</v>
      </c>
      <c r="B47" s="570"/>
      <c r="C47" s="607" t="str">
        <f>CONCATENATE(H7,I10," (7)")</f>
        <v xml:space="preserve"> (7)</v>
      </c>
      <c r="D47" s="570"/>
      <c r="E47" s="757">
        <v>0</v>
      </c>
      <c r="F47" s="580"/>
    </row>
    <row r="48" spans="1:6" ht="30">
      <c r="A48" s="640">
        <f t="shared" si="1"/>
        <v>12</v>
      </c>
      <c r="B48" s="570"/>
      <c r="C48" s="607" t="s">
        <v>415</v>
      </c>
      <c r="D48" s="570"/>
      <c r="E48" s="648">
        <f>E46-E47</f>
        <v>2755650.8834499191</v>
      </c>
      <c r="F48" s="580"/>
    </row>
    <row r="49" spans="1:6">
      <c r="A49" s="640">
        <f t="shared" si="1"/>
        <v>13</v>
      </c>
      <c r="B49" s="570"/>
      <c r="C49" s="607" t="str">
        <f>CONCATENATE(H16,I11," (8)")</f>
        <v xml:space="preserve"> (8)</v>
      </c>
      <c r="D49" s="570"/>
      <c r="E49" s="756">
        <v>2526015.89</v>
      </c>
      <c r="F49" s="580"/>
    </row>
    <row r="50" spans="1:6" ht="30">
      <c r="A50" s="395">
        <f t="shared" si="1"/>
        <v>14</v>
      </c>
      <c r="B50" s="1"/>
      <c r="C50" s="384" t="s">
        <v>416</v>
      </c>
      <c r="D50" s="1"/>
      <c r="E50" s="396">
        <f>E48-E49</f>
        <v>229634.99344991893</v>
      </c>
    </row>
    <row r="51" spans="1:6">
      <c r="A51" s="395">
        <f t="shared" si="1"/>
        <v>15</v>
      </c>
      <c r="B51" s="1"/>
      <c r="C51" s="502" t="s">
        <v>526</v>
      </c>
      <c r="D51" s="1"/>
      <c r="E51" s="397">
        <f>E21</f>
        <v>2.7083333333333334E-3</v>
      </c>
    </row>
    <row r="52" spans="1:6">
      <c r="A52" s="395">
        <f t="shared" si="1"/>
        <v>16</v>
      </c>
      <c r="B52" s="1"/>
      <c r="C52" s="384" t="s">
        <v>393</v>
      </c>
      <c r="D52" s="1"/>
      <c r="E52" s="401">
        <f>E22</f>
        <v>24</v>
      </c>
    </row>
    <row r="53" spans="1:6" ht="30">
      <c r="A53" s="395">
        <f t="shared" si="1"/>
        <v>17</v>
      </c>
      <c r="B53" s="1"/>
      <c r="C53" s="520" t="s">
        <v>538</v>
      </c>
      <c r="D53" s="367"/>
      <c r="E53" s="394">
        <f>E50*E51*E52</f>
        <v>14926.27457424473</v>
      </c>
    </row>
    <row r="54" spans="1:6" ht="30.6" thickBot="1">
      <c r="A54" s="395">
        <f t="shared" si="1"/>
        <v>18</v>
      </c>
      <c r="B54" s="1"/>
      <c r="C54" s="384" t="s">
        <v>417</v>
      </c>
      <c r="D54" s="1"/>
      <c r="E54" s="398">
        <f>E50+E53</f>
        <v>244561.26802416367</v>
      </c>
    </row>
    <row r="55" spans="1:6" ht="15.6" thickTop="1">
      <c r="A55" s="1"/>
      <c r="B55" s="1"/>
      <c r="C55" s="1"/>
      <c r="D55" s="1"/>
      <c r="E55" s="1"/>
    </row>
    <row r="56" spans="1:6">
      <c r="A56" s="1"/>
      <c r="B56" s="796" t="s">
        <v>144</v>
      </c>
      <c r="C56" s="796"/>
      <c r="D56" s="363"/>
      <c r="E56" s="363"/>
    </row>
    <row r="57" spans="1:6">
      <c r="A57" s="1"/>
      <c r="B57" s="400" t="s">
        <v>388</v>
      </c>
      <c r="C57" s="794" t="str">
        <f>CONCATENATE("Revenue requirement calculated using EKCP ",EKPC!J1,",  Appendix A and actual cost information for the referenced year.")</f>
        <v>Revenue requirement calculated using EKCP Attachment H-24A,  Appendix A and actual cost information for the referenced year.</v>
      </c>
      <c r="D57" s="794"/>
      <c r="E57" s="794"/>
    </row>
    <row r="58" spans="1:6">
      <c r="A58" s="1"/>
      <c r="B58" s="400" t="s">
        <v>389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6" ht="31.5" customHeight="1">
      <c r="A59" s="1"/>
      <c r="B59" s="400" t="s">
        <v>390</v>
      </c>
      <c r="C59" s="794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795"/>
      <c r="E59" s="795"/>
    </row>
    <row r="60" spans="1:6" ht="15.6">
      <c r="A60" s="1"/>
      <c r="B60" s="400" t="s">
        <v>418</v>
      </c>
      <c r="C60" s="1" t="s">
        <v>413</v>
      </c>
    </row>
    <row r="61" spans="1:6">
      <c r="A61" s="1"/>
      <c r="B61" s="400" t="s">
        <v>419</v>
      </c>
      <c r="C61" s="384" t="str">
        <f>CONCATENATE("Goes to ",EKPC!J1,", Appendix A, line 4.")</f>
        <v>Goes to Attachment H-24A, Appendix A, line 4.</v>
      </c>
    </row>
    <row r="62" spans="1:6" ht="15" customHeight="1">
      <c r="A62" s="1"/>
    </row>
    <row r="63" spans="1:6">
      <c r="A63" s="1"/>
    </row>
    <row r="64" spans="1:6">
      <c r="A64" s="1"/>
    </row>
    <row r="65" spans="3:3">
      <c r="C65" s="385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K103"/>
  <sheetViews>
    <sheetView zoomScale="80" zoomScaleNormal="80" zoomScaleSheetLayoutView="90" workbookViewId="0">
      <selection activeCell="J18" sqref="J18"/>
    </sheetView>
  </sheetViews>
  <sheetFormatPr defaultColWidth="8.81640625" defaultRowHeight="13.2"/>
  <cols>
    <col min="1" max="1" width="6.08984375" style="178" customWidth="1"/>
    <col min="2" max="2" width="8.81640625" style="178"/>
    <col min="3" max="3" width="0.90625" style="178" customWidth="1"/>
    <col min="4" max="4" width="8.81640625" style="178"/>
    <col min="5" max="5" width="1.54296875" style="178" customWidth="1"/>
    <col min="6" max="6" width="46.08984375" style="178" customWidth="1"/>
    <col min="7" max="7" width="6" style="178" customWidth="1"/>
    <col min="8" max="8" width="9.6328125" style="180" customWidth="1"/>
    <col min="9" max="16384" width="8.81640625" style="178"/>
  </cols>
  <sheetData>
    <row r="1" spans="1:11" ht="15">
      <c r="A1" s="649"/>
      <c r="B1" s="649"/>
      <c r="C1" s="649"/>
      <c r="D1" s="649"/>
      <c r="E1" s="649"/>
      <c r="F1" s="649"/>
      <c r="G1" s="649"/>
      <c r="H1" s="137" t="str">
        <f>EKPC!J1</f>
        <v>Attachment H-24A</v>
      </c>
    </row>
    <row r="2" spans="1:11" ht="15">
      <c r="A2" s="649"/>
      <c r="B2" s="649"/>
      <c r="C2" s="649"/>
      <c r="D2" s="649"/>
      <c r="E2" s="649"/>
      <c r="F2" s="649"/>
      <c r="G2" s="649"/>
      <c r="H2" s="99" t="s">
        <v>356</v>
      </c>
    </row>
    <row r="3" spans="1:11" ht="15">
      <c r="A3" s="649"/>
      <c r="B3" s="649"/>
      <c r="C3" s="649"/>
      <c r="D3" s="649"/>
      <c r="E3" s="649"/>
      <c r="F3" s="649"/>
      <c r="G3" s="649"/>
      <c r="H3" s="650"/>
      <c r="K3" s="99"/>
    </row>
    <row r="4" spans="1:11" ht="15">
      <c r="A4" s="799" t="str">
        <f>EKPC!A11</f>
        <v>East Kentucky Power Cooperative, Inc.</v>
      </c>
      <c r="B4" s="799"/>
      <c r="C4" s="799"/>
      <c r="D4" s="799"/>
      <c r="E4" s="799"/>
      <c r="F4" s="799"/>
      <c r="G4" s="799"/>
      <c r="H4" s="799"/>
    </row>
    <row r="5" spans="1:11" ht="15">
      <c r="A5" s="800" t="s">
        <v>583</v>
      </c>
      <c r="B5" s="800"/>
      <c r="C5" s="800"/>
      <c r="D5" s="800"/>
      <c r="E5" s="800"/>
      <c r="F5" s="800"/>
      <c r="G5" s="800"/>
      <c r="H5" s="800"/>
    </row>
    <row r="6" spans="1:11" ht="15">
      <c r="A6" s="801" t="str">
        <f>CONCATENATE("Rates effective for year ending December 31, ",TEXT(RIGHT(EKPC!J7,10),"YYYY"))</f>
        <v>Rates effective for year ending December 31, 2014</v>
      </c>
      <c r="B6" s="801"/>
      <c r="C6" s="801"/>
      <c r="D6" s="801"/>
      <c r="E6" s="801"/>
      <c r="F6" s="801"/>
      <c r="G6" s="801"/>
      <c r="H6" s="801"/>
    </row>
    <row r="7" spans="1:11" ht="15">
      <c r="A7" s="649"/>
      <c r="B7" s="649"/>
      <c r="C7" s="649"/>
      <c r="D7" s="649"/>
      <c r="E7" s="649"/>
      <c r="F7" s="649"/>
      <c r="G7" s="649"/>
      <c r="H7" s="650"/>
    </row>
    <row r="8" spans="1:11" ht="15">
      <c r="A8" s="649"/>
      <c r="B8" s="651" t="s">
        <v>301</v>
      </c>
      <c r="C8" s="651"/>
      <c r="D8" s="651" t="s">
        <v>302</v>
      </c>
      <c r="E8" s="651"/>
      <c r="F8" s="651"/>
      <c r="G8" s="651"/>
      <c r="H8" s="652" t="s">
        <v>215</v>
      </c>
    </row>
    <row r="9" spans="1:11" ht="15">
      <c r="A9" s="651" t="s">
        <v>6</v>
      </c>
      <c r="B9" s="651" t="s">
        <v>303</v>
      </c>
      <c r="C9" s="651"/>
      <c r="D9" s="651" t="s">
        <v>303</v>
      </c>
      <c r="E9" s="651"/>
      <c r="F9" s="651"/>
      <c r="G9" s="651"/>
      <c r="H9" s="652" t="s">
        <v>304</v>
      </c>
    </row>
    <row r="10" spans="1:11" ht="15">
      <c r="A10" s="653" t="s">
        <v>8</v>
      </c>
      <c r="B10" s="653" t="s">
        <v>305</v>
      </c>
      <c r="C10" s="653"/>
      <c r="D10" s="653" t="s">
        <v>305</v>
      </c>
      <c r="E10" s="653"/>
      <c r="F10" s="653" t="s">
        <v>306</v>
      </c>
      <c r="G10" s="653"/>
      <c r="H10" s="654" t="s">
        <v>307</v>
      </c>
    </row>
    <row r="11" spans="1:11" ht="15">
      <c r="A11" s="649"/>
      <c r="B11" s="615" t="s">
        <v>296</v>
      </c>
      <c r="C11" s="651"/>
      <c r="D11" s="615" t="s">
        <v>297</v>
      </c>
      <c r="E11" s="651"/>
      <c r="F11" s="651" t="s">
        <v>298</v>
      </c>
      <c r="G11" s="651"/>
      <c r="H11" s="655" t="s">
        <v>308</v>
      </c>
    </row>
    <row r="12" spans="1:11" ht="15">
      <c r="A12" s="649"/>
      <c r="B12" s="615"/>
      <c r="C12" s="651"/>
      <c r="D12" s="615"/>
      <c r="E12" s="651"/>
      <c r="F12" s="651"/>
      <c r="G12" s="651"/>
      <c r="H12" s="652" t="s">
        <v>86</v>
      </c>
    </row>
    <row r="13" spans="1:11" ht="15.6">
      <c r="A13" s="649"/>
      <c r="B13" s="656" t="s">
        <v>446</v>
      </c>
      <c r="C13" s="656"/>
      <c r="D13" s="509"/>
      <c r="E13" s="509"/>
      <c r="F13" s="509"/>
      <c r="G13" s="509"/>
      <c r="H13" s="645"/>
    </row>
    <row r="14" spans="1:11" ht="15">
      <c r="A14" s="649"/>
      <c r="B14" s="649"/>
      <c r="C14" s="649"/>
      <c r="D14" s="649"/>
      <c r="E14" s="649"/>
      <c r="F14" s="649"/>
      <c r="G14" s="649"/>
      <c r="H14" s="657"/>
    </row>
    <row r="15" spans="1:11" ht="15">
      <c r="A15" s="651">
        <v>1</v>
      </c>
      <c r="B15" s="651">
        <v>350</v>
      </c>
      <c r="C15" s="649"/>
      <c r="D15" s="651">
        <v>350010</v>
      </c>
      <c r="E15" s="649"/>
      <c r="F15" s="649" t="s">
        <v>555</v>
      </c>
      <c r="G15" s="649"/>
      <c r="H15" s="749">
        <v>0</v>
      </c>
      <c r="J15" s="574"/>
      <c r="K15" s="574"/>
    </row>
    <row r="16" spans="1:11" ht="15">
      <c r="A16" s="651">
        <v>2</v>
      </c>
      <c r="B16" s="651">
        <v>353</v>
      </c>
      <c r="C16" s="649"/>
      <c r="D16" s="651">
        <v>353000</v>
      </c>
      <c r="E16" s="649"/>
      <c r="F16" s="649" t="s">
        <v>309</v>
      </c>
      <c r="G16" s="649"/>
      <c r="H16" s="749">
        <v>1.79</v>
      </c>
    </row>
    <row r="17" spans="1:9" ht="15">
      <c r="A17" s="651">
        <v>3</v>
      </c>
      <c r="B17" s="651">
        <v>353</v>
      </c>
      <c r="C17" s="649"/>
      <c r="D17" s="651">
        <v>353010</v>
      </c>
      <c r="E17" s="649"/>
      <c r="F17" s="649" t="s">
        <v>330</v>
      </c>
      <c r="G17" s="649"/>
      <c r="H17" s="749">
        <v>1.79</v>
      </c>
    </row>
    <row r="18" spans="1:9" ht="15">
      <c r="A18" s="651">
        <v>4</v>
      </c>
      <c r="B18" s="651">
        <v>354</v>
      </c>
      <c r="C18" s="649"/>
      <c r="D18" s="651">
        <v>354000</v>
      </c>
      <c r="E18" s="649"/>
      <c r="F18" s="649" t="s">
        <v>331</v>
      </c>
      <c r="G18" s="649"/>
      <c r="H18" s="749">
        <v>0.71</v>
      </c>
    </row>
    <row r="19" spans="1:9" ht="15">
      <c r="A19" s="651">
        <v>5</v>
      </c>
      <c r="B19" s="651">
        <v>355</v>
      </c>
      <c r="C19" s="649"/>
      <c r="D19" s="651">
        <v>355000</v>
      </c>
      <c r="E19" s="649"/>
      <c r="F19" s="649" t="s">
        <v>310</v>
      </c>
      <c r="G19" s="649"/>
      <c r="H19" s="749">
        <v>1.56</v>
      </c>
    </row>
    <row r="20" spans="1:9" ht="15">
      <c r="A20" s="651">
        <v>6</v>
      </c>
      <c r="B20" s="651">
        <v>356</v>
      </c>
      <c r="C20" s="649"/>
      <c r="D20" s="651">
        <v>356000</v>
      </c>
      <c r="E20" s="649"/>
      <c r="F20" s="649" t="s">
        <v>311</v>
      </c>
      <c r="G20" s="649"/>
      <c r="H20" s="749">
        <v>1.49</v>
      </c>
    </row>
    <row r="21" spans="1:9" ht="15">
      <c r="A21" s="651">
        <v>7</v>
      </c>
      <c r="B21" s="651">
        <v>359</v>
      </c>
      <c r="C21" s="651"/>
      <c r="D21" s="651">
        <v>359000</v>
      </c>
      <c r="E21" s="649"/>
      <c r="F21" s="649" t="s">
        <v>342</v>
      </c>
      <c r="G21" s="649"/>
      <c r="H21" s="749">
        <v>2.778</v>
      </c>
    </row>
    <row r="22" spans="1:9" ht="15">
      <c r="A22" s="651"/>
      <c r="B22" s="651"/>
      <c r="C22" s="651"/>
      <c r="D22" s="651"/>
      <c r="E22" s="649"/>
      <c r="F22" s="649"/>
      <c r="G22" s="649"/>
      <c r="H22" s="749"/>
    </row>
    <row r="23" spans="1:9" ht="15.6">
      <c r="A23" s="651"/>
      <c r="B23" s="656" t="s">
        <v>312</v>
      </c>
      <c r="C23" s="509"/>
      <c r="D23" s="509"/>
      <c r="E23" s="509"/>
      <c r="F23" s="509"/>
      <c r="G23" s="509"/>
      <c r="H23" s="750"/>
    </row>
    <row r="24" spans="1:9" ht="15">
      <c r="A24" s="651"/>
      <c r="B24" s="651"/>
      <c r="C24" s="651"/>
      <c r="D24" s="651"/>
      <c r="E24" s="649"/>
      <c r="F24" s="649"/>
      <c r="G24" s="649"/>
      <c r="H24" s="749"/>
    </row>
    <row r="25" spans="1:9" ht="15.6">
      <c r="A25" s="651">
        <v>8</v>
      </c>
      <c r="B25" s="651">
        <v>303</v>
      </c>
      <c r="C25" s="181"/>
      <c r="D25" s="651">
        <v>303000</v>
      </c>
      <c r="E25" s="649"/>
      <c r="F25" s="649" t="s">
        <v>314</v>
      </c>
      <c r="G25" s="649"/>
      <c r="H25" s="749">
        <v>2.8570000000000002</v>
      </c>
      <c r="I25" s="182"/>
    </row>
    <row r="26" spans="1:9" ht="15">
      <c r="A26" s="651">
        <v>9</v>
      </c>
      <c r="B26" s="651">
        <v>390</v>
      </c>
      <c r="C26" s="181"/>
      <c r="D26" s="651">
        <v>390000</v>
      </c>
      <c r="E26" s="649"/>
      <c r="F26" s="649" t="s">
        <v>332</v>
      </c>
      <c r="G26" s="649"/>
      <c r="H26" s="749">
        <v>4.7779999999999996</v>
      </c>
    </row>
    <row r="27" spans="1:9" ht="15">
      <c r="A27" s="651">
        <v>10</v>
      </c>
      <c r="B27" s="651">
        <v>391</v>
      </c>
      <c r="C27" s="181"/>
      <c r="D27" s="651">
        <v>391000</v>
      </c>
      <c r="E27" s="649"/>
      <c r="F27" s="649" t="s">
        <v>333</v>
      </c>
      <c r="G27" s="649"/>
      <c r="H27" s="749">
        <v>0.2</v>
      </c>
    </row>
    <row r="28" spans="1:9" ht="15">
      <c r="A28" s="651">
        <v>11</v>
      </c>
      <c r="B28" s="651">
        <v>391</v>
      </c>
      <c r="C28" s="181"/>
      <c r="D28" s="651">
        <v>391001</v>
      </c>
      <c r="E28" s="649"/>
      <c r="F28" s="649" t="s">
        <v>334</v>
      </c>
      <c r="G28" s="649"/>
      <c r="H28" s="749">
        <v>20</v>
      </c>
    </row>
    <row r="29" spans="1:9" ht="15">
      <c r="A29" s="651">
        <v>12</v>
      </c>
      <c r="B29" s="651">
        <v>392</v>
      </c>
      <c r="C29" s="181"/>
      <c r="D29" s="651">
        <v>392000</v>
      </c>
      <c r="E29" s="649"/>
      <c r="F29" s="649" t="s">
        <v>313</v>
      </c>
      <c r="G29" s="649"/>
      <c r="H29" s="751">
        <v>16.667000000000002</v>
      </c>
    </row>
    <row r="30" spans="1:9" ht="15">
      <c r="A30" s="651">
        <v>13</v>
      </c>
      <c r="B30" s="651">
        <v>393</v>
      </c>
      <c r="C30" s="181"/>
      <c r="D30" s="651">
        <v>393000</v>
      </c>
      <c r="E30" s="649"/>
      <c r="F30" s="649" t="s">
        <v>315</v>
      </c>
      <c r="G30" s="649"/>
      <c r="H30" s="751">
        <v>10</v>
      </c>
    </row>
    <row r="31" spans="1:9" ht="15">
      <c r="A31" s="651">
        <v>14</v>
      </c>
      <c r="B31" s="651">
        <v>394</v>
      </c>
      <c r="C31" s="181"/>
      <c r="D31" s="651">
        <v>394000</v>
      </c>
      <c r="E31" s="649"/>
      <c r="F31" s="649" t="s">
        <v>335</v>
      </c>
      <c r="G31" s="649"/>
      <c r="H31" s="749">
        <v>10</v>
      </c>
    </row>
    <row r="32" spans="1:9" ht="15">
      <c r="A32" s="651">
        <v>15</v>
      </c>
      <c r="B32" s="651">
        <v>395</v>
      </c>
      <c r="C32" s="181"/>
      <c r="D32" s="651">
        <v>395000</v>
      </c>
      <c r="E32" s="649"/>
      <c r="F32" s="649" t="s">
        <v>336</v>
      </c>
      <c r="G32" s="649"/>
      <c r="H32" s="749">
        <v>10</v>
      </c>
    </row>
    <row r="33" spans="1:8" ht="15">
      <c r="A33" s="651">
        <v>16</v>
      </c>
      <c r="B33" s="651">
        <v>396</v>
      </c>
      <c r="C33" s="181"/>
      <c r="D33" s="651">
        <v>396000</v>
      </c>
      <c r="E33" s="649"/>
      <c r="F33" s="649" t="s">
        <v>337</v>
      </c>
      <c r="G33" s="649"/>
      <c r="H33" s="749">
        <v>10</v>
      </c>
    </row>
    <row r="34" spans="1:8" ht="15">
      <c r="A34" s="651">
        <v>17</v>
      </c>
      <c r="B34" s="651">
        <v>397</v>
      </c>
      <c r="C34" s="181"/>
      <c r="D34" s="651">
        <v>397000</v>
      </c>
      <c r="E34" s="649"/>
      <c r="F34" s="649" t="s">
        <v>338</v>
      </c>
      <c r="G34" s="649"/>
      <c r="H34" s="749">
        <v>10</v>
      </c>
    </row>
    <row r="35" spans="1:8" ht="15">
      <c r="A35" s="651">
        <v>18</v>
      </c>
      <c r="B35" s="651">
        <v>397</v>
      </c>
      <c r="C35" s="651"/>
      <c r="D35" s="651">
        <v>397000</v>
      </c>
      <c r="E35" s="649"/>
      <c r="F35" s="649" t="s">
        <v>339</v>
      </c>
      <c r="G35" s="649"/>
      <c r="H35" s="749">
        <v>3.03</v>
      </c>
    </row>
    <row r="36" spans="1:8" ht="15">
      <c r="A36" s="651">
        <v>19</v>
      </c>
      <c r="B36" s="651">
        <v>397</v>
      </c>
      <c r="C36" s="651"/>
      <c r="D36" s="651">
        <v>397001</v>
      </c>
      <c r="E36" s="649"/>
      <c r="F36" s="649" t="s">
        <v>340</v>
      </c>
      <c r="G36" s="649"/>
      <c r="H36" s="749">
        <v>10</v>
      </c>
    </row>
    <row r="37" spans="1:8" ht="15">
      <c r="A37" s="651">
        <v>20</v>
      </c>
      <c r="B37" s="651">
        <v>398</v>
      </c>
      <c r="C37" s="651"/>
      <c r="D37" s="651">
        <v>398000</v>
      </c>
      <c r="E37" s="649"/>
      <c r="F37" s="649" t="s">
        <v>341</v>
      </c>
      <c r="G37" s="649"/>
      <c r="H37" s="749">
        <v>10</v>
      </c>
    </row>
    <row r="38" spans="1:8" ht="15">
      <c r="A38" s="649"/>
      <c r="B38" s="651"/>
      <c r="C38" s="651"/>
      <c r="D38" s="651"/>
      <c r="E38" s="649"/>
      <c r="F38" s="649"/>
      <c r="G38" s="649"/>
      <c r="H38" s="658"/>
    </row>
    <row r="39" spans="1:8" ht="15">
      <c r="A39" s="649"/>
      <c r="B39" s="798" t="s">
        <v>420</v>
      </c>
      <c r="C39" s="798"/>
      <c r="D39" s="798"/>
      <c r="E39" s="798"/>
      <c r="F39" s="798"/>
      <c r="G39" s="649"/>
      <c r="H39" s="650"/>
    </row>
    <row r="40" spans="1:8" ht="15">
      <c r="A40" s="649"/>
      <c r="B40" s="615" t="s">
        <v>16</v>
      </c>
      <c r="C40" s="651"/>
      <c r="D40" s="752" t="s">
        <v>421</v>
      </c>
      <c r="E40" s="650"/>
      <c r="F40" s="650"/>
      <c r="G40" s="649"/>
      <c r="H40" s="650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23"/>
  <sheetViews>
    <sheetView zoomScale="80" zoomScaleNormal="80" zoomScaleSheetLayoutView="110" workbookViewId="0">
      <selection activeCell="B11" sqref="B11"/>
    </sheetView>
  </sheetViews>
  <sheetFormatPr defaultRowHeight="15"/>
  <cols>
    <col min="1" max="1" width="5" customWidth="1"/>
    <col min="2" max="2" width="9.81640625" customWidth="1"/>
    <col min="3" max="3" width="12.6328125" customWidth="1"/>
    <col min="9" max="9" width="13.1796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527</v>
      </c>
    </row>
    <row r="3" spans="1:12">
      <c r="H3" s="1"/>
      <c r="I3" s="88" t="s">
        <v>365</v>
      </c>
    </row>
    <row r="4" spans="1:12">
      <c r="B4" s="326"/>
      <c r="C4" s="326"/>
      <c r="D4" s="326"/>
      <c r="E4" s="326"/>
      <c r="F4" s="326"/>
      <c r="G4" s="88"/>
      <c r="H4" s="326"/>
      <c r="I4" s="88" t="s">
        <v>589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802" t="str">
        <f>EKPC!A9</f>
        <v>Utilizing EKPC 2014 Form FF1 Data</v>
      </c>
      <c r="C7" s="802"/>
      <c r="D7" s="802"/>
      <c r="E7" s="802"/>
      <c r="F7" s="802"/>
      <c r="G7" s="802"/>
      <c r="H7" s="802"/>
      <c r="I7" s="802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6">
      <c r="A9" s="572"/>
      <c r="B9" s="659" t="s">
        <v>379</v>
      </c>
      <c r="C9" s="334"/>
      <c r="D9" s="334"/>
      <c r="E9" s="334"/>
      <c r="F9" s="334"/>
      <c r="G9" s="334"/>
      <c r="H9" s="334"/>
      <c r="I9" s="334"/>
    </row>
    <row r="10" spans="1:12" ht="15.6">
      <c r="A10" s="572"/>
      <c r="B10" s="659" t="s">
        <v>350</v>
      </c>
      <c r="C10" s="334"/>
      <c r="D10" s="334"/>
      <c r="E10" s="334"/>
      <c r="F10" s="334"/>
      <c r="G10" s="334"/>
      <c r="H10" s="334"/>
      <c r="I10" s="334"/>
    </row>
    <row r="11" spans="1:12" ht="15.6">
      <c r="A11" s="572"/>
      <c r="B11" s="660"/>
      <c r="C11" s="661"/>
      <c r="D11" s="661"/>
      <c r="E11" s="662"/>
      <c r="F11" s="662"/>
      <c r="G11" s="661"/>
      <c r="H11" s="661"/>
      <c r="I11" s="661"/>
    </row>
    <row r="12" spans="1:12" ht="33" customHeight="1">
      <c r="A12" s="663" t="s">
        <v>188</v>
      </c>
      <c r="B12" s="664"/>
      <c r="C12" s="665" t="s">
        <v>351</v>
      </c>
      <c r="D12" s="665"/>
      <c r="E12" s="665" t="s">
        <v>352</v>
      </c>
      <c r="F12" s="665"/>
      <c r="G12" s="666" t="s">
        <v>584</v>
      </c>
      <c r="H12" s="664"/>
      <c r="I12" s="666" t="s">
        <v>585</v>
      </c>
    </row>
    <row r="13" spans="1:12">
      <c r="A13" s="311">
        <v>1</v>
      </c>
      <c r="B13" s="661" t="s">
        <v>149</v>
      </c>
      <c r="C13" s="771">
        <v>33925978</v>
      </c>
      <c r="D13" s="680"/>
      <c r="E13" s="667">
        <f>C13/C16</f>
        <v>0.61870027630531055</v>
      </c>
      <c r="F13" s="667"/>
      <c r="G13" s="763">
        <f>G16*E13</f>
        <v>0</v>
      </c>
      <c r="H13" s="661"/>
      <c r="I13" s="661"/>
    </row>
    <row r="14" spans="1:12">
      <c r="A14" s="311">
        <f>+A13+1</f>
        <v>2</v>
      </c>
      <c r="B14" s="661" t="s">
        <v>22</v>
      </c>
      <c r="C14" s="680">
        <v>20845439</v>
      </c>
      <c r="D14" s="681"/>
      <c r="E14" s="667">
        <f>C14/C16</f>
        <v>0.3801534879556161</v>
      </c>
      <c r="F14" s="667"/>
      <c r="G14" s="763">
        <f>E14*G16</f>
        <v>0</v>
      </c>
      <c r="H14" s="668"/>
      <c r="I14" s="669"/>
    </row>
    <row r="15" spans="1:12" ht="16.8">
      <c r="A15" s="311">
        <f t="shared" ref="A15:A16" si="0">+A14+1</f>
        <v>3</v>
      </c>
      <c r="B15" s="661" t="s">
        <v>150</v>
      </c>
      <c r="C15" s="772">
        <v>62853</v>
      </c>
      <c r="D15" s="682"/>
      <c r="E15" s="670">
        <f>C15/C16</f>
        <v>1.1462357390733934E-3</v>
      </c>
      <c r="F15" s="670"/>
      <c r="G15" s="764">
        <f>E15*G16</f>
        <v>0</v>
      </c>
      <c r="H15" s="661"/>
      <c r="I15" s="661"/>
    </row>
    <row r="16" spans="1:12" ht="17.399999999999999" thickBot="1">
      <c r="A16" s="311">
        <f t="shared" si="0"/>
        <v>4</v>
      </c>
      <c r="B16" s="661" t="s">
        <v>353</v>
      </c>
      <c r="C16" s="671">
        <f>SUM(C13:C15)</f>
        <v>54834270</v>
      </c>
      <c r="D16" s="661"/>
      <c r="E16" s="672">
        <f>SUM(E13:E15)</f>
        <v>1</v>
      </c>
      <c r="F16" s="672"/>
      <c r="G16" s="700">
        <v>0</v>
      </c>
      <c r="H16" s="661"/>
      <c r="I16" s="673">
        <f>G14+C14</f>
        <v>20845439</v>
      </c>
    </row>
    <row r="17" spans="1:16" ht="15.6" thickTop="1">
      <c r="A17" s="572"/>
      <c r="B17" s="669"/>
      <c r="C17" s="669"/>
      <c r="D17" s="669"/>
      <c r="E17" s="669"/>
      <c r="F17" s="669"/>
      <c r="G17" s="669"/>
      <c r="H17" s="669"/>
      <c r="I17" s="669"/>
    </row>
    <row r="18" spans="1:16">
      <c r="A18" s="572"/>
      <c r="B18" s="669"/>
      <c r="C18" s="669"/>
      <c r="D18" s="669"/>
      <c r="E18" s="669"/>
      <c r="F18" s="669"/>
      <c r="G18" s="669"/>
      <c r="H18" s="669"/>
      <c r="I18" s="669"/>
    </row>
    <row r="19" spans="1:16">
      <c r="A19" s="572"/>
      <c r="B19" s="674" t="s">
        <v>144</v>
      </c>
      <c r="C19" s="675"/>
      <c r="D19" s="675"/>
      <c r="E19" s="675"/>
      <c r="F19" s="676"/>
      <c r="G19" s="669"/>
      <c r="H19" s="669"/>
      <c r="I19" s="669"/>
    </row>
    <row r="20" spans="1:16" ht="15.6">
      <c r="A20" s="572"/>
      <c r="B20" s="677" t="s">
        <v>551</v>
      </c>
      <c r="C20" s="678"/>
      <c r="D20" s="678"/>
      <c r="E20" s="678"/>
      <c r="F20" s="679"/>
      <c r="G20" s="677"/>
      <c r="H20" s="677"/>
      <c r="I20" s="677"/>
    </row>
    <row r="21" spans="1:16">
      <c r="A21" s="572"/>
      <c r="B21" s="677" t="s">
        <v>380</v>
      </c>
      <c r="C21" s="573"/>
      <c r="D21" s="573"/>
      <c r="E21" s="573"/>
      <c r="F21" s="573"/>
      <c r="G21" s="573"/>
      <c r="H21" s="573"/>
      <c r="I21" s="573"/>
      <c r="J21" s="349"/>
      <c r="K21" s="349"/>
      <c r="L21" s="349"/>
      <c r="M21" s="349"/>
      <c r="N21" s="349"/>
      <c r="O21" s="349"/>
      <c r="P21" s="349"/>
    </row>
    <row r="22" spans="1:16">
      <c r="A22" s="572"/>
      <c r="B22" s="677" t="str">
        <f>CONCATENATE("(3) To ",EKPC!J1,", Page 2 of 5, Line 27.")</f>
        <v>(3) To Attachment H-24A, Page 2 of 5, Line 27.</v>
      </c>
      <c r="C22" s="573"/>
      <c r="D22" s="570"/>
      <c r="E22" s="573"/>
      <c r="F22" s="573"/>
      <c r="G22" s="572"/>
      <c r="H22" s="572"/>
      <c r="I22" s="572"/>
    </row>
    <row r="23" spans="1:16">
      <c r="B23" s="349"/>
      <c r="C23" s="349"/>
      <c r="D23" s="349"/>
      <c r="E23" s="349"/>
      <c r="F23" s="349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E39"/>
  <sheetViews>
    <sheetView zoomScale="80" zoomScaleNormal="80" zoomScaleSheetLayoutView="90" workbookViewId="0">
      <selection activeCell="A17" sqref="A17"/>
    </sheetView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5">
      <c r="E1" s="336" t="str">
        <f>EKPC!J1</f>
        <v>Attachment H-24A</v>
      </c>
    </row>
    <row r="2" spans="1:5">
      <c r="E2" s="168" t="s">
        <v>527</v>
      </c>
    </row>
    <row r="3" spans="1:5">
      <c r="B3"/>
      <c r="C3" s="17"/>
      <c r="D3" s="17"/>
      <c r="E3" s="168" t="s">
        <v>364</v>
      </c>
    </row>
    <row r="4" spans="1:5" ht="17.399999999999999">
      <c r="B4" s="25"/>
      <c r="C4" s="17"/>
      <c r="D4" s="17"/>
      <c r="E4" s="168" t="str">
        <f>EKPC!$J$124</f>
        <v>For the 12 months ended 12/31/2014</v>
      </c>
    </row>
    <row r="5" spans="1:5" ht="17.399999999999999">
      <c r="B5" s="25"/>
      <c r="C5" s="17"/>
      <c r="D5" s="17"/>
      <c r="E5" s="168"/>
    </row>
    <row r="6" spans="1:5" ht="15.6">
      <c r="B6" s="803" t="str">
        <f>EKPC!A11</f>
        <v>East Kentucky Power Cooperative, Inc.</v>
      </c>
      <c r="C6" s="803"/>
      <c r="D6" s="803"/>
      <c r="E6" s="803"/>
    </row>
    <row r="7" spans="1:5" ht="15.6">
      <c r="B7" s="803" t="str">
        <f>EKPC!A9</f>
        <v>Utilizing EKPC 2014 Form FF1 Data</v>
      </c>
      <c r="C7" s="803"/>
      <c r="D7" s="803"/>
      <c r="E7" s="803"/>
    </row>
    <row r="9" spans="1:5">
      <c r="E9" s="168"/>
    </row>
    <row r="10" spans="1:5" ht="15.6">
      <c r="B10" s="16" t="s">
        <v>372</v>
      </c>
      <c r="C10" s="17"/>
      <c r="D10" s="17"/>
      <c r="E10" s="17"/>
    </row>
    <row r="12" spans="1:5">
      <c r="C12" s="143"/>
      <c r="D12" s="143"/>
    </row>
    <row r="13" spans="1:5" ht="33.6">
      <c r="A13" s="450" t="s">
        <v>188</v>
      </c>
      <c r="B13" s="432" t="s">
        <v>454</v>
      </c>
      <c r="C13" s="144" t="s">
        <v>221</v>
      </c>
      <c r="D13" s="145" t="s">
        <v>163</v>
      </c>
      <c r="E13" s="146" t="s">
        <v>366</v>
      </c>
    </row>
    <row r="14" spans="1:5">
      <c r="C14" s="143"/>
      <c r="D14" s="143"/>
      <c r="E14" s="143"/>
    </row>
    <row r="15" spans="1:5" ht="15.6">
      <c r="A15" s="431"/>
      <c r="B15" s="169"/>
      <c r="C15" s="147"/>
      <c r="D15" s="147"/>
      <c r="E15" s="147"/>
    </row>
    <row r="16" spans="1:5">
      <c r="C16" s="147"/>
      <c r="D16" s="147"/>
      <c r="E16" s="147"/>
    </row>
    <row r="17" spans="1:5">
      <c r="A17" s="431" t="s">
        <v>401</v>
      </c>
      <c r="B17" s="1" t="s">
        <v>329</v>
      </c>
      <c r="C17" s="760">
        <v>0</v>
      </c>
      <c r="D17" s="729">
        <v>27461.55</v>
      </c>
      <c r="E17" s="140">
        <f t="shared" ref="E17:E22" si="0">SUM(C17:D17)</f>
        <v>27461.55</v>
      </c>
    </row>
    <row r="18" spans="1:5">
      <c r="A18" s="459">
        <f>A17+1</f>
        <v>2</v>
      </c>
      <c r="C18" s="761">
        <v>0</v>
      </c>
      <c r="D18" s="761">
        <v>0</v>
      </c>
      <c r="E18" s="147">
        <f t="shared" si="0"/>
        <v>0</v>
      </c>
    </row>
    <row r="19" spans="1:5">
      <c r="A19" s="459">
        <f t="shared" ref="A19:A23" si="1">A18+1</f>
        <v>3</v>
      </c>
      <c r="C19" s="761">
        <v>0</v>
      </c>
      <c r="D19" s="761">
        <v>0</v>
      </c>
      <c r="E19" s="147">
        <f t="shared" si="0"/>
        <v>0</v>
      </c>
    </row>
    <row r="20" spans="1:5">
      <c r="A20" s="459">
        <f t="shared" si="1"/>
        <v>4</v>
      </c>
      <c r="C20" s="761">
        <v>0</v>
      </c>
      <c r="D20" s="761">
        <v>0</v>
      </c>
      <c r="E20" s="147">
        <f t="shared" si="0"/>
        <v>0</v>
      </c>
    </row>
    <row r="21" spans="1:5">
      <c r="A21" s="459">
        <f t="shared" si="1"/>
        <v>5</v>
      </c>
      <c r="C21" s="761">
        <v>0</v>
      </c>
      <c r="D21" s="761">
        <v>0</v>
      </c>
      <c r="E21" s="147">
        <f t="shared" si="0"/>
        <v>0</v>
      </c>
    </row>
    <row r="22" spans="1:5" ht="16.8">
      <c r="A22" s="459">
        <f t="shared" si="1"/>
        <v>6</v>
      </c>
      <c r="C22" s="762">
        <v>0</v>
      </c>
      <c r="D22" s="762">
        <v>0</v>
      </c>
      <c r="E22" s="148">
        <f t="shared" si="0"/>
        <v>0</v>
      </c>
    </row>
    <row r="23" spans="1:5" ht="16.8">
      <c r="A23" s="459">
        <f t="shared" si="1"/>
        <v>7</v>
      </c>
      <c r="B23" s="27" t="s">
        <v>378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5">
      <c r="B27" s="362" t="s">
        <v>374</v>
      </c>
      <c r="C27" s="327"/>
      <c r="D27" s="327"/>
    </row>
    <row r="28" spans="1:5">
      <c r="B28" s="566" t="s">
        <v>548</v>
      </c>
      <c r="C28" s="7"/>
      <c r="D28" s="367"/>
    </row>
    <row r="29" spans="1:5">
      <c r="B29" s="368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J47"/>
  <sheetViews>
    <sheetView zoomScale="70" zoomScaleNormal="70" zoomScaleSheetLayoutView="80" workbookViewId="0">
      <selection activeCell="H32" sqref="H32"/>
    </sheetView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6" ht="15">
      <c r="A1" s="28"/>
      <c r="B1" s="1"/>
      <c r="C1" s="1"/>
      <c r="D1" s="1"/>
      <c r="E1" s="336" t="str">
        <f>EKPC!J1</f>
        <v>Attachment H-24A</v>
      </c>
    </row>
    <row r="2" spans="1:6" ht="15">
      <c r="A2" s="28"/>
      <c r="B2" s="1"/>
      <c r="C2" s="1"/>
      <c r="D2" s="1"/>
      <c r="E2" s="168" t="s">
        <v>527</v>
      </c>
    </row>
    <row r="3" spans="1:6" ht="15">
      <c r="A3" s="28"/>
      <c r="B3" s="484"/>
      <c r="C3" s="17"/>
      <c r="D3" s="17"/>
      <c r="E3" s="168" t="s">
        <v>363</v>
      </c>
    </row>
    <row r="4" spans="1:6" ht="15.6">
      <c r="A4" s="28"/>
      <c r="B4" s="16"/>
      <c r="C4" s="17"/>
      <c r="D4" s="17"/>
      <c r="E4" s="168" t="str">
        <f>EKPC!$J$124</f>
        <v>For the 12 months ended 12/31/2014</v>
      </c>
    </row>
    <row r="5" spans="1:6" ht="15.6">
      <c r="A5" s="28"/>
      <c r="B5" s="16"/>
      <c r="C5" s="17"/>
      <c r="D5" s="17"/>
      <c r="E5" s="168"/>
    </row>
    <row r="6" spans="1:6" ht="15.6">
      <c r="A6" s="28"/>
      <c r="B6" s="803" t="str">
        <f>EKPC!A11</f>
        <v>East Kentucky Power Cooperative, Inc.</v>
      </c>
      <c r="C6" s="803"/>
      <c r="D6" s="803"/>
      <c r="E6" s="803"/>
    </row>
    <row r="7" spans="1:6" ht="15.6">
      <c r="A7" s="28"/>
      <c r="B7" s="803" t="str">
        <f>EKPC!A9</f>
        <v>Utilizing EKPC 2014 Form FF1 Data</v>
      </c>
      <c r="C7" s="803"/>
      <c r="D7" s="803"/>
      <c r="E7" s="803"/>
    </row>
    <row r="8" spans="1:6" ht="15">
      <c r="A8" s="28"/>
      <c r="B8" s="28"/>
      <c r="C8" s="28"/>
      <c r="D8" s="686"/>
      <c r="E8" s="28"/>
    </row>
    <row r="9" spans="1:6" ht="15.6">
      <c r="A9" s="28"/>
      <c r="B9" s="804" t="s">
        <v>523</v>
      </c>
      <c r="C9" s="804"/>
      <c r="D9" s="804"/>
      <c r="E9" s="804"/>
      <c r="F9" s="484"/>
    </row>
    <row r="10" spans="1:6" ht="15">
      <c r="A10" s="28"/>
      <c r="B10" s="8"/>
      <c r="C10" s="8"/>
      <c r="D10" s="28"/>
      <c r="E10" s="28"/>
      <c r="F10" s="484"/>
    </row>
    <row r="11" spans="1:6" ht="15.6">
      <c r="A11" s="28"/>
      <c r="B11" s="19"/>
      <c r="C11" s="19"/>
      <c r="D11" s="28"/>
      <c r="E11" s="28"/>
      <c r="F11" s="484"/>
    </row>
    <row r="12" spans="1:6" ht="15">
      <c r="A12" s="28"/>
      <c r="B12" s="18"/>
      <c r="C12" s="18"/>
      <c r="D12" s="28"/>
      <c r="E12" s="28"/>
      <c r="F12" s="484"/>
    </row>
    <row r="13" spans="1:6" ht="19.2">
      <c r="A13" s="687" t="s">
        <v>188</v>
      </c>
      <c r="B13" s="18"/>
      <c r="C13" s="21" t="s">
        <v>244</v>
      </c>
      <c r="D13" s="21" t="s">
        <v>321</v>
      </c>
      <c r="E13" s="28"/>
      <c r="F13" s="484"/>
    </row>
    <row r="14" spans="1:6" ht="15">
      <c r="A14" s="28"/>
      <c r="B14" s="18"/>
      <c r="C14" s="18"/>
      <c r="D14" s="28"/>
      <c r="E14" s="28"/>
      <c r="F14" s="484"/>
    </row>
    <row r="15" spans="1:6" ht="15.6">
      <c r="A15" s="448" t="s">
        <v>461</v>
      </c>
      <c r="B15" s="434" t="s">
        <v>556</v>
      </c>
      <c r="C15" s="433" t="s">
        <v>557</v>
      </c>
      <c r="D15" s="727">
        <v>269287</v>
      </c>
      <c r="E15" s="28"/>
      <c r="F15" s="484"/>
    </row>
    <row r="16" spans="1:6" ht="15">
      <c r="A16" s="28"/>
      <c r="B16" s="22"/>
      <c r="C16" s="433"/>
      <c r="D16" s="81"/>
      <c r="E16" s="28"/>
      <c r="F16" s="484"/>
    </row>
    <row r="17" spans="1:7" ht="16.8">
      <c r="A17" s="448" t="s">
        <v>206</v>
      </c>
      <c r="B17" s="23" t="s">
        <v>165</v>
      </c>
      <c r="C17" s="370"/>
      <c r="D17" s="737">
        <v>0</v>
      </c>
      <c r="E17" s="28"/>
      <c r="F17" s="428"/>
    </row>
    <row r="18" spans="1:7" ht="15">
      <c r="A18" s="28"/>
      <c r="B18" s="22"/>
      <c r="C18" s="433" t="s">
        <v>451</v>
      </c>
      <c r="D18" s="81"/>
      <c r="E18" s="28"/>
      <c r="F18" s="484"/>
    </row>
    <row r="19" spans="1:7" ht="16.8">
      <c r="A19" s="448" t="s">
        <v>462</v>
      </c>
      <c r="B19" s="24" t="s">
        <v>459</v>
      </c>
      <c r="C19" s="369"/>
      <c r="D19" s="683">
        <f>D15-D17</f>
        <v>269287</v>
      </c>
      <c r="E19" s="28"/>
      <c r="F19" s="484"/>
    </row>
    <row r="20" spans="1:7" ht="15">
      <c r="A20" s="28"/>
      <c r="B20" s="22"/>
      <c r="C20" s="433"/>
      <c r="D20" s="81"/>
      <c r="E20" s="28"/>
      <c r="F20" s="484"/>
    </row>
    <row r="21" spans="1:7" ht="15">
      <c r="A21" s="28"/>
      <c r="B21" s="22"/>
      <c r="C21" s="433"/>
      <c r="D21" s="81"/>
      <c r="E21" s="28"/>
      <c r="F21" s="484"/>
    </row>
    <row r="22" spans="1:7" ht="15.6">
      <c r="A22" s="448" t="s">
        <v>463</v>
      </c>
      <c r="B22" s="435" t="s">
        <v>460</v>
      </c>
      <c r="C22" s="433" t="s">
        <v>450</v>
      </c>
      <c r="D22" s="727">
        <v>1727780.41</v>
      </c>
      <c r="E22" s="28"/>
      <c r="F22" s="484"/>
      <c r="G22" s="484"/>
    </row>
    <row r="23" spans="1:7" ht="15.6">
      <c r="A23" s="448"/>
      <c r="B23" s="435"/>
      <c r="C23" s="433"/>
      <c r="D23" s="684"/>
      <c r="E23" s="28"/>
      <c r="F23" s="484"/>
      <c r="G23" s="484"/>
    </row>
    <row r="24" spans="1:7" ht="15">
      <c r="A24" s="448" t="s">
        <v>176</v>
      </c>
      <c r="B24" s="416" t="s">
        <v>412</v>
      </c>
      <c r="C24" s="433" t="s">
        <v>453</v>
      </c>
      <c r="D24" s="684">
        <f>-D22*(1-EKPC!J220)</f>
        <v>-1449403.9832652223</v>
      </c>
      <c r="E24" s="484"/>
      <c r="F24" s="484"/>
      <c r="G24" s="484"/>
    </row>
    <row r="25" spans="1:7" ht="15">
      <c r="A25" s="448"/>
      <c r="B25" s="416"/>
      <c r="C25" s="433"/>
      <c r="D25" s="684"/>
      <c r="E25" s="484"/>
      <c r="F25" s="484"/>
      <c r="G25" s="484"/>
    </row>
    <row r="26" spans="1:7" ht="16.8">
      <c r="A26" s="448" t="s">
        <v>177</v>
      </c>
      <c r="B26" s="23" t="s">
        <v>447</v>
      </c>
      <c r="C26" s="433"/>
      <c r="D26" s="683">
        <f>D22+D24</f>
        <v>278376.42673477763</v>
      </c>
      <c r="E26" s="28"/>
    </row>
    <row r="27" spans="1:7" ht="15">
      <c r="A27" s="28"/>
      <c r="B27" s="23"/>
      <c r="C27" s="433"/>
      <c r="D27" s="685"/>
      <c r="E27" s="28"/>
    </row>
    <row r="28" spans="1:7" ht="15">
      <c r="A28" s="28"/>
      <c r="B28" s="23"/>
      <c r="C28" s="23"/>
      <c r="D28" s="82"/>
      <c r="E28" s="28"/>
    </row>
    <row r="29" spans="1:7" ht="15.6">
      <c r="A29" s="449">
        <v>7</v>
      </c>
      <c r="B29" s="435" t="s">
        <v>558</v>
      </c>
      <c r="C29" s="442" t="s">
        <v>467</v>
      </c>
      <c r="D29" s="82"/>
      <c r="E29" s="28"/>
    </row>
    <row r="30" spans="1:7" ht="15">
      <c r="A30" s="449">
        <v>8</v>
      </c>
      <c r="B30" s="23" t="s">
        <v>519</v>
      </c>
      <c r="C30" s="370"/>
      <c r="D30" s="727">
        <f>424542.01</f>
        <v>424542.01</v>
      </c>
      <c r="E30" s="28"/>
      <c r="F30" s="714"/>
    </row>
    <row r="31" spans="1:7" ht="15">
      <c r="A31" s="449">
        <v>9</v>
      </c>
      <c r="B31" s="23" t="s">
        <v>518</v>
      </c>
      <c r="C31" s="370"/>
      <c r="D31" s="740">
        <f>612467.11-(28944.59-18825.25)+504138.31*3/2</f>
        <v>1358555.2349999999</v>
      </c>
      <c r="E31" s="28"/>
      <c r="F31" s="714"/>
    </row>
    <row r="32" spans="1:7" ht="15">
      <c r="A32" s="449">
        <v>10</v>
      </c>
      <c r="B32" s="23" t="s">
        <v>517</v>
      </c>
      <c r="C32" s="370"/>
      <c r="D32" s="727">
        <f>227565.3+266355.51*3/2</f>
        <v>627098.56499999994</v>
      </c>
      <c r="E32" s="28"/>
      <c r="F32" s="714"/>
    </row>
    <row r="33" spans="1:10" ht="15">
      <c r="A33" s="449">
        <v>11</v>
      </c>
      <c r="B33" s="156" t="s">
        <v>537</v>
      </c>
      <c r="C33" s="370"/>
      <c r="D33" s="739">
        <f>29875+(54865.13+22208.9)*3/2</f>
        <v>145486.04499999998</v>
      </c>
      <c r="E33" s="28"/>
      <c r="F33" s="714"/>
    </row>
    <row r="34" spans="1:10" ht="15">
      <c r="A34" s="449"/>
      <c r="B34" s="23"/>
      <c r="C34" s="23"/>
      <c r="D34" s="81"/>
      <c r="E34" s="28"/>
      <c r="F34" s="714"/>
    </row>
    <row r="35" spans="1:10" ht="15.6" thickBot="1">
      <c r="A35" s="449">
        <v>12</v>
      </c>
      <c r="B35" s="28"/>
      <c r="C35" s="28"/>
      <c r="D35" s="701">
        <f>SUM(D30:D34)</f>
        <v>2555681.8549999995</v>
      </c>
      <c r="E35" s="28"/>
      <c r="F35" s="715"/>
      <c r="G35" s="486"/>
      <c r="H35" s="486"/>
      <c r="I35" s="486"/>
      <c r="J35" s="486"/>
    </row>
    <row r="36" spans="1:10" ht="15.6" thickTop="1">
      <c r="A36" s="449"/>
      <c r="B36" s="28"/>
      <c r="C36" s="28"/>
      <c r="D36" s="702"/>
      <c r="E36" s="28"/>
      <c r="F36" s="715"/>
      <c r="G36" s="486"/>
      <c r="H36" s="486"/>
      <c r="I36" s="486"/>
      <c r="J36" s="486"/>
    </row>
    <row r="37" spans="1:10" ht="15.6">
      <c r="A37" s="449">
        <v>14</v>
      </c>
      <c r="B37" s="23" t="s">
        <v>520</v>
      </c>
      <c r="C37" s="23"/>
      <c r="D37" s="712">
        <f>D35/3</f>
        <v>851893.95166666654</v>
      </c>
      <c r="E37" s="688"/>
      <c r="F37" s="714"/>
    </row>
    <row r="38" spans="1:10" ht="19.5" customHeight="1">
      <c r="A38" s="28"/>
      <c r="B38" s="28"/>
      <c r="C38" s="28"/>
      <c r="D38" s="28"/>
      <c r="E38" s="484"/>
      <c r="F38" s="484"/>
      <c r="G38" s="484"/>
    </row>
    <row r="39" spans="1:10" ht="15">
      <c r="A39" s="28"/>
      <c r="B39" s="18"/>
      <c r="C39" s="18"/>
      <c r="D39" s="28"/>
      <c r="E39" s="484"/>
      <c r="F39" s="484"/>
      <c r="G39" s="484"/>
    </row>
    <row r="40" spans="1:10" ht="15">
      <c r="A40" s="28"/>
      <c r="B40" s="610" t="s">
        <v>374</v>
      </c>
      <c r="C40" s="611"/>
      <c r="D40" s="611"/>
      <c r="E40" s="611"/>
    </row>
    <row r="41" spans="1:10" ht="15">
      <c r="A41" s="549"/>
      <c r="B41" s="612" t="str">
        <f>CONCATENATE("(1) To ",EKPC!J1,", Page 3 of 5, Line 5")</f>
        <v>(1) To Attachment H-24A, Page 3 of 5, Line 5</v>
      </c>
      <c r="C41" s="549"/>
      <c r="D41" s="549"/>
      <c r="E41" s="549"/>
      <c r="F41" s="486"/>
    </row>
    <row r="42" spans="1:10" ht="15.6">
      <c r="A42" s="549"/>
      <c r="B42" s="613" t="s">
        <v>539</v>
      </c>
      <c r="C42" s="549"/>
      <c r="D42" s="614"/>
      <c r="E42" s="549"/>
      <c r="F42" s="486"/>
    </row>
    <row r="43" spans="1:10" ht="28.5" customHeight="1">
      <c r="A43" s="549"/>
      <c r="B43" s="805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3" s="805"/>
      <c r="D43" s="805"/>
      <c r="E43" s="805"/>
      <c r="F43" s="486"/>
    </row>
    <row r="44" spans="1:10" ht="15">
      <c r="A44" s="549"/>
      <c r="B44" s="549" t="s">
        <v>540</v>
      </c>
      <c r="C44" s="549"/>
      <c r="D44" s="549"/>
      <c r="E44" s="549"/>
      <c r="F44" s="486"/>
    </row>
    <row r="45" spans="1:10">
      <c r="A45" s="486"/>
      <c r="B45" s="486"/>
      <c r="C45" s="486"/>
      <c r="D45" s="486"/>
      <c r="E45" s="486"/>
      <c r="F45" s="486"/>
    </row>
    <row r="46" spans="1:10">
      <c r="A46" s="486"/>
      <c r="B46" s="486"/>
      <c r="C46" s="486"/>
      <c r="D46" s="486"/>
      <c r="E46" s="486"/>
      <c r="F46" s="486"/>
    </row>
    <row r="47" spans="1:10">
      <c r="A47" s="486"/>
      <c r="B47" s="486"/>
      <c r="C47" s="486"/>
      <c r="D47" s="486"/>
      <c r="E47" s="486"/>
      <c r="F47" s="486"/>
    </row>
  </sheetData>
  <mergeCells count="4">
    <mergeCell ref="B6:E6"/>
    <mergeCell ref="B7:E7"/>
    <mergeCell ref="B9:E9"/>
    <mergeCell ref="B43:E43"/>
  </mergeCells>
  <phoneticPr fontId="21" type="noConversion"/>
  <pageMargins left="1" right="1" top="1" bottom="0.5" header="0.5" footer="0.5"/>
  <pageSetup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Y48"/>
  <sheetViews>
    <sheetView topLeftCell="A8" zoomScale="70" zoomScaleNormal="70" workbookViewId="0">
      <selection activeCell="H43" sqref="H43:H44"/>
    </sheetView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6">
      <c r="E1" s="336" t="str">
        <f>EKPC!J1</f>
        <v>Attachment H-24A</v>
      </c>
    </row>
    <row r="2" spans="1:6">
      <c r="E2" s="168" t="s">
        <v>527</v>
      </c>
    </row>
    <row r="3" spans="1:6">
      <c r="B3"/>
      <c r="C3" s="17"/>
      <c r="D3" s="17"/>
      <c r="E3" s="168" t="s">
        <v>362</v>
      </c>
    </row>
    <row r="4" spans="1:6" ht="17.399999999999999">
      <c r="B4" s="25"/>
      <c r="C4" s="17"/>
      <c r="D4" s="17"/>
      <c r="E4" s="168" t="str">
        <f>EKPC!$J$124</f>
        <v>For the 12 months ended 12/31/2014</v>
      </c>
      <c r="F4" s="139"/>
    </row>
    <row r="5" spans="1:6" ht="17.399999999999999">
      <c r="B5" s="25"/>
      <c r="C5" s="17"/>
      <c r="D5" s="17"/>
      <c r="E5" s="168"/>
      <c r="F5" s="139"/>
    </row>
    <row r="6" spans="1:6" ht="15.6">
      <c r="A6" s="803" t="str">
        <f>EKPC!A11</f>
        <v>East Kentucky Power Cooperative, Inc.</v>
      </c>
      <c r="B6" s="803"/>
      <c r="C6" s="803"/>
      <c r="D6" s="803"/>
      <c r="E6" s="436"/>
      <c r="F6" s="139"/>
    </row>
    <row r="7" spans="1:6" ht="15.6">
      <c r="A7" s="803" t="str">
        <f>EKPC!A9</f>
        <v>Utilizing EKPC 2014 Form FF1 Data</v>
      </c>
      <c r="B7" s="803"/>
      <c r="C7" s="803"/>
      <c r="D7" s="803"/>
      <c r="E7" s="436"/>
      <c r="F7" s="139"/>
    </row>
    <row r="8" spans="1:6" ht="15.6">
      <c r="B8" s="16"/>
      <c r="C8" s="17"/>
      <c r="D8" s="168"/>
      <c r="F8" s="139"/>
    </row>
    <row r="9" spans="1:6" ht="15.6">
      <c r="A9" s="803" t="s">
        <v>148</v>
      </c>
      <c r="B9" s="803"/>
      <c r="C9" s="803"/>
      <c r="D9" s="803"/>
      <c r="F9" s="139"/>
    </row>
    <row r="10" spans="1:6" ht="15.6">
      <c r="B10" s="16"/>
      <c r="C10" s="17"/>
      <c r="D10" s="17"/>
      <c r="F10" s="139"/>
    </row>
    <row r="11" spans="1:6" ht="15.6">
      <c r="B11" s="19"/>
      <c r="C11" s="430"/>
      <c r="D11" s="18"/>
      <c r="F11" s="139"/>
    </row>
    <row r="12" spans="1:6" ht="19.2">
      <c r="B12" s="18"/>
      <c r="C12" s="79"/>
      <c r="D12" s="20"/>
      <c r="F12" s="139"/>
    </row>
    <row r="13" spans="1:6" ht="19.8" thickBot="1">
      <c r="A13" s="432" t="s">
        <v>188</v>
      </c>
      <c r="B13" s="18"/>
      <c r="C13" s="80"/>
      <c r="D13" s="21" t="s">
        <v>321</v>
      </c>
      <c r="F13" s="139"/>
    </row>
    <row r="14" spans="1:6" ht="19.8" thickBot="1">
      <c r="B14" s="29" t="s">
        <v>166</v>
      </c>
      <c r="C14" s="80"/>
      <c r="D14" s="21"/>
      <c r="F14" s="139"/>
    </row>
    <row r="15" spans="1:6" ht="17.25" customHeight="1">
      <c r="A15" s="431" t="s">
        <v>461</v>
      </c>
      <c r="B15" s="176" t="s">
        <v>444</v>
      </c>
      <c r="C15" s="81"/>
      <c r="D15" s="727">
        <v>37251549</v>
      </c>
    </row>
    <row r="16" spans="1:6" ht="15.6">
      <c r="A16" s="429"/>
      <c r="B16" s="370"/>
      <c r="C16" s="82"/>
      <c r="D16" s="82"/>
      <c r="F16" s="139"/>
    </row>
    <row r="17" spans="1:9" ht="34.5" customHeight="1">
      <c r="A17" s="431" t="s">
        <v>206</v>
      </c>
      <c r="B17" s="807" t="s">
        <v>464</v>
      </c>
      <c r="C17" s="797"/>
      <c r="D17" s="26">
        <v>0</v>
      </c>
      <c r="F17" s="139"/>
    </row>
    <row r="18" spans="1:9" ht="15.6">
      <c r="A18" s="466"/>
      <c r="B18" s="23"/>
      <c r="C18" s="82"/>
      <c r="D18" s="82"/>
      <c r="F18" s="139"/>
    </row>
    <row r="19" spans="1:9" ht="17.25" customHeight="1">
      <c r="A19" s="431" t="s">
        <v>462</v>
      </c>
      <c r="B19" s="369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37251549</v>
      </c>
      <c r="F19" s="139"/>
    </row>
    <row r="20" spans="1:9" ht="14.25" customHeight="1">
      <c r="A20" s="466"/>
      <c r="B20" s="24"/>
      <c r="C20" s="83"/>
      <c r="D20" s="83"/>
      <c r="F20" s="139"/>
    </row>
    <row r="21" spans="1:9" ht="10.5" customHeight="1">
      <c r="A21" s="466"/>
      <c r="B21" s="24"/>
      <c r="C21" s="83"/>
      <c r="D21" s="83"/>
      <c r="F21" s="139"/>
    </row>
    <row r="22" spans="1:9" ht="16.2" thickBot="1">
      <c r="A22" s="466"/>
      <c r="B22" s="23"/>
      <c r="C22" s="82"/>
      <c r="D22" s="82"/>
      <c r="F22" s="139"/>
    </row>
    <row r="23" spans="1:9" ht="16.2" thickBot="1">
      <c r="A23" s="466"/>
      <c r="B23" s="29" t="s">
        <v>167</v>
      </c>
      <c r="C23" s="82"/>
      <c r="D23" s="82"/>
      <c r="F23" s="139"/>
    </row>
    <row r="24" spans="1:9" ht="17.25" customHeight="1">
      <c r="A24" s="431" t="s">
        <v>463</v>
      </c>
      <c r="B24" s="176" t="s">
        <v>545</v>
      </c>
      <c r="C24" s="81"/>
      <c r="D24" s="727">
        <f>43171988-4427431.34</f>
        <v>38744556.659999996</v>
      </c>
    </row>
    <row r="25" spans="1:9" ht="15.6">
      <c r="A25" s="466"/>
      <c r="B25" s="370"/>
      <c r="C25" s="82"/>
      <c r="D25" s="82"/>
      <c r="F25" s="139"/>
    </row>
    <row r="26" spans="1:9" ht="16.8">
      <c r="A26" s="431" t="s">
        <v>176</v>
      </c>
      <c r="B26" s="468" t="s">
        <v>464</v>
      </c>
      <c r="C26" s="26"/>
      <c r="D26" s="26">
        <f>D17</f>
        <v>0</v>
      </c>
      <c r="F26" s="139"/>
      <c r="G26"/>
    </row>
    <row r="27" spans="1:9" ht="15.6">
      <c r="A27" s="466"/>
      <c r="B27" s="23"/>
      <c r="C27" s="82"/>
      <c r="D27" s="82"/>
      <c r="F27" s="139"/>
    </row>
    <row r="28" spans="1:9" ht="17.25" customHeight="1">
      <c r="A28" s="431" t="s">
        <v>177</v>
      </c>
      <c r="B28" s="369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38744556.659999996</v>
      </c>
      <c r="F28" s="139"/>
    </row>
    <row r="29" spans="1:9" ht="14.25" customHeight="1">
      <c r="A29" s="466"/>
      <c r="B29" s="24"/>
      <c r="C29" s="83"/>
      <c r="D29" s="83"/>
      <c r="G29" s="2"/>
    </row>
    <row r="30" spans="1:9" ht="10.5" customHeight="1">
      <c r="A30" s="466"/>
      <c r="B30" s="24"/>
      <c r="C30" s="83"/>
      <c r="D30" s="83"/>
      <c r="G30" s="2"/>
    </row>
    <row r="31" spans="1:9" ht="16.2" thickBot="1">
      <c r="A31" s="466"/>
      <c r="B31" s="23"/>
      <c r="C31" s="82"/>
      <c r="D31" s="82"/>
      <c r="F31" s="308"/>
      <c r="G31" s="2"/>
      <c r="H31" s="2"/>
      <c r="I31" s="2"/>
    </row>
    <row r="32" spans="1:9" ht="16.2" thickBot="1">
      <c r="A32" s="466"/>
      <c r="B32" s="29" t="s">
        <v>168</v>
      </c>
      <c r="C32" s="82"/>
      <c r="D32" s="82"/>
      <c r="F32" s="309"/>
      <c r="G32"/>
      <c r="H32" s="2"/>
      <c r="I32" s="2"/>
    </row>
    <row r="33" spans="1:25" ht="17.25" customHeight="1">
      <c r="A33" s="431" t="s">
        <v>180</v>
      </c>
      <c r="B33" s="176" t="s">
        <v>546</v>
      </c>
      <c r="C33" s="81"/>
      <c r="D33" s="727">
        <f>7233367-4427431.34</f>
        <v>2805935.66</v>
      </c>
      <c r="F33" s="71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6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31" t="s">
        <v>182</v>
      </c>
      <c r="B35" s="519" t="s">
        <v>508</v>
      </c>
      <c r="C35" s="491"/>
      <c r="D35" s="737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6"/>
      <c r="B36" s="23"/>
      <c r="C36" s="82"/>
      <c r="D36" s="82"/>
      <c r="F36"/>
      <c r="G36"/>
    </row>
    <row r="37" spans="1:25" ht="17.25" customHeight="1">
      <c r="A37" s="431" t="s">
        <v>153</v>
      </c>
      <c r="B37" s="24" t="s">
        <v>376</v>
      </c>
      <c r="C37" s="83"/>
      <c r="D37" s="83">
        <f>D33-D35</f>
        <v>2805935.66</v>
      </c>
    </row>
    <row r="38" spans="1:25" ht="17.25" customHeight="1">
      <c r="A38" s="466"/>
      <c r="B38" s="23"/>
      <c r="C38" s="82"/>
      <c r="D38" s="82"/>
      <c r="F38" s="139"/>
    </row>
    <row r="39" spans="1:25" ht="17.25" customHeight="1">
      <c r="A39" s="431" t="s">
        <v>154</v>
      </c>
      <c r="B39" s="716" t="s">
        <v>591</v>
      </c>
      <c r="C39" s="473" t="s">
        <v>451</v>
      </c>
      <c r="D39" s="738">
        <v>0</v>
      </c>
      <c r="F39" s="4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6"/>
      <c r="B40" s="370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6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31" t="s">
        <v>156</v>
      </c>
      <c r="B42" s="371" t="s">
        <v>375</v>
      </c>
      <c r="C42" s="474" t="s">
        <v>450</v>
      </c>
      <c r="D42" s="372">
        <f>D37-D39</f>
        <v>2805935.66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06"/>
      <c r="C43" s="806"/>
      <c r="D43" s="467"/>
    </row>
    <row r="44" spans="1:25" ht="17.25" customHeight="1">
      <c r="B44" s="363" t="s">
        <v>373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590</v>
      </c>
      <c r="C45" s="150"/>
      <c r="D45" s="150"/>
      <c r="E45"/>
      <c r="F45" s="428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5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M27"/>
  <sheetViews>
    <sheetView zoomScale="70" zoomScaleNormal="70" workbookViewId="0">
      <selection activeCell="C29" sqref="C29"/>
    </sheetView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8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3">
      <c r="B1" s="1"/>
      <c r="C1" s="1"/>
      <c r="D1" s="336" t="str">
        <f>EKPC!J1</f>
        <v>Attachment H-24A</v>
      </c>
    </row>
    <row r="2" spans="1:13">
      <c r="B2" s="1"/>
      <c r="C2" s="1"/>
      <c r="D2" s="168" t="s">
        <v>527</v>
      </c>
    </row>
    <row r="3" spans="1:13">
      <c r="B3" s="484"/>
      <c r="C3" s="17"/>
      <c r="D3" s="168" t="s">
        <v>361</v>
      </c>
    </row>
    <row r="4" spans="1:13" ht="15.6">
      <c r="B4" s="16"/>
      <c r="C4" s="17"/>
      <c r="D4" s="168" t="str">
        <f>EKPC!$J$124</f>
        <v>For the 12 months ended 12/31/2014</v>
      </c>
    </row>
    <row r="5" spans="1:13" ht="15.6">
      <c r="B5" s="16"/>
      <c r="C5" s="17"/>
      <c r="D5" s="17"/>
      <c r="E5" s="168"/>
    </row>
    <row r="6" spans="1:13" ht="15.6">
      <c r="B6" s="803" t="str">
        <f>EKPC!A11</f>
        <v>East Kentucky Power Cooperative, Inc.</v>
      </c>
      <c r="C6" s="803"/>
      <c r="D6" s="803"/>
      <c r="E6" s="335"/>
    </row>
    <row r="7" spans="1:13" ht="15.6">
      <c r="B7" s="803" t="str">
        <f>EKPC!A9</f>
        <v>Utilizing EKPC 2014 Form FF1 Data</v>
      </c>
      <c r="C7" s="803"/>
      <c r="D7" s="803"/>
      <c r="E7" s="335"/>
    </row>
    <row r="8" spans="1:13" ht="15.6">
      <c r="B8" s="16"/>
      <c r="C8" s="168"/>
    </row>
    <row r="9" spans="1:13" ht="15.6">
      <c r="B9" s="16"/>
      <c r="C9" s="6"/>
    </row>
    <row r="10" spans="1:13" ht="15.6">
      <c r="B10" s="16" t="s">
        <v>259</v>
      </c>
      <c r="C10" s="17"/>
    </row>
    <row r="11" spans="1:13" ht="15.6">
      <c r="B11" s="16"/>
      <c r="C11" s="17"/>
    </row>
    <row r="12" spans="1:13">
      <c r="B12" s="8"/>
      <c r="C12" s="8"/>
    </row>
    <row r="13" spans="1:13">
      <c r="B13" s="8"/>
      <c r="C13" s="8"/>
      <c r="E13" s="775"/>
      <c r="F13" s="612"/>
      <c r="G13" s="612"/>
      <c r="H13" s="612"/>
      <c r="I13" s="612"/>
      <c r="J13" s="612"/>
      <c r="K13" s="612"/>
      <c r="L13" s="612"/>
      <c r="M13" s="612"/>
    </row>
    <row r="14" spans="1:13">
      <c r="B14" s="18"/>
      <c r="C14" s="20"/>
      <c r="E14" s="775"/>
      <c r="F14" s="612"/>
      <c r="G14" s="612"/>
      <c r="H14" s="612"/>
      <c r="I14" s="612"/>
      <c r="J14" s="612"/>
      <c r="K14" s="612"/>
      <c r="L14" s="612"/>
      <c r="M14" s="612"/>
    </row>
    <row r="15" spans="1:13" ht="19.2">
      <c r="A15" s="451" t="s">
        <v>188</v>
      </c>
      <c r="B15" s="18"/>
      <c r="C15" s="21" t="s">
        <v>321</v>
      </c>
      <c r="E15" s="775"/>
      <c r="F15" s="612"/>
      <c r="G15" s="612"/>
      <c r="H15" s="465"/>
      <c r="I15" s="612"/>
      <c r="J15" s="612"/>
      <c r="K15" s="776"/>
      <c r="L15" s="612"/>
      <c r="M15" s="612"/>
    </row>
    <row r="16" spans="1:13" ht="19.2">
      <c r="B16" s="18"/>
      <c r="C16" s="21"/>
      <c r="E16" s="775"/>
      <c r="F16" s="612"/>
      <c r="G16" s="612"/>
      <c r="H16" s="465"/>
      <c r="I16" s="612"/>
      <c r="J16" s="612"/>
      <c r="K16" s="776"/>
      <c r="L16" s="612"/>
      <c r="M16" s="612"/>
    </row>
    <row r="17" spans="1:13">
      <c r="A17" s="448" t="s">
        <v>461</v>
      </c>
      <c r="B17" s="22" t="s">
        <v>377</v>
      </c>
      <c r="C17" s="727">
        <v>13729584.48</v>
      </c>
      <c r="E17" s="775"/>
      <c r="F17" s="612"/>
      <c r="G17" s="612"/>
      <c r="H17" s="777"/>
      <c r="I17" s="612"/>
      <c r="J17" s="612"/>
      <c r="K17" s="776"/>
      <c r="L17" s="612"/>
      <c r="M17" s="612"/>
    </row>
    <row r="18" spans="1:13" ht="15.6">
      <c r="A18" s="448" t="s">
        <v>206</v>
      </c>
      <c r="B18" s="22" t="s">
        <v>169</v>
      </c>
      <c r="C18" s="769">
        <v>0</v>
      </c>
      <c r="E18" s="778"/>
      <c r="F18" s="612"/>
      <c r="G18" s="612"/>
      <c r="H18" s="612"/>
      <c r="I18" s="612"/>
      <c r="J18" s="612"/>
      <c r="K18" s="612"/>
      <c r="L18" s="612"/>
      <c r="M18" s="612"/>
    </row>
    <row r="19" spans="1:13" ht="16.8">
      <c r="A19" s="448" t="s">
        <v>462</v>
      </c>
      <c r="B19" s="22" t="s">
        <v>170</v>
      </c>
      <c r="C19" s="735">
        <v>0</v>
      </c>
      <c r="E19" s="30"/>
      <c r="F19" s="30"/>
      <c r="G19" s="30"/>
      <c r="H19" s="30"/>
      <c r="I19" s="30"/>
      <c r="J19" s="30"/>
      <c r="K19" s="30"/>
      <c r="L19" s="30"/>
      <c r="M19" s="612"/>
    </row>
    <row r="20" spans="1:13">
      <c r="A20" s="449"/>
      <c r="B20" s="23"/>
      <c r="C20" s="18"/>
      <c r="D20" s="18"/>
      <c r="E20" s="30"/>
      <c r="F20" s="30"/>
      <c r="G20" s="30"/>
      <c r="H20" s="30"/>
      <c r="I20" s="30"/>
      <c r="J20" s="30"/>
      <c r="K20" s="30"/>
      <c r="L20" s="30"/>
      <c r="M20" s="612"/>
    </row>
    <row r="21" spans="1:13" ht="17.25" customHeight="1" thickBot="1">
      <c r="A21" s="448" t="s">
        <v>463</v>
      </c>
      <c r="B21" s="171" t="s">
        <v>422</v>
      </c>
      <c r="C21" s="703">
        <f>SUM(C17:C20)</f>
        <v>13729584.48</v>
      </c>
      <c r="E21" s="779"/>
      <c r="F21" s="775"/>
      <c r="G21" s="612"/>
      <c r="H21" s="612"/>
      <c r="I21" s="612"/>
      <c r="J21" s="612"/>
      <c r="K21" s="612"/>
      <c r="L21" s="612"/>
      <c r="M21" s="612"/>
    </row>
    <row r="22" spans="1:13" ht="16.2" thickTop="1">
      <c r="B22" s="18"/>
      <c r="C22" s="373"/>
      <c r="E22" s="780"/>
      <c r="F22" s="775"/>
      <c r="G22" s="612"/>
      <c r="H22" s="612"/>
      <c r="I22" s="612"/>
      <c r="J22" s="612"/>
      <c r="K22" s="612"/>
      <c r="L22" s="612"/>
      <c r="M22" s="612"/>
    </row>
    <row r="23" spans="1:13">
      <c r="B23" s="617" t="s">
        <v>374</v>
      </c>
      <c r="C23" s="611"/>
      <c r="D23" s="611"/>
      <c r="E23" s="775"/>
      <c r="F23" s="612"/>
      <c r="G23" s="612"/>
      <c r="H23" s="612"/>
      <c r="I23" s="612"/>
      <c r="J23" s="612"/>
      <c r="K23" s="612"/>
      <c r="L23" s="612"/>
      <c r="M23" s="612"/>
    </row>
    <row r="24" spans="1:13" ht="29.25" customHeight="1">
      <c r="B24" s="808" t="s">
        <v>573</v>
      </c>
      <c r="C24" s="808"/>
      <c r="D24" s="808"/>
      <c r="E24" s="30"/>
      <c r="F24" s="30"/>
      <c r="G24" s="30"/>
      <c r="H24" s="30"/>
      <c r="I24" s="30"/>
      <c r="J24" s="30"/>
      <c r="K24" s="30"/>
      <c r="L24" s="30"/>
      <c r="M24" s="612"/>
    </row>
    <row r="25" spans="1:13">
      <c r="B25" s="549" t="str">
        <f>CONCATENATE(" (2) To ",EKPC!J1,", page 4 of 5, Line 3")</f>
        <v xml:space="preserve"> (2) To Attachment H-24A, page 4 of 5, Line 3</v>
      </c>
      <c r="C25" s="549"/>
      <c r="E25"/>
      <c r="F25"/>
      <c r="G25"/>
      <c r="H25"/>
      <c r="I25"/>
      <c r="J25"/>
      <c r="K25"/>
      <c r="L25"/>
    </row>
    <row r="27" spans="1:13" ht="15.6">
      <c r="E27" s="375"/>
    </row>
  </sheetData>
  <mergeCells count="3">
    <mergeCell ref="B6:D6"/>
    <mergeCell ref="B7:D7"/>
    <mergeCell ref="B24:D24"/>
  </mergeCells>
  <pageMargins left="1" right="1" top="1" bottom="0.5" header="0.5" footer="0.5"/>
  <pageSetup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00B050"/>
    <pageSetUpPr fitToPage="1"/>
  </sheetPr>
  <dimension ref="A1:X80"/>
  <sheetViews>
    <sheetView zoomScale="70" zoomScaleNormal="70" workbookViewId="0">
      <selection activeCell="I50" sqref="I50"/>
    </sheetView>
  </sheetViews>
  <sheetFormatPr defaultColWidth="7.08984375" defaultRowHeight="15"/>
  <cols>
    <col min="1" max="1" width="7.08984375" style="439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9" bestFit="1" customWidth="1"/>
    <col min="10" max="10" width="7.08984375" style="18"/>
    <col min="11" max="11" width="2.54296875" style="150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38"/>
      <c r="B1" s="1"/>
      <c r="C1" s="1"/>
      <c r="D1" s="1"/>
      <c r="E1" s="1"/>
      <c r="F1" s="336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8"/>
      <c r="B2" s="1"/>
      <c r="C2" s="1"/>
      <c r="D2" s="1"/>
      <c r="E2" s="1"/>
      <c r="F2" s="168" t="s">
        <v>527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8"/>
      <c r="B3"/>
      <c r="C3"/>
      <c r="D3" s="17"/>
      <c r="E3" s="17"/>
      <c r="F3" s="168" t="s">
        <v>360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7.399999999999999">
      <c r="A4" s="438"/>
      <c r="B4" s="25"/>
      <c r="C4" s="25"/>
      <c r="D4" s="17"/>
      <c r="E4" s="17"/>
      <c r="F4" s="168" t="str">
        <f>EKPC!$J$124</f>
        <v>For the 12 months ended 12/31/2014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7.399999999999999">
      <c r="A5" s="438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6">
      <c r="A6" s="438"/>
      <c r="B6" s="803" t="str">
        <f>EKPC!A11</f>
        <v>East Kentucky Power Cooperative, Inc.</v>
      </c>
      <c r="C6" s="803"/>
      <c r="D6" s="803"/>
      <c r="E6" s="803"/>
      <c r="F6" s="803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6">
      <c r="A7" s="438"/>
      <c r="B7" s="803" t="str">
        <f>EKPC!A9</f>
        <v>Utilizing EKPC 2014 Form FF1 Data</v>
      </c>
      <c r="C7" s="803"/>
      <c r="D7" s="803"/>
      <c r="E7" s="803"/>
      <c r="F7" s="803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6">
      <c r="A8" s="438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6">
      <c r="A9" s="438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6">
      <c r="A10" s="438"/>
      <c r="B10" s="16" t="s">
        <v>507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6">
      <c r="B12" s="19"/>
      <c r="C12" s="19"/>
      <c r="D12" s="19"/>
    </row>
    <row r="13" spans="1:24" ht="19.2">
      <c r="A13" s="441"/>
      <c r="E13" s="79" t="s">
        <v>112</v>
      </c>
      <c r="F13" s="152"/>
      <c r="G13" s="152"/>
      <c r="H13" s="152"/>
      <c r="J13" s="153"/>
    </row>
    <row r="14" spans="1:24" ht="19.2">
      <c r="A14" s="452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42">
        <v>1</v>
      </c>
      <c r="B15" s="557" t="s">
        <v>503</v>
      </c>
      <c r="C15" s="427"/>
      <c r="D15" s="155"/>
      <c r="E15" s="732">
        <v>952770796</v>
      </c>
      <c r="G15" s="580"/>
      <c r="H15" s="580"/>
      <c r="I15" s="349"/>
      <c r="J15" s="349"/>
      <c r="K15"/>
      <c r="L15" s="573"/>
      <c r="M15" s="580"/>
      <c r="N15" s="580"/>
      <c r="O15" s="580"/>
      <c r="P15" s="580"/>
      <c r="Q15" s="580"/>
      <c r="R15"/>
    </row>
    <row r="16" spans="1:24">
      <c r="A16" s="442"/>
      <c r="B16" s="298"/>
      <c r="G16" s="580"/>
      <c r="H16" s="580"/>
      <c r="I16" s="349"/>
      <c r="J16" s="349"/>
      <c r="K16"/>
      <c r="L16"/>
      <c r="M16"/>
      <c r="N16"/>
      <c r="O16"/>
      <c r="P16"/>
      <c r="Q16"/>
      <c r="R16"/>
    </row>
    <row r="17" spans="1:18">
      <c r="A17" s="442">
        <v>2</v>
      </c>
      <c r="B17" s="298" t="s">
        <v>213</v>
      </c>
      <c r="C17" s="442"/>
      <c r="E17" s="758">
        <v>0</v>
      </c>
      <c r="G17" s="580"/>
      <c r="H17" s="580"/>
      <c r="I17" s="349"/>
      <c r="J17" s="349"/>
      <c r="K17"/>
      <c r="L17"/>
      <c r="M17"/>
      <c r="N17"/>
      <c r="O17"/>
      <c r="P17"/>
      <c r="Q17"/>
      <c r="R17"/>
    </row>
    <row r="18" spans="1:18">
      <c r="A18" s="442"/>
      <c r="B18" s="298"/>
      <c r="C18" s="442"/>
      <c r="E18" s="82"/>
      <c r="G18" s="580"/>
      <c r="H18" s="580"/>
      <c r="I18" s="349"/>
      <c r="J18" s="349"/>
      <c r="K18"/>
      <c r="L18"/>
      <c r="M18"/>
      <c r="N18"/>
      <c r="O18"/>
      <c r="P18"/>
      <c r="Q18"/>
      <c r="R18"/>
    </row>
    <row r="19" spans="1:18">
      <c r="A19" s="442">
        <v>3</v>
      </c>
      <c r="B19" s="565" t="s">
        <v>465</v>
      </c>
      <c r="C19" s="443" t="s">
        <v>451</v>
      </c>
      <c r="E19" s="733">
        <v>143239</v>
      </c>
      <c r="G19" s="580"/>
      <c r="H19" s="580"/>
      <c r="I19" s="349"/>
      <c r="J19" s="349"/>
      <c r="K19"/>
      <c r="L19"/>
      <c r="M19"/>
      <c r="N19"/>
      <c r="O19"/>
      <c r="P19"/>
      <c r="Q19"/>
      <c r="R19"/>
    </row>
    <row r="20" spans="1:18">
      <c r="A20" s="442">
        <v>4</v>
      </c>
      <c r="B20" s="298" t="s">
        <v>316</v>
      </c>
      <c r="C20" s="442"/>
      <c r="E20" s="759">
        <v>1</v>
      </c>
      <c r="G20" s="580"/>
      <c r="H20" s="580"/>
      <c r="I20" s="349"/>
      <c r="J20" s="349"/>
      <c r="K20"/>
      <c r="L20"/>
      <c r="M20"/>
      <c r="N20"/>
      <c r="O20"/>
      <c r="P20"/>
      <c r="Q20"/>
      <c r="R20"/>
    </row>
    <row r="21" spans="1:18" ht="16.8">
      <c r="A21" s="442">
        <v>5</v>
      </c>
      <c r="B21" s="559" t="str">
        <f>CONCATENATE("  Revenue Credit Applicable to ", EKPC!J1)</f>
        <v xml:space="preserve">  Revenue Credit Applicable to Attachment H-24A</v>
      </c>
      <c r="C21" s="442"/>
      <c r="D21" s="156"/>
      <c r="E21" s="158">
        <f>ROUND(E19*E20,0)+E17</f>
        <v>143239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42"/>
      <c r="B22" s="298"/>
      <c r="C22" s="442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42"/>
      <c r="B23" s="298"/>
      <c r="C23" s="442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42">
        <v>6</v>
      </c>
      <c r="B24" s="558" t="s">
        <v>468</v>
      </c>
      <c r="C24" s="444" t="s">
        <v>450</v>
      </c>
      <c r="E24" s="158">
        <f>E23+E21</f>
        <v>143239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42"/>
      <c r="C25" s="442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42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42"/>
      <c r="C27" s="442"/>
      <c r="E27" s="79" t="s">
        <v>383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42"/>
      <c r="C28" s="442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42">
        <v>7</v>
      </c>
      <c r="B29" s="176" t="s">
        <v>569</v>
      </c>
      <c r="C29" s="445" t="s">
        <v>453</v>
      </c>
      <c r="D29" s="22"/>
      <c r="E29" s="727">
        <v>18154288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42"/>
      <c r="B30" s="22" t="s">
        <v>252</v>
      </c>
      <c r="C30" s="444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42">
        <v>8</v>
      </c>
      <c r="B31" s="155" t="s">
        <v>567</v>
      </c>
      <c r="C31" s="444"/>
      <c r="D31" s="155"/>
      <c r="E31" s="733">
        <f>13438689-245600+71109+1798775</f>
        <v>15062973</v>
      </c>
      <c r="G31" s="464"/>
      <c r="H31" s="580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6">
      <c r="A32" s="442">
        <v>9</v>
      </c>
      <c r="B32" s="155" t="s">
        <v>355</v>
      </c>
      <c r="C32" s="444"/>
      <c r="D32" s="155"/>
      <c r="E32" s="733">
        <v>0</v>
      </c>
      <c r="G32" s="580"/>
      <c r="H32" s="580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42">
        <v>10</v>
      </c>
      <c r="B33" s="155" t="s">
        <v>150</v>
      </c>
      <c r="C33" s="444"/>
      <c r="D33" s="155"/>
      <c r="E33" s="733">
        <v>0</v>
      </c>
      <c r="G33" s="580"/>
      <c r="H33" s="580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42">
        <v>11</v>
      </c>
      <c r="B34" s="155" t="s">
        <v>552</v>
      </c>
      <c r="C34" s="444"/>
      <c r="D34" s="155"/>
      <c r="E34" s="733">
        <f>103876+49182.96</f>
        <v>153058.96</v>
      </c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/>
    </row>
    <row r="35" spans="1:18" ht="16.8">
      <c r="A35" s="442">
        <v>12</v>
      </c>
      <c r="B35" s="155" t="s">
        <v>553</v>
      </c>
      <c r="C35" s="444"/>
      <c r="D35" s="155"/>
      <c r="E35" s="734">
        <v>600</v>
      </c>
      <c r="G35" s="464"/>
      <c r="H35" s="464"/>
      <c r="I35" s="464"/>
      <c r="J35" s="464"/>
      <c r="K35" s="464"/>
      <c r="L35" s="464"/>
      <c r="M35" s="464"/>
      <c r="N35" s="464"/>
      <c r="O35" s="464"/>
      <c r="P35" s="349"/>
      <c r="Q35" s="349"/>
      <c r="R35"/>
    </row>
    <row r="36" spans="1:18" ht="16.8">
      <c r="A36" s="442">
        <v>13</v>
      </c>
      <c r="B36" s="176" t="s">
        <v>357</v>
      </c>
      <c r="C36" s="445"/>
      <c r="D36" s="155"/>
      <c r="E36" s="158">
        <f>E29-SUM(E31:E35)</f>
        <v>2937656.0399999991</v>
      </c>
      <c r="G36" s="580"/>
      <c r="H36" s="580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42"/>
      <c r="C37" s="442"/>
      <c r="D37" s="155"/>
      <c r="E37" s="82"/>
      <c r="G37" s="580"/>
      <c r="H37" s="580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6.8">
      <c r="A38" s="442">
        <v>14</v>
      </c>
      <c r="B38" s="82" t="s">
        <v>445</v>
      </c>
      <c r="C38" s="443"/>
      <c r="E38" s="735">
        <v>2566966.69</v>
      </c>
      <c r="G38" s="580"/>
      <c r="H38" s="580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42"/>
      <c r="C39" s="442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42">
        <v>15</v>
      </c>
      <c r="B40" s="155" t="s">
        <v>570</v>
      </c>
      <c r="C40" s="444"/>
      <c r="E40" s="158">
        <f>E36-E38</f>
        <v>370689.34999999916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42"/>
      <c r="C41" s="442"/>
      <c r="E41" s="82"/>
      <c r="H41" s="173"/>
      <c r="I41" s="300"/>
      <c r="J41" s="173"/>
    </row>
    <row r="42" spans="1:18">
      <c r="A42" s="442"/>
      <c r="C42" s="442"/>
      <c r="E42" s="82"/>
      <c r="H42" s="173"/>
      <c r="I42" s="300"/>
      <c r="J42" s="173"/>
    </row>
    <row r="43" spans="1:18" ht="15.6">
      <c r="A43" s="442"/>
      <c r="C43" s="442"/>
      <c r="E43" s="689" t="s">
        <v>382</v>
      </c>
      <c r="G43" s="82"/>
      <c r="H43" s="175"/>
      <c r="I43" s="465"/>
      <c r="J43" s="175"/>
      <c r="K43" s="157"/>
    </row>
    <row r="44" spans="1:18" ht="15.6">
      <c r="A44" s="442">
        <v>16</v>
      </c>
      <c r="B44" s="18" t="s">
        <v>588</v>
      </c>
      <c r="C44" s="442" t="s">
        <v>467</v>
      </c>
      <c r="E44" s="736">
        <v>165724.5</v>
      </c>
      <c r="G44" s="516"/>
      <c r="H44" s="175"/>
      <c r="I44" s="465"/>
      <c r="J44" s="175"/>
      <c r="K44" s="573"/>
    </row>
    <row r="45" spans="1:18" ht="15.6">
      <c r="A45" s="442"/>
      <c r="C45" s="442"/>
      <c r="E45" s="377"/>
      <c r="G45" s="82"/>
      <c r="H45" s="175"/>
      <c r="I45" s="465"/>
      <c r="J45" s="175"/>
      <c r="K45" s="573"/>
    </row>
    <row r="46" spans="1:18" ht="15.6">
      <c r="A46" s="442">
        <v>17</v>
      </c>
      <c r="B46" s="18" t="s">
        <v>466</v>
      </c>
      <c r="C46" s="442" t="s">
        <v>574</v>
      </c>
      <c r="E46" s="437">
        <f>E40-E44</f>
        <v>204964.84999999916</v>
      </c>
      <c r="G46" s="82"/>
      <c r="H46" s="82"/>
      <c r="I46" s="465"/>
      <c r="J46" s="175"/>
      <c r="K46" s="573"/>
    </row>
    <row r="47" spans="1:18" ht="15.6">
      <c r="E47" s="377"/>
      <c r="G47" s="82"/>
      <c r="H47" s="175"/>
      <c r="I47" s="465"/>
      <c r="J47" s="175"/>
      <c r="K47" s="573"/>
    </row>
    <row r="48" spans="1:18">
      <c r="G48" s="175"/>
      <c r="H48" s="82"/>
      <c r="I48" s="465"/>
      <c r="J48" s="175"/>
      <c r="K48" s="573"/>
    </row>
    <row r="49" spans="1:24">
      <c r="B49" s="374" t="s">
        <v>374</v>
      </c>
      <c r="C49" s="374"/>
      <c r="D49" s="155"/>
      <c r="F49" s="159"/>
      <c r="G49" s="175"/>
      <c r="H49" s="82"/>
      <c r="I49" s="301"/>
      <c r="J49" s="82"/>
      <c r="K49" s="573"/>
    </row>
    <row r="50" spans="1:24">
      <c r="B50" s="550" t="s">
        <v>587</v>
      </c>
      <c r="C50" s="550"/>
      <c r="D50" s="155"/>
      <c r="E50" s="173"/>
      <c r="F50" s="174"/>
      <c r="G50" s="175"/>
      <c r="H50" s="175"/>
      <c r="I50" s="465"/>
      <c r="J50" s="175"/>
      <c r="K50" s="571"/>
      <c r="L50" s="175"/>
      <c r="M50" s="175"/>
    </row>
    <row r="51" spans="1:24" s="173" customFormat="1">
      <c r="A51" s="440"/>
      <c r="B51" s="551" t="str">
        <f>CONCATENATE("(2) To ",EKPC!J1,", Page 4 of 5, line 34")</f>
        <v>(2) To Attachment H-24A, Page 4 of 5, line 34</v>
      </c>
      <c r="C51" s="551"/>
      <c r="D51" s="155"/>
      <c r="F51" s="174"/>
      <c r="G51" s="175"/>
      <c r="H51" s="175"/>
      <c r="I51" s="465"/>
      <c r="J51" s="175"/>
      <c r="K51" s="571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40"/>
      <c r="B52" s="809" t="s">
        <v>586</v>
      </c>
      <c r="C52" s="809"/>
      <c r="D52" s="809"/>
      <c r="E52" s="809"/>
      <c r="F52" s="174"/>
      <c r="G52" s="175"/>
      <c r="H52" s="175"/>
      <c r="I52" s="465"/>
      <c r="J52" s="175"/>
      <c r="K52" s="571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52" t="str">
        <f>CONCATENATE("(4) Revenue from AEP GFA Account 456101- to ",EKPC!J1,", Page 1 of 5, Line 4.")</f>
        <v>(4) Revenue from AEP GFA Account 456101- to Attachment H-24A, Page 1 of 5, Line 4.</v>
      </c>
      <c r="C53" s="552"/>
      <c r="D53" s="82"/>
      <c r="E53" s="80"/>
      <c r="F53" s="82"/>
      <c r="G53" s="82"/>
      <c r="H53" s="82"/>
      <c r="I53" s="301"/>
      <c r="J53" s="82"/>
      <c r="K53" s="157"/>
    </row>
    <row r="54" spans="1:24" ht="15.6">
      <c r="B54" s="553" t="str">
        <f>CONCATENATE("(5) To ",EKPC!J1,", Page 4 of 5, Line 35")</f>
        <v>(5) To Attachment H-24A, Page 4 of 5, Line 35</v>
      </c>
      <c r="C54" s="553"/>
      <c r="D54" s="184"/>
      <c r="E54" s="170"/>
      <c r="F54" s="82"/>
      <c r="G54" s="185"/>
      <c r="H54" s="82"/>
      <c r="I54" s="301"/>
      <c r="J54" s="82"/>
      <c r="K54" s="157"/>
    </row>
    <row r="55" spans="1:24" ht="15.6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6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6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6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6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6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6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6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6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6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6.8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6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6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6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6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6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6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6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6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6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6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6.8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V48"/>
  <sheetViews>
    <sheetView zoomScale="70" zoomScaleNormal="70" workbookViewId="0">
      <selection activeCell="E34" sqref="E34"/>
    </sheetView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7" customFormat="1" ht="15" customHeight="1">
      <c r="A1" s="438"/>
      <c r="B1" s="1"/>
      <c r="C1" s="1"/>
      <c r="D1" s="1"/>
      <c r="E1" s="1"/>
      <c r="F1" s="692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8"/>
      <c r="B2" s="1"/>
      <c r="C2" s="1"/>
      <c r="D2" s="1"/>
      <c r="E2" s="1"/>
      <c r="F2" s="692"/>
      <c r="G2" s="168" t="s">
        <v>527</v>
      </c>
      <c r="H2" s="325"/>
      <c r="K2"/>
      <c r="L2"/>
      <c r="M2"/>
      <c r="N2"/>
      <c r="O2"/>
      <c r="P2"/>
      <c r="Q2"/>
      <c r="R2"/>
      <c r="S2"/>
    </row>
    <row r="3" spans="1:19" s="177" customFormat="1" ht="15">
      <c r="A3" s="438"/>
      <c r="B3" s="572"/>
      <c r="C3" s="572"/>
      <c r="D3" s="17"/>
      <c r="E3" s="17"/>
      <c r="F3" s="692"/>
      <c r="G3" s="510" t="s">
        <v>358</v>
      </c>
      <c r="H3" s="325"/>
      <c r="K3"/>
      <c r="L3"/>
      <c r="M3"/>
      <c r="N3"/>
      <c r="O3"/>
      <c r="P3"/>
      <c r="Q3"/>
      <c r="R3"/>
      <c r="S3"/>
    </row>
    <row r="4" spans="1:19" s="177" customFormat="1" ht="15.6">
      <c r="A4" s="438"/>
      <c r="B4" s="16"/>
      <c r="C4" s="16"/>
      <c r="D4" s="17"/>
      <c r="E4" s="17"/>
      <c r="F4" s="692"/>
      <c r="G4" s="168" t="str">
        <f>EKPC!$J$124</f>
        <v>For the 12 months ended 12/31/2014</v>
      </c>
      <c r="H4" s="325"/>
      <c r="K4"/>
      <c r="L4"/>
      <c r="M4"/>
      <c r="N4"/>
      <c r="O4"/>
      <c r="P4"/>
      <c r="Q4"/>
      <c r="R4"/>
      <c r="S4"/>
    </row>
    <row r="5" spans="1:19" ht="15.6">
      <c r="A5" s="438"/>
      <c r="B5" s="16"/>
      <c r="C5" s="16"/>
      <c r="D5" s="17"/>
      <c r="E5" s="17"/>
      <c r="F5" s="168"/>
      <c r="G5" s="693"/>
      <c r="K5"/>
      <c r="L5"/>
      <c r="M5"/>
      <c r="N5"/>
      <c r="O5"/>
      <c r="P5"/>
      <c r="Q5"/>
      <c r="R5"/>
      <c r="S5"/>
    </row>
    <row r="6" spans="1:19" ht="15">
      <c r="A6" s="438"/>
      <c r="B6" s="802" t="str">
        <f>EKPC!A11</f>
        <v>East Kentucky Power Cooperative, Inc.</v>
      </c>
      <c r="C6" s="802"/>
      <c r="D6" s="802"/>
      <c r="E6" s="802"/>
      <c r="F6" s="802"/>
      <c r="G6" s="510"/>
      <c r="K6"/>
      <c r="L6"/>
      <c r="M6"/>
      <c r="N6"/>
      <c r="O6"/>
      <c r="P6"/>
      <c r="Q6"/>
      <c r="R6"/>
      <c r="S6"/>
    </row>
    <row r="7" spans="1:19" ht="15">
      <c r="A7" s="438"/>
      <c r="B7" s="802" t="str">
        <f>EKPC!A9</f>
        <v>Utilizing EKPC 2014 Form FF1 Data</v>
      </c>
      <c r="C7" s="802"/>
      <c r="D7" s="802"/>
      <c r="E7" s="802"/>
      <c r="F7" s="802"/>
      <c r="G7" s="510"/>
      <c r="K7"/>
      <c r="L7"/>
      <c r="M7"/>
      <c r="N7"/>
      <c r="O7"/>
      <c r="P7"/>
      <c r="Q7"/>
      <c r="R7"/>
      <c r="S7"/>
    </row>
    <row r="8" spans="1:19" ht="15">
      <c r="A8" s="693"/>
      <c r="B8" s="693"/>
      <c r="C8" s="693"/>
      <c r="D8" s="694"/>
      <c r="E8" s="693"/>
      <c r="F8" s="693"/>
      <c r="G8" s="510"/>
      <c r="K8"/>
      <c r="L8"/>
      <c r="M8"/>
      <c r="N8"/>
      <c r="O8"/>
      <c r="P8"/>
      <c r="Q8"/>
      <c r="R8"/>
      <c r="S8"/>
    </row>
    <row r="9" spans="1:19" ht="15">
      <c r="A9" s="813" t="s">
        <v>3</v>
      </c>
      <c r="B9" s="813"/>
      <c r="C9" s="813"/>
      <c r="D9" s="813"/>
      <c r="E9" s="813"/>
      <c r="F9" s="813"/>
      <c r="G9" s="604"/>
      <c r="H9" s="332"/>
      <c r="K9"/>
      <c r="L9"/>
      <c r="M9"/>
      <c r="N9"/>
      <c r="O9"/>
      <c r="P9"/>
      <c r="Q9"/>
      <c r="R9"/>
      <c r="S9"/>
    </row>
    <row r="10" spans="1:19" ht="15">
      <c r="A10" s="801" t="str">
        <f>CONCATENATE("As of December 31, ",TEXT(RIGHT(EKPC!J7,10),"YYYY"))</f>
        <v>As of December 31, 2014</v>
      </c>
      <c r="B10" s="801"/>
      <c r="C10" s="801"/>
      <c r="D10" s="801"/>
      <c r="E10" s="801"/>
      <c r="F10" s="801"/>
      <c r="G10" s="605"/>
      <c r="H10" s="333"/>
      <c r="K10"/>
      <c r="L10"/>
      <c r="M10"/>
      <c r="N10"/>
      <c r="O10"/>
      <c r="P10"/>
      <c r="Q10"/>
      <c r="R10"/>
      <c r="S10"/>
    </row>
    <row r="11" spans="1:19" ht="15">
      <c r="A11" s="814" t="s">
        <v>214</v>
      </c>
      <c r="B11" s="814"/>
      <c r="C11" s="814"/>
      <c r="D11" s="814"/>
      <c r="E11" s="814"/>
      <c r="F11" s="814"/>
      <c r="G11" s="695"/>
      <c r="H11" s="483"/>
      <c r="K11"/>
      <c r="L11"/>
      <c r="M11"/>
      <c r="N11"/>
      <c r="O11"/>
      <c r="P11"/>
      <c r="Q11"/>
      <c r="R11"/>
      <c r="S11"/>
    </row>
    <row r="12" spans="1:19" ht="15">
      <c r="A12" s="695"/>
      <c r="B12" s="695"/>
      <c r="C12" s="695"/>
      <c r="D12" s="695"/>
      <c r="E12" s="695"/>
      <c r="F12" s="695"/>
      <c r="G12" s="1"/>
      <c r="H12" s="484"/>
      <c r="I12" s="484"/>
      <c r="K12"/>
      <c r="L12"/>
      <c r="M12"/>
      <c r="N12"/>
      <c r="O12"/>
      <c r="P12"/>
      <c r="Q12"/>
      <c r="R12"/>
      <c r="S12"/>
    </row>
    <row r="13" spans="1:19" ht="15">
      <c r="A13" s="693"/>
      <c r="B13" s="693"/>
      <c r="C13" s="693"/>
      <c r="D13" s="694"/>
      <c r="E13" s="693"/>
      <c r="F13" s="693"/>
      <c r="G13" s="1"/>
      <c r="H13" s="484"/>
      <c r="I13" s="484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84"/>
      <c r="I14" s="484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84"/>
      <c r="I15" s="484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84"/>
      <c r="I16" s="484"/>
      <c r="K16"/>
      <c r="L16"/>
      <c r="M16"/>
      <c r="N16"/>
      <c r="O16"/>
      <c r="P16"/>
      <c r="Q16"/>
      <c r="R16"/>
      <c r="S16"/>
    </row>
    <row r="17" spans="1:22" ht="15.6">
      <c r="A17" s="311"/>
      <c r="B17" s="812" t="s">
        <v>343</v>
      </c>
      <c r="C17" s="812"/>
      <c r="D17" s="315"/>
      <c r="E17" s="316"/>
      <c r="F17" s="312"/>
      <c r="G17" s="1"/>
      <c r="H17" s="484"/>
      <c r="I17" s="484"/>
    </row>
    <row r="18" spans="1:22" ht="15">
      <c r="A18" s="311">
        <v>1</v>
      </c>
      <c r="B18" s="575" t="s">
        <v>398</v>
      </c>
      <c r="C18" s="728">
        <v>116148416</v>
      </c>
      <c r="D18" s="316"/>
      <c r="E18" s="316"/>
      <c r="F18" s="312"/>
      <c r="G18" s="1"/>
      <c r="H18" s="484"/>
      <c r="I18" s="484"/>
    </row>
    <row r="19" spans="1:22" ht="15">
      <c r="A19" s="311">
        <f>A18+1</f>
        <v>2</v>
      </c>
      <c r="B19" s="575" t="s">
        <v>399</v>
      </c>
      <c r="C19" s="728">
        <v>2568987228</v>
      </c>
      <c r="D19" s="316"/>
      <c r="E19" s="316"/>
      <c r="F19" s="312"/>
      <c r="G19" s="1"/>
      <c r="H19" s="484"/>
      <c r="I19" s="484"/>
    </row>
    <row r="20" spans="1:22" ht="15.6">
      <c r="A20" s="311">
        <f>A19+1</f>
        <v>3</v>
      </c>
      <c r="B20" s="506" t="s">
        <v>344</v>
      </c>
      <c r="C20" s="690">
        <f>C18/C19</f>
        <v>4.5211752995137897E-2</v>
      </c>
      <c r="D20" s="316"/>
      <c r="E20" s="316"/>
      <c r="F20" s="312"/>
      <c r="G20" s="1"/>
      <c r="H20" s="484"/>
      <c r="I20" s="484"/>
    </row>
    <row r="21" spans="1:22" ht="15">
      <c r="A21" s="311"/>
      <c r="B21" s="575"/>
      <c r="C21" s="167"/>
      <c r="D21" s="316"/>
      <c r="E21" s="316"/>
      <c r="F21" s="312"/>
      <c r="G21" s="1"/>
      <c r="H21" s="484"/>
      <c r="I21" s="484"/>
    </row>
    <row r="22" spans="1:22" ht="15.6">
      <c r="A22" s="311"/>
      <c r="B22" s="810" t="s">
        <v>367</v>
      </c>
      <c r="C22" s="810"/>
      <c r="D22" s="312"/>
      <c r="E22" s="312"/>
      <c r="F22" s="312"/>
      <c r="G22" s="1"/>
      <c r="H22" s="484"/>
      <c r="I22" s="484"/>
    </row>
    <row r="23" spans="1:22" s="91" customFormat="1" ht="15.6">
      <c r="A23" s="696"/>
      <c r="B23" s="696"/>
      <c r="C23" s="39" t="s">
        <v>345</v>
      </c>
      <c r="D23" s="317" t="s">
        <v>346</v>
      </c>
      <c r="E23" s="317" t="s">
        <v>400</v>
      </c>
      <c r="F23" s="317" t="s">
        <v>347</v>
      </c>
      <c r="G23" s="1"/>
      <c r="H23" s="484"/>
      <c r="I23" s="484"/>
    </row>
    <row r="24" spans="1:22" ht="15">
      <c r="A24" s="311">
        <f>A20+1</f>
        <v>4</v>
      </c>
      <c r="B24" s="575" t="s">
        <v>348</v>
      </c>
      <c r="C24" s="731">
        <f>C19</f>
        <v>2568987228</v>
      </c>
      <c r="D24" s="351">
        <v>0.84186571442549285</v>
      </c>
      <c r="E24" s="318">
        <v>4.5211752995137897E-2</v>
      </c>
      <c r="F24" s="352">
        <v>3.8062224735680682E-2</v>
      </c>
      <c r="G24" s="1"/>
      <c r="H24" s="484"/>
      <c r="I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</row>
    <row r="25" spans="1:22" ht="15.6" thickBot="1">
      <c r="A25" s="311">
        <f t="shared" ref="A25:A26" si="0">A24+1</f>
        <v>5</v>
      </c>
      <c r="B25" s="593" t="s">
        <v>396</v>
      </c>
      <c r="C25" s="730">
        <v>482553159</v>
      </c>
      <c r="D25" s="351">
        <v>0.15813428557450712</v>
      </c>
      <c r="E25" s="485">
        <v>0.18816542313340703</v>
      </c>
      <c r="F25" s="353">
        <v>2.9755404757026156E-2</v>
      </c>
      <c r="G25" s="572"/>
      <c r="H25" s="484"/>
      <c r="I25" s="484"/>
      <c r="J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</row>
    <row r="26" spans="1:22" s="91" customFormat="1" ht="21" customHeight="1" thickTop="1">
      <c r="A26" s="311">
        <f t="shared" si="0"/>
        <v>6</v>
      </c>
      <c r="B26" s="593" t="s">
        <v>368</v>
      </c>
      <c r="C26" s="691">
        <f>C24+C25</f>
        <v>3051540387</v>
      </c>
      <c r="D26" s="697"/>
      <c r="E26" s="697"/>
      <c r="F26" s="389">
        <v>6.7817629492706838E-2</v>
      </c>
      <c r="G26" s="622"/>
      <c r="H26" s="388"/>
      <c r="I26" s="387"/>
      <c r="J26" s="387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</row>
    <row r="27" spans="1:22" ht="15.6">
      <c r="A27" s="693"/>
      <c r="B27" s="354"/>
      <c r="C27" s="356"/>
      <c r="D27" s="622"/>
      <c r="E27" s="622"/>
      <c r="F27" s="622"/>
      <c r="G27" s="622"/>
      <c r="H27" s="387"/>
      <c r="I27" s="708"/>
      <c r="J27" s="708"/>
      <c r="L27" s="709"/>
      <c r="M27" s="709"/>
      <c r="N27" s="709"/>
      <c r="O27" s="484"/>
      <c r="P27" s="484"/>
      <c r="Q27" s="484"/>
      <c r="R27" s="484"/>
      <c r="S27" s="484"/>
      <c r="T27" s="484"/>
      <c r="U27" s="484"/>
      <c r="V27" s="484"/>
    </row>
    <row r="28" spans="1:22" ht="15.6">
      <c r="A28" s="311">
        <f>A26+1</f>
        <v>7</v>
      </c>
      <c r="B28" s="603" t="s">
        <v>397</v>
      </c>
      <c r="C28" s="355"/>
      <c r="D28" s="622"/>
      <c r="E28" s="317" t="s">
        <v>370</v>
      </c>
      <c r="F28" s="390">
        <v>1.4999999999999998</v>
      </c>
      <c r="G28" s="622"/>
      <c r="H28" s="387"/>
      <c r="I28" s="575"/>
      <c r="J28" s="575"/>
      <c r="L28" s="709"/>
      <c r="M28" s="709"/>
      <c r="N28" s="709"/>
      <c r="O28" s="484"/>
      <c r="P28" s="484"/>
      <c r="Q28" s="484"/>
      <c r="R28" s="484"/>
      <c r="S28" s="484"/>
      <c r="T28" s="484"/>
      <c r="U28" s="484"/>
      <c r="V28" s="484"/>
    </row>
    <row r="29" spans="1:22" ht="15">
      <c r="A29" s="311"/>
      <c r="B29" s="694"/>
      <c r="C29" s="694"/>
      <c r="D29" s="315"/>
      <c r="E29" s="312"/>
      <c r="F29" s="312"/>
      <c r="G29" s="1"/>
      <c r="H29" s="484"/>
      <c r="I29" s="709"/>
      <c r="L29" s="709"/>
      <c r="M29" s="709"/>
      <c r="N29" s="709"/>
      <c r="O29" s="484"/>
      <c r="P29" s="484"/>
      <c r="Q29" s="484"/>
      <c r="R29" s="484"/>
      <c r="S29" s="484"/>
      <c r="T29" s="484"/>
      <c r="U29" s="484"/>
      <c r="V29" s="484"/>
    </row>
    <row r="30" spans="1:22" ht="15.6">
      <c r="A30" s="694"/>
      <c r="B30" s="811"/>
      <c r="C30" s="811"/>
      <c r="D30" s="694"/>
      <c r="E30" s="694"/>
      <c r="F30" s="693"/>
      <c r="G30" s="1"/>
      <c r="H30" s="484"/>
      <c r="I30" s="709"/>
      <c r="L30" s="709"/>
      <c r="M30" s="709"/>
      <c r="N30" s="709"/>
      <c r="O30" s="484"/>
      <c r="P30" s="484"/>
      <c r="Q30" s="484"/>
      <c r="R30" s="484"/>
      <c r="S30" s="484"/>
      <c r="T30" s="484"/>
      <c r="U30" s="484"/>
      <c r="V30" s="484"/>
    </row>
    <row r="31" spans="1:22" ht="15.6">
      <c r="A31" s="315"/>
      <c r="B31" s="618" t="s">
        <v>144</v>
      </c>
      <c r="C31" s="619"/>
      <c r="D31" s="619"/>
      <c r="E31" s="619"/>
      <c r="F31" s="622"/>
      <c r="G31" s="622"/>
      <c r="H31" s="387"/>
      <c r="I31" s="580"/>
      <c r="L31" s="709"/>
      <c r="M31" s="709"/>
      <c r="N31" s="709"/>
      <c r="O31" s="484"/>
      <c r="P31" s="484"/>
      <c r="Q31" s="484"/>
      <c r="R31" s="484"/>
      <c r="S31" s="484"/>
      <c r="T31" s="484"/>
      <c r="U31" s="484"/>
      <c r="V31" s="484"/>
    </row>
    <row r="32" spans="1:22" ht="15.6">
      <c r="A32" s="620" t="s">
        <v>401</v>
      </c>
      <c r="B32" s="621" t="s">
        <v>439</v>
      </c>
      <c r="C32" s="622"/>
      <c r="D32" s="622"/>
      <c r="E32" s="622"/>
      <c r="F32" s="622"/>
      <c r="G32" s="622"/>
      <c r="H32" s="387"/>
      <c r="I32" s="709"/>
      <c r="L32" s="709"/>
      <c r="M32" s="709"/>
      <c r="N32" s="709"/>
      <c r="O32" s="484"/>
      <c r="P32" s="484"/>
      <c r="Q32" s="484"/>
      <c r="R32" s="484"/>
      <c r="S32" s="484"/>
      <c r="T32" s="484"/>
      <c r="U32" s="484"/>
      <c r="V32" s="484"/>
    </row>
    <row r="33" spans="1:22" ht="15.6">
      <c r="A33" s="620" t="s">
        <v>402</v>
      </c>
      <c r="B33" s="623" t="s">
        <v>593</v>
      </c>
      <c r="C33" s="622"/>
      <c r="D33" s="622"/>
      <c r="E33" s="622"/>
      <c r="F33" s="622"/>
      <c r="G33" s="622"/>
      <c r="H33" s="387"/>
      <c r="I33" s="709"/>
      <c r="L33" s="709"/>
      <c r="M33" s="709"/>
      <c r="N33" s="709"/>
      <c r="O33" s="484"/>
      <c r="P33" s="484"/>
      <c r="Q33" s="484"/>
      <c r="R33" s="484"/>
      <c r="S33" s="484"/>
      <c r="T33" s="484"/>
      <c r="U33" s="484"/>
      <c r="V33" s="484"/>
    </row>
    <row r="34" spans="1:22" ht="15.6">
      <c r="A34" s="620" t="s">
        <v>403</v>
      </c>
      <c r="B34" s="623" t="s">
        <v>594</v>
      </c>
      <c r="C34" s="622"/>
      <c r="D34" s="622"/>
      <c r="E34" s="622"/>
      <c r="F34" s="622"/>
      <c r="G34" s="622"/>
      <c r="H34" s="387"/>
      <c r="I34" s="709"/>
      <c r="L34" s="709"/>
      <c r="M34" s="709"/>
      <c r="N34" s="709"/>
      <c r="O34" s="484"/>
      <c r="P34" s="484"/>
      <c r="Q34" s="484"/>
      <c r="R34" s="484"/>
      <c r="S34" s="484"/>
      <c r="T34" s="484"/>
      <c r="U34" s="484"/>
      <c r="V34" s="484"/>
    </row>
    <row r="35" spans="1:22" ht="15">
      <c r="A35" s="620" t="s">
        <v>404</v>
      </c>
      <c r="B35" s="623" t="str">
        <f>CONCATENATE(I30, TEXT(J28,"#.00"),". ",I31)</f>
        <v xml:space="preserve">.00. </v>
      </c>
      <c r="C35" s="312"/>
      <c r="D35" s="312"/>
      <c r="E35" s="312"/>
      <c r="F35" s="698"/>
      <c r="G35" s="1"/>
      <c r="H35" s="484"/>
      <c r="I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</row>
    <row r="36" spans="1:22" ht="15">
      <c r="A36" s="315"/>
      <c r="B36" s="315"/>
      <c r="C36" s="315"/>
      <c r="D36" s="315"/>
      <c r="E36" s="312"/>
      <c r="F36" s="312"/>
      <c r="G36" s="1"/>
      <c r="H36" s="484"/>
      <c r="I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</row>
    <row r="37" spans="1:22" ht="15">
      <c r="A37" s="90"/>
      <c r="B37" s="90"/>
      <c r="C37" s="90"/>
      <c r="D37" s="315"/>
      <c r="E37" s="312"/>
      <c r="F37" s="312"/>
      <c r="G37" s="1"/>
      <c r="H37" s="484"/>
      <c r="I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</row>
    <row r="38" spans="1:22" ht="15">
      <c r="D38" s="312"/>
      <c r="E38" s="312"/>
      <c r="F38" s="312"/>
      <c r="G38" s="1"/>
      <c r="H38" s="484"/>
      <c r="I38" s="484"/>
    </row>
    <row r="39" spans="1:22" ht="15">
      <c r="D39" s="312"/>
      <c r="E39" s="312"/>
      <c r="F39" s="312"/>
      <c r="G39" s="1"/>
      <c r="H39" s="484"/>
      <c r="I39" s="484"/>
    </row>
    <row r="40" spans="1:22" ht="15">
      <c r="E40" s="93"/>
      <c r="F40" s="93"/>
      <c r="G40" s="484"/>
      <c r="H40" s="484"/>
      <c r="I40" s="484"/>
    </row>
    <row r="41" spans="1:22" ht="15">
      <c r="G41" s="484"/>
      <c r="H41" s="484"/>
      <c r="I41" s="484"/>
    </row>
    <row r="42" spans="1:22" ht="15">
      <c r="A42" s="92"/>
      <c r="G42" s="484"/>
      <c r="H42" s="484"/>
      <c r="I42" s="484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S33"/>
  <sheetViews>
    <sheetView zoomScale="70" zoomScaleNormal="70" workbookViewId="0">
      <selection activeCell="D21" sqref="D21"/>
    </sheetView>
  </sheetViews>
  <sheetFormatPr defaultColWidth="9.1796875" defaultRowHeight="15"/>
  <cols>
    <col min="1" max="1" width="6.453125" style="572" customWidth="1"/>
    <col min="2" max="2" width="41.6328125" style="572" customWidth="1"/>
    <col min="3" max="14" width="13.6328125" style="572" bestFit="1" customWidth="1"/>
    <col min="15" max="15" width="13.54296875" style="572" bestFit="1" customWidth="1"/>
    <col min="16" max="16" width="12.1796875" style="572" customWidth="1"/>
    <col min="17" max="17" width="10.90625" style="572" bestFit="1" customWidth="1"/>
    <col min="18" max="16384" width="9.1796875" style="572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6" t="str">
        <f>EKPC!J1</f>
        <v>Attachment H-24A</v>
      </c>
    </row>
    <row r="2" spans="1:19" ht="21">
      <c r="B2" s="330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527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359</v>
      </c>
    </row>
    <row r="4" spans="1:19">
      <c r="A4" s="573"/>
      <c r="B4" s="595" t="s">
        <v>568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10" t="str">
        <f>EKPC!$J$124</f>
        <v>For the 12 months ended 12/31/2014</v>
      </c>
    </row>
    <row r="5" spans="1:19">
      <c r="B5" s="4"/>
      <c r="C5" s="4"/>
      <c r="D5" s="4"/>
      <c r="E5" s="4"/>
      <c r="F5" s="598"/>
      <c r="G5" s="4"/>
      <c r="H5" s="4"/>
      <c r="I5" s="4"/>
      <c r="J5" s="4"/>
      <c r="K5" s="4"/>
      <c r="L5" s="4"/>
      <c r="M5" s="4"/>
      <c r="N5" s="598"/>
      <c r="O5" s="97"/>
    </row>
    <row r="8" spans="1:19" ht="18.600000000000001">
      <c r="A8" s="328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8.600000000000001">
      <c r="A9" s="328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9">
        <v>1</v>
      </c>
      <c r="B10" s="596" t="s">
        <v>554</v>
      </c>
      <c r="C10" s="591">
        <v>3304152</v>
      </c>
      <c r="D10" s="591">
        <v>2738189</v>
      </c>
      <c r="E10" s="591">
        <v>2524618</v>
      </c>
      <c r="F10" s="591">
        <v>1973614</v>
      </c>
      <c r="G10" s="591">
        <v>1713011</v>
      </c>
      <c r="H10" s="591">
        <v>2064152</v>
      </c>
      <c r="I10" s="591">
        <v>2132305</v>
      </c>
      <c r="J10" s="591">
        <v>2067022</v>
      </c>
      <c r="K10" s="591">
        <v>1982790</v>
      </c>
      <c r="L10" s="591">
        <v>1597948</v>
      </c>
      <c r="M10" s="591">
        <v>2400385</v>
      </c>
      <c r="N10" s="591">
        <v>2252231</v>
      </c>
      <c r="O10" s="347">
        <f>SUM(C10:N10)</f>
        <v>26750417</v>
      </c>
      <c r="P10" s="348">
        <f>ROUND(O10/12,0)</f>
        <v>2229201</v>
      </c>
      <c r="Q10"/>
      <c r="R10" s="470"/>
      <c r="S10"/>
    </row>
    <row r="11" spans="1:19">
      <c r="A11" s="329"/>
      <c r="B11" s="596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347"/>
      <c r="P11" s="348"/>
      <c r="Q11"/>
      <c r="R11" s="470"/>
      <c r="S11"/>
    </row>
    <row r="12" spans="1:19">
      <c r="A12" s="329">
        <v>2</v>
      </c>
      <c r="B12" s="596" t="s">
        <v>599</v>
      </c>
      <c r="C12" s="781">
        <v>137037.70000000001</v>
      </c>
      <c r="D12" s="781">
        <v>122055.31999999998</v>
      </c>
      <c r="E12" s="781">
        <v>108390.23999999999</v>
      </c>
      <c r="F12" s="781">
        <v>91361.06</v>
      </c>
      <c r="G12" s="781">
        <v>98911.97</v>
      </c>
      <c r="H12" s="781">
        <v>114003.55999999998</v>
      </c>
      <c r="I12" s="781">
        <v>113396.06000000003</v>
      </c>
      <c r="J12" s="781">
        <v>110632.41000000002</v>
      </c>
      <c r="K12" s="781">
        <v>113762.48999999999</v>
      </c>
      <c r="L12" s="781">
        <v>94179.12999999999</v>
      </c>
      <c r="M12" s="781">
        <v>112156.41999999998</v>
      </c>
      <c r="N12" s="781">
        <v>105695.32</v>
      </c>
      <c r="O12" s="782">
        <f>SUM(C12:N12)</f>
        <v>1321581.68</v>
      </c>
      <c r="P12" s="783">
        <f>ROUND(O12/12,0)</f>
        <v>110132</v>
      </c>
      <c r="Q12"/>
      <c r="R12" s="470"/>
      <c r="S12"/>
    </row>
    <row r="13" spans="1:19">
      <c r="B13" s="597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73"/>
      <c r="P13" s="573"/>
      <c r="Q13"/>
    </row>
    <row r="14" spans="1:19" ht="15.6" thickBot="1">
      <c r="A14" s="329">
        <v>3</v>
      </c>
      <c r="B14" s="596" t="s">
        <v>354</v>
      </c>
      <c r="C14" s="720">
        <v>3441189.7</v>
      </c>
      <c r="D14" s="720">
        <v>2860244.32</v>
      </c>
      <c r="E14" s="720">
        <v>2633008.2400000002</v>
      </c>
      <c r="F14" s="720">
        <v>2064975.06</v>
      </c>
      <c r="G14" s="720">
        <v>1811922.97</v>
      </c>
      <c r="H14" s="720">
        <v>2178155.56</v>
      </c>
      <c r="I14" s="720">
        <v>2245701.06</v>
      </c>
      <c r="J14" s="720">
        <v>2177654.41</v>
      </c>
      <c r="K14" s="720">
        <v>2096552.49</v>
      </c>
      <c r="L14" s="720">
        <v>1692127.13</v>
      </c>
      <c r="M14" s="720">
        <v>2512541.42</v>
      </c>
      <c r="N14" s="720">
        <v>2357926.3199999998</v>
      </c>
      <c r="O14" s="350">
        <f t="shared" ref="O14" si="0">SUM(C14:N14)</f>
        <v>28071998.68</v>
      </c>
      <c r="P14" s="350">
        <f>ROUND(O14/12,0)</f>
        <v>2339333</v>
      </c>
    </row>
    <row r="15" spans="1:19" ht="15.6" thickTop="1"/>
    <row r="16" spans="1:19" ht="15.6">
      <c r="C16" s="717"/>
      <c r="D16" s="717"/>
      <c r="E16" s="717"/>
      <c r="F16" s="717"/>
      <c r="G16" s="717"/>
      <c r="H16" s="717"/>
      <c r="I16" s="717"/>
      <c r="J16" s="717"/>
      <c r="K16" s="568"/>
      <c r="L16" s="568"/>
      <c r="M16" s="568"/>
      <c r="N16" s="718"/>
      <c r="O16" s="719"/>
      <c r="P16" s="568"/>
      <c r="Q16" s="573"/>
      <c r="R16" s="573"/>
    </row>
    <row r="17" spans="1:18">
      <c r="B17" s="517" t="s">
        <v>144</v>
      </c>
      <c r="C17" s="518"/>
      <c r="D17" s="518"/>
      <c r="E17" s="518"/>
      <c r="F17" s="518"/>
      <c r="G17" s="518"/>
      <c r="H17" s="518"/>
      <c r="I17" s="518"/>
      <c r="J17" s="518"/>
      <c r="K17" s="471"/>
      <c r="L17" s="471"/>
      <c r="M17" s="471"/>
      <c r="N17" s="573"/>
      <c r="O17" s="573"/>
      <c r="P17" s="573"/>
      <c r="Q17" s="573"/>
      <c r="R17" s="573"/>
    </row>
    <row r="18" spans="1:18" ht="15.6">
      <c r="A18" s="573"/>
      <c r="B18" s="581" t="s">
        <v>592</v>
      </c>
      <c r="C18" s="573"/>
      <c r="D18" s="573"/>
      <c r="E18" s="573"/>
      <c r="F18" s="573"/>
      <c r="G18" s="472"/>
      <c r="H18" s="472"/>
      <c r="I18" s="472"/>
      <c r="J18" s="472"/>
      <c r="K18" s="569"/>
      <c r="L18" s="573"/>
      <c r="M18" s="573"/>
      <c r="N18" s="599"/>
      <c r="O18" s="568"/>
      <c r="P18" s="573"/>
      <c r="Q18" s="573"/>
      <c r="R18" s="573"/>
    </row>
    <row r="19" spans="1:18" ht="15" customHeight="1">
      <c r="B19" s="581"/>
      <c r="K19" s="573"/>
      <c r="L19" s="573"/>
      <c r="M19" s="573"/>
      <c r="N19" s="599"/>
      <c r="O19" s="568"/>
      <c r="P19" s="573"/>
      <c r="Q19" s="573"/>
      <c r="R19" s="573"/>
    </row>
    <row r="20" spans="1:18">
      <c r="B20" s="721"/>
      <c r="C20" s="724"/>
      <c r="D20" s="724"/>
      <c r="E20" s="724"/>
      <c r="F20" s="724"/>
      <c r="G20" s="724"/>
      <c r="H20" s="724"/>
      <c r="I20" s="724"/>
      <c r="J20" s="724"/>
      <c r="K20" s="724"/>
      <c r="L20" s="724"/>
      <c r="M20" s="724"/>
      <c r="N20" s="724"/>
      <c r="O20" s="347"/>
      <c r="P20" s="348"/>
      <c r="Q20" s="573"/>
      <c r="R20" s="573"/>
    </row>
    <row r="21" spans="1:18">
      <c r="K21" s="573"/>
      <c r="L21" s="573"/>
      <c r="M21" s="573"/>
      <c r="N21" s="599"/>
      <c r="O21" s="568"/>
      <c r="P21" s="573"/>
      <c r="Q21" s="573"/>
      <c r="R21" s="573"/>
    </row>
    <row r="22" spans="1:18">
      <c r="B22" s="722"/>
      <c r="C22" s="725"/>
      <c r="D22" s="725"/>
      <c r="E22" s="725"/>
      <c r="F22" s="725"/>
      <c r="G22" s="725"/>
      <c r="H22" s="725"/>
      <c r="I22" s="725"/>
      <c r="J22" s="725"/>
      <c r="K22" s="725"/>
      <c r="L22" s="725"/>
      <c r="M22" s="725"/>
      <c r="N22" s="726"/>
      <c r="O22" s="346"/>
      <c r="P22" s="346"/>
      <c r="Q22" s="573"/>
      <c r="R22" s="573"/>
    </row>
    <row r="23" spans="1:18">
      <c r="B23" s="722"/>
      <c r="C23" s="725"/>
      <c r="D23" s="725"/>
      <c r="E23" s="725"/>
      <c r="F23" s="725"/>
      <c r="G23" s="725"/>
      <c r="H23" s="725"/>
      <c r="I23" s="725"/>
      <c r="J23" s="725"/>
      <c r="K23" s="725"/>
      <c r="L23" s="725"/>
      <c r="M23" s="725"/>
      <c r="N23" s="726"/>
      <c r="O23" s="346"/>
      <c r="P23" s="346"/>
      <c r="Q23" s="573"/>
      <c r="R23" s="573"/>
    </row>
    <row r="24" spans="1:18">
      <c r="B24" s="722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573"/>
      <c r="R24" s="573"/>
    </row>
    <row r="25" spans="1:18">
      <c r="B25" s="722"/>
      <c r="K25" s="573"/>
      <c r="L25" s="573"/>
      <c r="M25" s="573"/>
      <c r="N25" s="599"/>
      <c r="O25" s="568"/>
      <c r="P25" s="573"/>
      <c r="Q25" s="573"/>
      <c r="R25" s="573"/>
    </row>
    <row r="26" spans="1:18">
      <c r="B26" s="722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346"/>
      <c r="P26" s="346"/>
      <c r="Q26" s="573"/>
      <c r="R26" s="573"/>
    </row>
    <row r="27" spans="1:18">
      <c r="B27" s="722"/>
      <c r="C27" s="717"/>
      <c r="D27" s="717"/>
      <c r="E27" s="717"/>
      <c r="F27" s="717"/>
      <c r="G27" s="717"/>
      <c r="H27" s="717"/>
      <c r="I27" s="717"/>
      <c r="J27" s="717"/>
      <c r="K27" s="717"/>
      <c r="L27" s="717"/>
      <c r="M27" s="717"/>
      <c r="N27" s="717"/>
      <c r="O27" s="346"/>
      <c r="P27" s="346"/>
      <c r="Q27" s="573"/>
      <c r="R27" s="573"/>
    </row>
    <row r="28" spans="1:18">
      <c r="B28" s="722"/>
      <c r="C28" s="770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346"/>
      <c r="P28" s="346"/>
      <c r="Q28" s="573"/>
      <c r="R28" s="573"/>
    </row>
    <row r="29" spans="1:18">
      <c r="B29" s="722"/>
      <c r="C29" s="770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770"/>
      <c r="O29" s="346"/>
      <c r="P29" s="346"/>
      <c r="Q29" s="573"/>
      <c r="R29" s="573"/>
    </row>
    <row r="30" spans="1:18">
      <c r="B30" s="722"/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23"/>
      <c r="P30" s="723"/>
      <c r="Q30" s="573"/>
      <c r="R30" s="573"/>
    </row>
    <row r="31" spans="1:18">
      <c r="B31" s="722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573"/>
      <c r="P31" s="573"/>
      <c r="Q31" s="573"/>
      <c r="R31" s="573"/>
    </row>
    <row r="32" spans="1:18">
      <c r="B32" s="722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573"/>
      <c r="P32" s="573"/>
      <c r="Q32" s="573"/>
      <c r="R32" s="573"/>
    </row>
    <row r="33" spans="14:14">
      <c r="N33" s="600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2015-05-18T18:05:40Z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